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9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9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7.xml" ContentType="application/vnd.openxmlformats-officedocument.drawing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O\"/>
    </mc:Choice>
  </mc:AlternateContent>
  <xr:revisionPtr revIDLastSave="0" documentId="13_ncr:1_{F3C7F14C-01EC-4103-BC09-1E16CC25AE47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3" sheetId="97" r:id="rId8"/>
    <sheet name="Ind T4" sheetId="15" r:id="rId9"/>
    <sheet name="Ind T5" sheetId="104" r:id="rId10"/>
    <sheet name="Ind T6" sheetId="102" r:id="rId11"/>
    <sheet name="Ind F1" sheetId="19" r:id="rId12"/>
    <sheet name="Ind F2" sheetId="21" r:id="rId13"/>
    <sheet name="Ind Occ T1" sheetId="101" r:id="rId14"/>
    <sheet name="Ind Occ T2" sheetId="103" r:id="rId15"/>
    <sheet name="Occ T1" sheetId="16" r:id="rId16"/>
    <sheet name="Occ T2" sheetId="71" r:id="rId17"/>
    <sheet name="Occ T3" sheetId="18" r:id="rId18"/>
    <sheet name="Occ T4" sheetId="105" r:id="rId19"/>
    <sheet name="Occ T5" sheetId="109" r:id="rId20"/>
    <sheet name="Occ F1" sheetId="75" r:id="rId21"/>
    <sheet name="Occ F2" sheetId="76" r:id="rId22"/>
    <sheet name="Occ F3" sheetId="106" r:id="rId23"/>
    <sheet name="Occ F4" sheetId="107" r:id="rId24"/>
    <sheet name="Occ F5" sheetId="108" r:id="rId25"/>
    <sheet name="Qual T1" sheetId="44" r:id="rId26"/>
    <sheet name="Qual F1" sheetId="51" r:id="rId27"/>
    <sheet name="SummaryTable12" sheetId="62" state="veryHidden" r:id="rId28"/>
    <sheet name="ShiftShare T1" sheetId="80" r:id="rId29"/>
    <sheet name="RD T1" sheetId="49" r:id="rId30"/>
    <sheet name="RD F1" sheetId="31" r:id="rId31"/>
    <sheet name="Basic T1" sheetId="52" r:id="rId32"/>
    <sheet name="Basic T2" sheetId="78" r:id="rId33"/>
    <sheet name="Basic T3" sheetId="79" r:id="rId34"/>
    <sheet name="BasicTable5" sheetId="60" state="veryHidden" r:id="rId35"/>
    <sheet name="ShiftShare2" sheetId="83" state="veryHidden" r:id="rId36"/>
    <sheet name="SupplyBasicTable2" sheetId="93" state="veryHidden" r:id="rId37"/>
    <sheet name="name" sheetId="2" r:id="rId38"/>
    <sheet name="aggregation" sheetId="5" r:id="rId39"/>
    <sheet name="AggregationTables" sheetId="46" r:id="rId40"/>
  </sheets>
  <externalReferences>
    <externalReference r:id="rId41"/>
  </externalReferences>
  <definedNames>
    <definedName name="_Fill" localSheetId="34">#REF!</definedName>
    <definedName name="_Fill" localSheetId="14" hidden="1">#REF!</definedName>
    <definedName name="_Fill" localSheetId="35">#REF!</definedName>
    <definedName name="_Fill" localSheetId="27">#REF!</definedName>
    <definedName name="chart22" localSheetId="35">'[1]Chapter 2 - Charts'!$D$71:$N$108</definedName>
    <definedName name="chart31" localSheetId="35">'[1]Chapter 3 - Charts'!$D$27:$O$60</definedName>
    <definedName name="chart32" localSheetId="35">'[1]Chapter 3 - Charts'!$D$74:$O$106</definedName>
    <definedName name="chart33" localSheetId="35">'[1]Chapter 3 - Charts'!$D$117:$Z$153</definedName>
    <definedName name="chart34" localSheetId="35">'[1]Chapter 3 - Charts'!$D$598:$Y$629</definedName>
    <definedName name="Chart42" localSheetId="35">'[1]Chapter 4 - Charts'!$D$25:$N$62</definedName>
    <definedName name="Chart43" localSheetId="35">'[1]Chapter 4 - Charts'!$D$71:$N$108</definedName>
    <definedName name="Chart43_b" localSheetId="35">'[1]Chapter 4 - Charts'!$D$216:$N$260</definedName>
    <definedName name="Chart44" localSheetId="35">'[1]Chapter 4 - Charts'!$D$118:$N$155</definedName>
    <definedName name="Chart44_b" localSheetId="35">'[1]Chapter 4 - Charts'!$D$165:$N$209</definedName>
    <definedName name="Chart44_b_a" localSheetId="35">'[1]Chapter 4 - Charts'!$D$267:$N$311</definedName>
    <definedName name="Chart51" localSheetId="35">'[1]Chapter 5 - Charts'!$D$25:$N$62</definedName>
    <definedName name="Chart52" localSheetId="35">'[1]Chapter 5 - Charts'!$D$71:$N$108</definedName>
    <definedName name="Chart52_b" localSheetId="35">'[1]Chapter 5 - Charts'!$D$118:$N$153</definedName>
    <definedName name="Chart53" localSheetId="35">'[1]Chapter 5 - Charts'!$D$530:$N$567</definedName>
    <definedName name="Chart71" localSheetId="35">'[1]Chapter 7 - Charts'!$D$25:$N$60</definedName>
    <definedName name="Chart710" localSheetId="35">'[1]Chapter 7 - Charts'!$D$843:$N$878</definedName>
    <definedName name="Chart710_b" localSheetId="35">'[1]Chapter 7 - Charts'!$D$886:$N$921</definedName>
    <definedName name="Chart711" localSheetId="35">'[1]Chapter 7 - Charts'!$D$931:$N$966</definedName>
    <definedName name="Chart711_b" localSheetId="35">'[1]Chapter 7 - Charts'!$D$976:$N$1011</definedName>
    <definedName name="Chart712" localSheetId="35">'[1]Chapter 7 - Charts'!$D$1021:$N$1056</definedName>
    <definedName name="Chart712_b" localSheetId="35">'[1]Chapter 7 - Charts'!$D$1065:$N$1100</definedName>
    <definedName name="Chart712_c" localSheetId="35">'[1]Chapter 7 - Charts'!$D$1110:$N$1145</definedName>
    <definedName name="Chart72" localSheetId="35">'[1]Chapter 7 - Charts'!$D$67:$N$102</definedName>
    <definedName name="Chart75" localSheetId="35">'[1]Chapter 7 - Charts'!$D$454:$N$489</definedName>
    <definedName name="Chart76" localSheetId="35">'[1]Chapter 7 - Charts'!$D$366:$N$401</definedName>
    <definedName name="Chart76_b" localSheetId="35">'[1]Chapter 7 - Charts'!$D$499:$N$534</definedName>
    <definedName name="Chart77" localSheetId="35">'[1]Chapter 7 - Charts'!$D$410:$N$445</definedName>
    <definedName name="Chart77_b" localSheetId="35">'[1]Chapter 7 - Charts'!$D$543:$N$578</definedName>
    <definedName name="colourboard" localSheetId="35">[1]Contents!$I$6:$M$30</definedName>
    <definedName name="_xlnm.Print_Area" localSheetId="31">'Basic T1'!$A$1:$AN$101</definedName>
    <definedName name="_xlnm.Print_Area" localSheetId="32">'Basic T2'!$A$1:$CT$146</definedName>
    <definedName name="_xlnm.Print_Area" localSheetId="33">'Basic T3'!$A$1:$AG$35</definedName>
    <definedName name="_xlnm.Print_Area" localSheetId="34">BasicTable5!$1:$96</definedName>
    <definedName name="_xlnm.Print_Area" localSheetId="11">'Ind F1'!$A:$J</definedName>
    <definedName name="_xlnm.Print_Area" localSheetId="12">'Ind F2'!$A:$J</definedName>
    <definedName name="_xlnm.Print_Area" localSheetId="13">'Ind Occ T1'!$A$1:$L$1294</definedName>
    <definedName name="_xlnm.Print_Area" localSheetId="14">'Ind Occ T2'!$A$1:$O$1294</definedName>
    <definedName name="_xlnm.Print_Area" localSheetId="5">'Ind T1'!$A$1:$S$52</definedName>
    <definedName name="_xlnm.Print_Area" localSheetId="6">'Ind T2'!$A$1:$G$113</definedName>
    <definedName name="_xlnm.Print_Area" localSheetId="7">'Ind T3'!$A$1:$F$333</definedName>
    <definedName name="_xlnm.Print_Area" localSheetId="8">'Ind T4'!$A$1:$L$122</definedName>
    <definedName name="_xlnm.Print_Area" localSheetId="9">'Ind T5'!$A$1:$N$508</definedName>
    <definedName name="_xlnm.Print_Area" localSheetId="10">'Ind T6'!$A$1:$Y$566</definedName>
    <definedName name="_xlnm.Print_Area" localSheetId="3">Manager!$A$1:$O$18</definedName>
    <definedName name="_xlnm.Print_Area" localSheetId="20">'Occ F1'!$A$1:$J$185</definedName>
    <definedName name="_xlnm.Print_Area" localSheetId="21">'Occ F2'!$A:$J</definedName>
    <definedName name="_xlnm.Print_Area" localSheetId="22">'Occ F3'!$A$1:$S$29</definedName>
    <definedName name="_xlnm.Print_Area" localSheetId="23">'Occ F4'!$A$1:$J$38</definedName>
    <definedName name="_xlnm.Print_Area" localSheetId="24">'Occ F5'!$A$1:$J$116</definedName>
    <definedName name="_xlnm.Print_Area" localSheetId="15">'Occ T1'!$A$1:$AF$90</definedName>
    <definedName name="_xlnm.Print_Area" localSheetId="16">'Occ T2'!$A$1:$AF$180</definedName>
    <definedName name="_xlnm.Print_Area" localSheetId="17">'Occ T3'!$A$1:$L$103</definedName>
    <definedName name="_xlnm.Print_Area" localSheetId="18">'Occ T4'!$A$1:$U$38</definedName>
    <definedName name="_xlnm.Print_Area" localSheetId="19">'Occ T5'!$A$1:$AU$54</definedName>
    <definedName name="_xlnm.Print_Area" localSheetId="26">'Qual F1'!$A:$J</definedName>
    <definedName name="_xlnm.Print_Area" localSheetId="25">'Qual T1'!$A$1:$F$57</definedName>
    <definedName name="_xlnm.Print_Area" localSheetId="30">'RD F1'!$A:$N</definedName>
    <definedName name="_xlnm.Print_Area" localSheetId="29">'RD T1'!$A$1:$G$294,'RD T1'!$I$1:$N$117,'RD T1'!$P$1:$V$62,'RD T1'!$X$1:$AD$82</definedName>
    <definedName name="_xlnm.Print_Area" localSheetId="28">'ShiftShare T1'!$A$1:$R$71</definedName>
    <definedName name="_xlnm.Print_Titles" localSheetId="33">'Basic T3'!$A:$A</definedName>
    <definedName name="_xlnm.Print_Titles" localSheetId="27">SummaryTable12!$1:$6</definedName>
    <definedName name="thecontents" localSheetId="35">[1]Contents!$A$1:$N$1</definedName>
    <definedName name="Total79" localSheetId="35">'[1]Chapter 5 - Charts'!$AJ$75:$AJ$85</definedName>
    <definedName name="Total98" localSheetId="35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18" l="1"/>
  <c r="D40" i="18"/>
  <c r="E40" i="18"/>
  <c r="F40" i="18"/>
  <c r="C41" i="18"/>
  <c r="D41" i="18"/>
  <c r="E41" i="18"/>
  <c r="F41" i="18"/>
  <c r="C44" i="18"/>
  <c r="D44" i="18"/>
  <c r="E44" i="18"/>
  <c r="F44" i="18"/>
  <c r="C45" i="18"/>
  <c r="D45" i="18"/>
  <c r="E45" i="18"/>
  <c r="F45" i="18"/>
  <c r="C48" i="18"/>
  <c r="D48" i="18"/>
  <c r="E48" i="18"/>
  <c r="F48" i="18"/>
  <c r="C49" i="18"/>
  <c r="D49" i="18"/>
  <c r="E49" i="18"/>
  <c r="F49" i="18"/>
  <c r="B49" i="18"/>
  <c r="B48" i="18"/>
  <c r="H48" i="18" s="1"/>
  <c r="B45" i="18"/>
  <c r="B44" i="18"/>
  <c r="B41" i="18"/>
  <c r="B40" i="18"/>
  <c r="X1" i="49"/>
  <c r="P1" i="49"/>
  <c r="I1" i="49"/>
  <c r="A1" i="49"/>
  <c r="AK1" i="80"/>
  <c r="W1" i="80"/>
  <c r="Q1" i="109"/>
  <c r="A1" i="109"/>
  <c r="A1" i="105"/>
  <c r="A1" i="71"/>
  <c r="A1" i="103"/>
  <c r="A1" i="101"/>
  <c r="A1" i="102"/>
  <c r="A1" i="97"/>
  <c r="CP35" i="78" l="1"/>
  <c r="V49" i="49"/>
  <c r="T62" i="49"/>
  <c r="R33" i="49"/>
  <c r="B294" i="49"/>
  <c r="E71" i="80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AE32" i="76"/>
  <c r="AF32" i="76"/>
  <c r="AG32" i="76"/>
  <c r="AH32" i="76"/>
  <c r="AI32" i="76"/>
  <c r="AJ32" i="76"/>
  <c r="AK32" i="76"/>
  <c r="AL32" i="76"/>
  <c r="M32" i="76"/>
  <c r="L107" i="75"/>
  <c r="M107" i="75"/>
  <c r="B36" i="105"/>
  <c r="H9" i="78" l="1"/>
  <c r="H8" i="78"/>
  <c r="H45" i="78" s="1"/>
  <c r="M107" i="49" a="1"/>
  <c r="M107" i="49" s="1"/>
  <c r="K107" i="49" a="1"/>
  <c r="K107" i="49" s="1"/>
  <c r="J107" i="49" a="1"/>
  <c r="J107" i="49" s="1"/>
  <c r="M96" i="49" a="1"/>
  <c r="M100" i="49" s="1"/>
  <c r="K96" i="49" a="1"/>
  <c r="K96" i="49" s="1"/>
  <c r="J96" i="49" a="1"/>
  <c r="J96" i="49" s="1"/>
  <c r="M85" i="49" a="1"/>
  <c r="M86" i="49" s="1"/>
  <c r="K85" i="49" a="1"/>
  <c r="K85" i="49" s="1"/>
  <c r="J85" i="49" a="1"/>
  <c r="J85" i="49" s="1"/>
  <c r="M74" i="49" a="1"/>
  <c r="M74" i="49" s="1"/>
  <c r="K74" i="49" a="1"/>
  <c r="K75" i="49" s="1"/>
  <c r="J74" i="49" a="1"/>
  <c r="J74" i="49" s="1"/>
  <c r="M63" i="49" a="1"/>
  <c r="M64" i="49" s="1"/>
  <c r="K63" i="49" a="1"/>
  <c r="K63" i="49" s="1"/>
  <c r="J63" i="49" a="1"/>
  <c r="J63" i="49" s="1"/>
  <c r="M52" i="49" a="1"/>
  <c r="M52" i="49" s="1"/>
  <c r="K52" i="49" a="1"/>
  <c r="K53" i="49" s="1"/>
  <c r="J52" i="49" a="1"/>
  <c r="J53" i="49" s="1"/>
  <c r="M41" i="49" a="1"/>
  <c r="M41" i="49" s="1"/>
  <c r="K41" i="49" a="1"/>
  <c r="K41" i="49" s="1"/>
  <c r="J41" i="49" a="1"/>
  <c r="J41" i="49" s="1"/>
  <c r="M30" i="49" a="1"/>
  <c r="M30" i="49" s="1"/>
  <c r="K30" i="49" a="1"/>
  <c r="K33" i="49" s="1"/>
  <c r="J30" i="49" a="1"/>
  <c r="J30" i="49" s="1"/>
  <c r="M19" i="49" a="1"/>
  <c r="M19" i="49" s="1"/>
  <c r="K19" i="49" a="1"/>
  <c r="K19" i="49" s="1"/>
  <c r="J19" i="49" a="1"/>
  <c r="J19" i="49" s="1"/>
  <c r="L44" i="109"/>
  <c r="G44" i="109"/>
  <c r="R9" i="105"/>
  <c r="Q9" i="105"/>
  <c r="N9" i="105"/>
  <c r="K59" i="49" l="1"/>
  <c r="K56" i="49"/>
  <c r="K81" i="49"/>
  <c r="M59" i="49"/>
  <c r="J31" i="49"/>
  <c r="M63" i="49"/>
  <c r="J26" i="49"/>
  <c r="K74" i="49"/>
  <c r="J104" i="49"/>
  <c r="K23" i="49"/>
  <c r="K22" i="49"/>
  <c r="K20" i="49"/>
  <c r="J48" i="49"/>
  <c r="J100" i="49"/>
  <c r="J45" i="49"/>
  <c r="J70" i="49"/>
  <c r="M23" i="49"/>
  <c r="J42" i="49"/>
  <c r="J68" i="49"/>
  <c r="M79" i="49"/>
  <c r="M20" i="49"/>
  <c r="K70" i="49"/>
  <c r="J92" i="49"/>
  <c r="J86" i="49"/>
  <c r="J114" i="49"/>
  <c r="J34" i="49"/>
  <c r="J52" i="49"/>
  <c r="M71" i="49"/>
  <c r="M22" i="49"/>
  <c r="M93" i="49"/>
  <c r="K30" i="49"/>
  <c r="M92" i="49"/>
  <c r="K82" i="49"/>
  <c r="M85" i="49"/>
  <c r="M78" i="49"/>
  <c r="J99" i="49"/>
  <c r="K27" i="49"/>
  <c r="M27" i="49"/>
  <c r="M48" i="49"/>
  <c r="J60" i="49"/>
  <c r="K52" i="49"/>
  <c r="M75" i="49"/>
  <c r="K92" i="49"/>
  <c r="M89" i="49"/>
  <c r="J97" i="49"/>
  <c r="M104" i="49"/>
  <c r="K114" i="49"/>
  <c r="K26" i="49"/>
  <c r="M26" i="49"/>
  <c r="K38" i="49"/>
  <c r="M37" i="49"/>
  <c r="K48" i="49"/>
  <c r="M47" i="49"/>
  <c r="J59" i="49"/>
  <c r="K90" i="49"/>
  <c r="M103" i="49"/>
  <c r="J54" i="49"/>
  <c r="K89" i="49"/>
  <c r="K103" i="49"/>
  <c r="M99" i="49"/>
  <c r="K37" i="49"/>
  <c r="K34" i="49"/>
  <c r="M98" i="49"/>
  <c r="K32" i="49"/>
  <c r="M70" i="49"/>
  <c r="M97" i="49"/>
  <c r="J37" i="49"/>
  <c r="K31" i="49"/>
  <c r="K60" i="49"/>
  <c r="M67" i="49"/>
  <c r="K78" i="49"/>
  <c r="M81" i="49"/>
  <c r="J89" i="49"/>
  <c r="J103" i="49"/>
  <c r="M96" i="49"/>
  <c r="M114" i="49"/>
  <c r="M113" i="49"/>
  <c r="M112" i="49"/>
  <c r="M111" i="49"/>
  <c r="M110" i="49"/>
  <c r="M109" i="49"/>
  <c r="M108" i="49"/>
  <c r="M115" i="49"/>
  <c r="K113" i="49"/>
  <c r="K112" i="49"/>
  <c r="K111" i="49"/>
  <c r="K110" i="49"/>
  <c r="K109" i="49"/>
  <c r="K108" i="49"/>
  <c r="K115" i="49"/>
  <c r="J113" i="49"/>
  <c r="J112" i="49"/>
  <c r="J111" i="49"/>
  <c r="J110" i="49"/>
  <c r="J109" i="49"/>
  <c r="J108" i="49"/>
  <c r="J115" i="49"/>
  <c r="M102" i="49"/>
  <c r="M101" i="49"/>
  <c r="K102" i="49"/>
  <c r="K101" i="49"/>
  <c r="K100" i="49"/>
  <c r="K99" i="49"/>
  <c r="K98" i="49"/>
  <c r="K97" i="49"/>
  <c r="K104" i="49"/>
  <c r="J102" i="49"/>
  <c r="J101" i="49"/>
  <c r="J98" i="49"/>
  <c r="M91" i="49"/>
  <c r="M90" i="49"/>
  <c r="M88" i="49"/>
  <c r="M87" i="49"/>
  <c r="K91" i="49"/>
  <c r="K88" i="49"/>
  <c r="K87" i="49"/>
  <c r="K86" i="49"/>
  <c r="K93" i="49"/>
  <c r="J91" i="49"/>
  <c r="J90" i="49"/>
  <c r="J88" i="49"/>
  <c r="J87" i="49"/>
  <c r="J93" i="49"/>
  <c r="M80" i="49"/>
  <c r="M77" i="49"/>
  <c r="M76" i="49"/>
  <c r="M82" i="49"/>
  <c r="K80" i="49"/>
  <c r="K79" i="49"/>
  <c r="K77" i="49"/>
  <c r="K76" i="49"/>
  <c r="J80" i="49"/>
  <c r="J81" i="49"/>
  <c r="J79" i="49"/>
  <c r="J78" i="49"/>
  <c r="J77" i="49"/>
  <c r="J76" i="49"/>
  <c r="J75" i="49"/>
  <c r="J82" i="49"/>
  <c r="M69" i="49"/>
  <c r="M68" i="49"/>
  <c r="M66" i="49"/>
  <c r="M65" i="49"/>
  <c r="K69" i="49"/>
  <c r="K68" i="49"/>
  <c r="K67" i="49"/>
  <c r="K66" i="49"/>
  <c r="K65" i="49"/>
  <c r="K64" i="49"/>
  <c r="K71" i="49"/>
  <c r="J69" i="49"/>
  <c r="J67" i="49"/>
  <c r="J66" i="49"/>
  <c r="J65" i="49"/>
  <c r="J64" i="49"/>
  <c r="J71" i="49"/>
  <c r="M58" i="49"/>
  <c r="M57" i="49"/>
  <c r="M56" i="49"/>
  <c r="M55" i="49"/>
  <c r="M54" i="49"/>
  <c r="M53" i="49"/>
  <c r="M60" i="49"/>
  <c r="K58" i="49"/>
  <c r="K57" i="49"/>
  <c r="K55" i="49"/>
  <c r="K54" i="49"/>
  <c r="J58" i="49"/>
  <c r="J57" i="49"/>
  <c r="J56" i="49"/>
  <c r="J55" i="49"/>
  <c r="M46" i="49"/>
  <c r="M45" i="49"/>
  <c r="M44" i="49"/>
  <c r="M43" i="49"/>
  <c r="M42" i="49"/>
  <c r="M49" i="49"/>
  <c r="K47" i="49"/>
  <c r="K46" i="49"/>
  <c r="K45" i="49"/>
  <c r="K44" i="49"/>
  <c r="K43" i="49"/>
  <c r="K42" i="49"/>
  <c r="K49" i="49"/>
  <c r="J47" i="49"/>
  <c r="J46" i="49"/>
  <c r="J44" i="49"/>
  <c r="J43" i="49"/>
  <c r="J49" i="49"/>
  <c r="M36" i="49"/>
  <c r="M35" i="49"/>
  <c r="M34" i="49"/>
  <c r="M33" i="49"/>
  <c r="M32" i="49"/>
  <c r="M31" i="49"/>
  <c r="M38" i="49"/>
  <c r="K36" i="49"/>
  <c r="K35" i="49"/>
  <c r="J36" i="49"/>
  <c r="J35" i="49"/>
  <c r="J33" i="49"/>
  <c r="J32" i="49"/>
  <c r="J38" i="49"/>
  <c r="M25" i="49"/>
  <c r="M24" i="49"/>
  <c r="M21" i="49"/>
  <c r="K25" i="49"/>
  <c r="K24" i="49"/>
  <c r="K21" i="49"/>
  <c r="J25" i="49"/>
  <c r="J24" i="49"/>
  <c r="J23" i="49"/>
  <c r="J22" i="49"/>
  <c r="J21" i="49"/>
  <c r="J20" i="49"/>
  <c r="J27" i="49"/>
  <c r="AB8" i="16" l="1" a="1"/>
  <c r="AB8" i="16" s="1"/>
  <c r="AA8" i="16" a="1"/>
  <c r="AA9" i="16" s="1"/>
  <c r="Z8" i="16" a="1"/>
  <c r="Z8" i="16" s="1"/>
  <c r="Y8" i="16" a="1"/>
  <c r="Y8" i="16" s="1"/>
  <c r="X8" i="16" a="1"/>
  <c r="X8" i="16" s="1"/>
  <c r="Q8" i="16" a="1"/>
  <c r="Q9" i="16" s="1"/>
  <c r="P8" i="16" a="1"/>
  <c r="P8" i="16" s="1"/>
  <c r="O8" i="16" a="1"/>
  <c r="O8" i="16" s="1"/>
  <c r="N8" i="16" a="1"/>
  <c r="N9" i="16" s="1"/>
  <c r="M8" i="16" a="1"/>
  <c r="M8" i="16" s="1"/>
  <c r="F8" i="16" a="1"/>
  <c r="F8" i="16" s="1"/>
  <c r="E8" i="16" a="1"/>
  <c r="E8" i="16" s="1"/>
  <c r="D8" i="16" a="1"/>
  <c r="D9" i="16" s="1"/>
  <c r="C8" i="16" a="1"/>
  <c r="C8" i="16" s="1"/>
  <c r="B8" i="16" a="1"/>
  <c r="B10" i="16" s="1"/>
  <c r="F258" i="97"/>
  <c r="F259" i="97"/>
  <c r="F260" i="97"/>
  <c r="F261" i="97"/>
  <c r="F262" i="97"/>
  <c r="F263" i="97"/>
  <c r="F264" i="97"/>
  <c r="F265" i="97"/>
  <c r="F266" i="97"/>
  <c r="F267" i="97"/>
  <c r="F268" i="97"/>
  <c r="F269" i="97"/>
  <c r="F270" i="97"/>
  <c r="F271" i="97"/>
  <c r="F272" i="97"/>
  <c r="F273" i="97"/>
  <c r="F274" i="97"/>
  <c r="F275" i="97"/>
  <c r="F276" i="97"/>
  <c r="F277" i="97"/>
  <c r="F278" i="97"/>
  <c r="F279" i="97"/>
  <c r="F280" i="97"/>
  <c r="F281" i="97"/>
  <c r="F282" i="97"/>
  <c r="F283" i="97"/>
  <c r="F284" i="97"/>
  <c r="F285" i="97"/>
  <c r="F286" i="97"/>
  <c r="F287" i="97"/>
  <c r="F288" i="97"/>
  <c r="F289" i="97"/>
  <c r="F290" i="97"/>
  <c r="F291" i="97"/>
  <c r="F292" i="97"/>
  <c r="F293" i="97"/>
  <c r="F294" i="97"/>
  <c r="F295" i="97"/>
  <c r="F296" i="97"/>
  <c r="F297" i="97"/>
  <c r="F298" i="97"/>
  <c r="F299" i="97"/>
  <c r="F300" i="97"/>
  <c r="F301" i="97"/>
  <c r="F302" i="97"/>
  <c r="F303" i="97"/>
  <c r="F304" i="97"/>
  <c r="F305" i="97"/>
  <c r="F306" i="97"/>
  <c r="F307" i="97"/>
  <c r="F308" i="97"/>
  <c r="F309" i="97"/>
  <c r="F310" i="97"/>
  <c r="F311" i="97"/>
  <c r="F312" i="97"/>
  <c r="F313" i="97"/>
  <c r="F314" i="97"/>
  <c r="F315" i="97"/>
  <c r="F316" i="97"/>
  <c r="F317" i="97"/>
  <c r="F318" i="97"/>
  <c r="F319" i="97"/>
  <c r="F320" i="97"/>
  <c r="F321" i="97"/>
  <c r="F322" i="97"/>
  <c r="F323" i="97"/>
  <c r="F324" i="97"/>
  <c r="F325" i="97"/>
  <c r="F326" i="97"/>
  <c r="F327" i="97"/>
  <c r="F328" i="97"/>
  <c r="F329" i="97"/>
  <c r="F330" i="97"/>
  <c r="F331" i="97"/>
  <c r="F257" i="97"/>
  <c r="F255" i="97"/>
  <c r="F174" i="97"/>
  <c r="F175" i="97"/>
  <c r="F176" i="97"/>
  <c r="F177" i="97"/>
  <c r="F178" i="97"/>
  <c r="F179" i="97"/>
  <c r="F180" i="97"/>
  <c r="F181" i="97"/>
  <c r="F182" i="97"/>
  <c r="F183" i="97"/>
  <c r="F184" i="97"/>
  <c r="F185" i="97"/>
  <c r="F186" i="97"/>
  <c r="F187" i="97"/>
  <c r="F188" i="97"/>
  <c r="F189" i="97"/>
  <c r="F190" i="97"/>
  <c r="F191" i="97"/>
  <c r="F192" i="97"/>
  <c r="F193" i="97"/>
  <c r="F194" i="97"/>
  <c r="F195" i="97"/>
  <c r="F196" i="97"/>
  <c r="F197" i="97"/>
  <c r="F198" i="97"/>
  <c r="F199" i="97"/>
  <c r="F200" i="97"/>
  <c r="F201" i="97"/>
  <c r="F202" i="97"/>
  <c r="F203" i="97"/>
  <c r="F204" i="97"/>
  <c r="F205" i="97"/>
  <c r="F206" i="97"/>
  <c r="F207" i="97"/>
  <c r="F208" i="97"/>
  <c r="F209" i="97"/>
  <c r="F210" i="97"/>
  <c r="F211" i="97"/>
  <c r="F212" i="97"/>
  <c r="F213" i="97"/>
  <c r="F214" i="97"/>
  <c r="F215" i="97"/>
  <c r="F216" i="97"/>
  <c r="F217" i="97"/>
  <c r="F218" i="97"/>
  <c r="F219" i="97"/>
  <c r="F220" i="97"/>
  <c r="F221" i="97"/>
  <c r="F222" i="97"/>
  <c r="F223" i="97"/>
  <c r="F224" i="97"/>
  <c r="F225" i="97"/>
  <c r="F226" i="97"/>
  <c r="F227" i="97"/>
  <c r="F228" i="97"/>
  <c r="F229" i="97"/>
  <c r="F230" i="97"/>
  <c r="F231" i="97"/>
  <c r="F232" i="97"/>
  <c r="F233" i="97"/>
  <c r="F234" i="97"/>
  <c r="F235" i="97"/>
  <c r="F236" i="97"/>
  <c r="F237" i="97"/>
  <c r="F238" i="97"/>
  <c r="F239" i="97"/>
  <c r="F240" i="97"/>
  <c r="F241" i="97"/>
  <c r="F242" i="97"/>
  <c r="F243" i="97"/>
  <c r="F244" i="97"/>
  <c r="F245" i="97"/>
  <c r="F246" i="97"/>
  <c r="F247" i="97"/>
  <c r="F173" i="97"/>
  <c r="F171" i="97"/>
  <c r="B15" i="16" l="1"/>
  <c r="B9" i="16"/>
  <c r="D8" i="16"/>
  <c r="H8" i="16" s="1"/>
  <c r="P15" i="16"/>
  <c r="E11" i="16"/>
  <c r="P14" i="16"/>
  <c r="B16" i="16"/>
  <c r="E9" i="16"/>
  <c r="P13" i="16"/>
  <c r="B8" i="16"/>
  <c r="X15" i="16"/>
  <c r="N16" i="16"/>
  <c r="X12" i="16"/>
  <c r="N15" i="16"/>
  <c r="D16" i="16"/>
  <c r="N10" i="16"/>
  <c r="D15" i="16"/>
  <c r="N8" i="16"/>
  <c r="Z15" i="16"/>
  <c r="D12" i="16"/>
  <c r="Z9" i="16"/>
  <c r="E16" i="16"/>
  <c r="M16" i="16"/>
  <c r="Q16" i="16"/>
  <c r="AA15" i="16"/>
  <c r="C15" i="16"/>
  <c r="E15" i="16"/>
  <c r="M15" i="16"/>
  <c r="Q15" i="16"/>
  <c r="Y15" i="16"/>
  <c r="AA12" i="16"/>
  <c r="E13" i="16"/>
  <c r="M11" i="16"/>
  <c r="O15" i="16"/>
  <c r="Q13" i="16"/>
  <c r="AA8" i="16"/>
  <c r="M9" i="16"/>
  <c r="Q8" i="16"/>
  <c r="Z10" i="16"/>
  <c r="AB15" i="16"/>
  <c r="X9" i="16"/>
  <c r="AA16" i="16"/>
  <c r="AB14" i="16"/>
  <c r="AB13" i="16"/>
  <c r="AB12" i="16"/>
  <c r="AB11" i="16"/>
  <c r="AB10" i="16"/>
  <c r="AB9" i="16"/>
  <c r="AB16" i="16"/>
  <c r="AA14" i="16"/>
  <c r="AA13" i="16"/>
  <c r="AA11" i="16"/>
  <c r="AA10" i="16"/>
  <c r="Z14" i="16"/>
  <c r="Z13" i="16"/>
  <c r="Z12" i="16"/>
  <c r="Z11" i="16"/>
  <c r="Z16" i="16"/>
  <c r="Y14" i="16"/>
  <c r="Y13" i="16"/>
  <c r="Y12" i="16"/>
  <c r="Y11" i="16"/>
  <c r="Y10" i="16"/>
  <c r="Y9" i="16"/>
  <c r="Y16" i="16"/>
  <c r="X14" i="16"/>
  <c r="X13" i="16"/>
  <c r="X11" i="16"/>
  <c r="X10" i="16"/>
  <c r="X16" i="16"/>
  <c r="Q14" i="16"/>
  <c r="Q12" i="16"/>
  <c r="Q11" i="16"/>
  <c r="Q10" i="16"/>
  <c r="P12" i="16"/>
  <c r="P11" i="16"/>
  <c r="P10" i="16"/>
  <c r="P9" i="16"/>
  <c r="P16" i="16"/>
  <c r="O14" i="16"/>
  <c r="O13" i="16"/>
  <c r="O12" i="16"/>
  <c r="O11" i="16"/>
  <c r="O10" i="16"/>
  <c r="O9" i="16"/>
  <c r="O16" i="16"/>
  <c r="N14" i="16"/>
  <c r="N13" i="16"/>
  <c r="N12" i="16"/>
  <c r="N11" i="16"/>
  <c r="M14" i="16"/>
  <c r="M13" i="16"/>
  <c r="M12" i="16"/>
  <c r="M10" i="16"/>
  <c r="F15" i="16"/>
  <c r="F14" i="16"/>
  <c r="F13" i="16"/>
  <c r="F12" i="16"/>
  <c r="F11" i="16"/>
  <c r="F10" i="16"/>
  <c r="F9" i="16"/>
  <c r="F16" i="16"/>
  <c r="E14" i="16"/>
  <c r="E12" i="16"/>
  <c r="E10" i="16"/>
  <c r="D14" i="16"/>
  <c r="D13" i="16"/>
  <c r="D11" i="16"/>
  <c r="D10" i="16"/>
  <c r="C14" i="16"/>
  <c r="C13" i="16"/>
  <c r="C12" i="16"/>
  <c r="C11" i="16"/>
  <c r="C10" i="16"/>
  <c r="C9" i="16"/>
  <c r="C16" i="16"/>
  <c r="B14" i="16"/>
  <c r="B13" i="16"/>
  <c r="B12" i="16"/>
  <c r="B11" i="16"/>
  <c r="Y6" i="71" l="1"/>
  <c r="Z6" i="71"/>
  <c r="AA6" i="71"/>
  <c r="AB6" i="71"/>
  <c r="X6" i="71"/>
  <c r="N6" i="71"/>
  <c r="O6" i="71"/>
  <c r="P6" i="71"/>
  <c r="Q6" i="71"/>
  <c r="M6" i="71"/>
  <c r="L1" i="71" s="1"/>
  <c r="AR5" i="109"/>
  <c r="AM5" i="109"/>
  <c r="AH5" i="109"/>
  <c r="AB5" i="109"/>
  <c r="W5" i="109"/>
  <c r="R5" i="109"/>
  <c r="AH33" i="21"/>
  <c r="AI33" i="21"/>
  <c r="AJ33" i="21"/>
  <c r="AK33" i="21"/>
  <c r="AL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I8" i="78"/>
  <c r="AA81" i="49"/>
  <c r="I40" i="80"/>
  <c r="A37" i="80" s="1"/>
  <c r="N51" i="76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AH45" i="76"/>
  <c r="AI45" i="76"/>
  <c r="AJ45" i="76"/>
  <c r="AK45" i="76"/>
  <c r="AL45" i="76"/>
  <c r="AH41" i="76"/>
  <c r="AI41" i="76"/>
  <c r="AJ41" i="76"/>
  <c r="AK41" i="76"/>
  <c r="AL41" i="76"/>
  <c r="AH37" i="76"/>
  <c r="AI37" i="76"/>
  <c r="AJ37" i="76"/>
  <c r="AK37" i="76"/>
  <c r="AL37" i="76"/>
  <c r="AH26" i="76"/>
  <c r="AI26" i="76"/>
  <c r="AJ26" i="76"/>
  <c r="AK26" i="76"/>
  <c r="AL26" i="76"/>
  <c r="AH22" i="76"/>
  <c r="AI22" i="76"/>
  <c r="AJ22" i="76"/>
  <c r="AK22" i="76"/>
  <c r="AL22" i="76"/>
  <c r="AH15" i="76"/>
  <c r="AI15" i="76"/>
  <c r="AJ15" i="76"/>
  <c r="AK15" i="76"/>
  <c r="AL15" i="76"/>
  <c r="AH9" i="76"/>
  <c r="AI9" i="76"/>
  <c r="AJ9" i="76"/>
  <c r="AK9" i="76"/>
  <c r="AL9" i="76"/>
  <c r="AH5" i="76"/>
  <c r="AI5" i="76"/>
  <c r="AJ5" i="76"/>
  <c r="AK5" i="76"/>
  <c r="AL5" i="76"/>
  <c r="H34" i="105"/>
  <c r="L34" i="105"/>
  <c r="D34" i="105"/>
  <c r="A33" i="79"/>
  <c r="B33" i="79"/>
  <c r="C33" i="79"/>
  <c r="D33" i="79"/>
  <c r="E33" i="79"/>
  <c r="F33" i="79"/>
  <c r="G33" i="79"/>
  <c r="H33" i="79"/>
  <c r="I33" i="79"/>
  <c r="J33" i="79"/>
  <c r="A144" i="78"/>
  <c r="L144" i="78" s="1"/>
  <c r="AH144" i="78" s="1"/>
  <c r="BD144" i="78" s="1"/>
  <c r="BZ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F107" i="78"/>
  <c r="B107" i="78"/>
  <c r="C107" i="78"/>
  <c r="D107" i="78"/>
  <c r="E107" i="78"/>
  <c r="CN35" i="78"/>
  <c r="CN70" i="78" s="1"/>
  <c r="CO35" i="78"/>
  <c r="CO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L35" i="78"/>
  <c r="AL70" i="78" s="1"/>
  <c r="AK35" i="78"/>
  <c r="AK70" i="78" s="1"/>
  <c r="AJ35" i="78"/>
  <c r="AJ70" i="78" s="1"/>
  <c r="AI35" i="78"/>
  <c r="AI70" i="78" s="1"/>
  <c r="AB35" i="78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S33" i="78"/>
  <c r="T33" i="78"/>
  <c r="T70" i="78" s="1"/>
  <c r="AD33" i="78"/>
  <c r="AE33" i="78"/>
  <c r="AE70" i="78" s="1"/>
  <c r="AO33" i="78"/>
  <c r="AO70" i="78" s="1"/>
  <c r="AO107" i="78" s="1"/>
  <c r="AP33" i="78"/>
  <c r="AP70" i="78" s="1"/>
  <c r="AZ33" i="78"/>
  <c r="AZ70" i="78" s="1"/>
  <c r="AZ107" i="78" s="1"/>
  <c r="BA33" i="78"/>
  <c r="BK33" i="78"/>
  <c r="BL33" i="78"/>
  <c r="BL70" i="78" s="1"/>
  <c r="BV33" i="78"/>
  <c r="BV70" i="78" s="1"/>
  <c r="BV107" i="78" s="1"/>
  <c r="BW33" i="78"/>
  <c r="BW70" i="78" s="1"/>
  <c r="CG33" i="78"/>
  <c r="CH33" i="78"/>
  <c r="CH70" i="78" s="1"/>
  <c r="CR33" i="78"/>
  <c r="CR70" i="78" s="1"/>
  <c r="CR107" i="78" s="1"/>
  <c r="CS33" i="78"/>
  <c r="CS70" i="78" s="1"/>
  <c r="C35" i="78"/>
  <c r="C70" i="78" s="1"/>
  <c r="D35" i="78"/>
  <c r="E35" i="78"/>
  <c r="E70" i="78" s="1"/>
  <c r="F35" i="78"/>
  <c r="B35" i="78"/>
  <c r="B70" i="78" s="1"/>
  <c r="I33" i="78"/>
  <c r="I70" i="78" s="1"/>
  <c r="A33" i="78"/>
  <c r="L33" i="78" s="1"/>
  <c r="AH33" i="78" s="1"/>
  <c r="BD33" i="78" s="1"/>
  <c r="BZ33" i="78" s="1"/>
  <c r="H33" i="78"/>
  <c r="H70" i="78" s="1"/>
  <c r="H107" i="78" s="1"/>
  <c r="AE33" i="71"/>
  <c r="T33" i="71"/>
  <c r="O62" i="31"/>
  <c r="R62" i="49"/>
  <c r="Q62" i="49"/>
  <c r="V62" i="49" s="1"/>
  <c r="P61" i="49"/>
  <c r="S61" i="49"/>
  <c r="U61" i="49" s="1"/>
  <c r="V61" i="49"/>
  <c r="T33" i="49"/>
  <c r="Q33" i="49"/>
  <c r="S33" i="49" s="1"/>
  <c r="V32" i="49"/>
  <c r="P32" i="49"/>
  <c r="S32" i="49"/>
  <c r="U32" i="49" s="1"/>
  <c r="E32" i="49"/>
  <c r="I33" i="71" s="1"/>
  <c r="B32" i="49"/>
  <c r="C32" i="49"/>
  <c r="C62" i="49"/>
  <c r="E62" i="49"/>
  <c r="B62" i="49"/>
  <c r="C91" i="49"/>
  <c r="E91" i="49"/>
  <c r="B91" i="49"/>
  <c r="C120" i="49"/>
  <c r="E120" i="49"/>
  <c r="B120" i="49"/>
  <c r="C149" i="49"/>
  <c r="E149" i="49"/>
  <c r="B149" i="49"/>
  <c r="C178" i="49"/>
  <c r="E178" i="49"/>
  <c r="B178" i="49"/>
  <c r="C207" i="49"/>
  <c r="E207" i="49"/>
  <c r="B207" i="49"/>
  <c r="C236" i="49"/>
  <c r="E236" i="49"/>
  <c r="B236" i="49"/>
  <c r="C265" i="49"/>
  <c r="E265" i="49"/>
  <c r="B265" i="49"/>
  <c r="G293" i="49"/>
  <c r="E294" i="49"/>
  <c r="G294" i="49" s="1"/>
  <c r="C294" i="49"/>
  <c r="D293" i="49"/>
  <c r="F293" i="49" s="1"/>
  <c r="D264" i="49"/>
  <c r="F264" i="49" s="1"/>
  <c r="G264" i="49"/>
  <c r="D235" i="49"/>
  <c r="F235" i="49" s="1"/>
  <c r="G235" i="49"/>
  <c r="D206" i="49"/>
  <c r="F206" i="49" s="1"/>
  <c r="G206" i="49"/>
  <c r="D177" i="49"/>
  <c r="F177" i="49" s="1"/>
  <c r="G177" i="49"/>
  <c r="D148" i="49"/>
  <c r="F148" i="49" s="1"/>
  <c r="G148" i="49"/>
  <c r="D119" i="49"/>
  <c r="F119" i="49" s="1"/>
  <c r="G119" i="49"/>
  <c r="D90" i="49"/>
  <c r="F90" i="49" s="1"/>
  <c r="G90" i="49"/>
  <c r="D61" i="49"/>
  <c r="F61" i="49" s="1"/>
  <c r="G61" i="49"/>
  <c r="A32" i="49"/>
  <c r="A61" i="49" s="1"/>
  <c r="A148" i="49" s="1"/>
  <c r="A235" i="49" s="1"/>
  <c r="B71" i="80"/>
  <c r="C69" i="80" s="1"/>
  <c r="H69" i="80"/>
  <c r="I69" i="80"/>
  <c r="R69" i="80"/>
  <c r="A69" i="80"/>
  <c r="E35" i="80"/>
  <c r="F33" i="80" s="1"/>
  <c r="B35" i="80"/>
  <c r="C33" i="80" s="1"/>
  <c r="R33" i="80"/>
  <c r="I33" i="80"/>
  <c r="H33" i="80"/>
  <c r="A33" i="80"/>
  <c r="L82" i="76"/>
  <c r="L35" i="76"/>
  <c r="W1" i="71" l="1"/>
  <c r="AG1" i="109"/>
  <c r="J8" i="78"/>
  <c r="J45" i="78" s="1"/>
  <c r="I45" i="78"/>
  <c r="H35" i="78"/>
  <c r="H72" i="78" s="1"/>
  <c r="H109" i="78" s="1"/>
  <c r="U33" i="49"/>
  <c r="AH49" i="76"/>
  <c r="AH59" i="76" s="1"/>
  <c r="S62" i="49"/>
  <c r="U62" i="49" s="1"/>
  <c r="AL38" i="21"/>
  <c r="AK38" i="21"/>
  <c r="AP107" i="78"/>
  <c r="AK49" i="76"/>
  <c r="AK52" i="76" s="1"/>
  <c r="AJ49" i="76"/>
  <c r="AJ52" i="76" s="1"/>
  <c r="AI49" i="76"/>
  <c r="AI84" i="76" s="1"/>
  <c r="AL49" i="76"/>
  <c r="AL84" i="76" s="1"/>
  <c r="AJ38" i="21"/>
  <c r="AI38" i="21"/>
  <c r="AH38" i="21"/>
  <c r="AF33" i="78"/>
  <c r="AF70" i="78" s="1"/>
  <c r="AF107" i="78" s="1"/>
  <c r="CS107" i="78"/>
  <c r="K69" i="80"/>
  <c r="L69" i="80" s="1"/>
  <c r="K33" i="79"/>
  <c r="CR35" i="78"/>
  <c r="AD70" i="78"/>
  <c r="AD107" i="78" s="1"/>
  <c r="B146" i="78"/>
  <c r="BB33" i="78"/>
  <c r="BB70" i="78" s="1"/>
  <c r="BB107" i="78" s="1"/>
  <c r="CP70" i="78"/>
  <c r="D70" i="78"/>
  <c r="F146" i="78"/>
  <c r="W144" i="78"/>
  <c r="AS144" i="78" s="1"/>
  <c r="BO144" i="78" s="1"/>
  <c r="CK144" i="78" s="1"/>
  <c r="AO35" i="78"/>
  <c r="BM33" i="78"/>
  <c r="BM70" i="78" s="1"/>
  <c r="BM107" i="78" s="1"/>
  <c r="BA70" i="78"/>
  <c r="BW107" i="78"/>
  <c r="F70" i="78"/>
  <c r="CH107" i="78"/>
  <c r="BA107" i="78"/>
  <c r="AD35" i="78"/>
  <c r="B72" i="78"/>
  <c r="T107" i="78"/>
  <c r="A107" i="78"/>
  <c r="BL107" i="78"/>
  <c r="I107" i="78"/>
  <c r="AE107" i="78"/>
  <c r="U33" i="78"/>
  <c r="U70" i="78" s="1"/>
  <c r="U107" i="78" s="1"/>
  <c r="BX33" i="78"/>
  <c r="BX70" i="78" s="1"/>
  <c r="BX107" i="78" s="1"/>
  <c r="BK35" i="78"/>
  <c r="AM70" i="78"/>
  <c r="J33" i="78"/>
  <c r="J70" i="78" s="1"/>
  <c r="J107" i="78" s="1"/>
  <c r="S70" i="78"/>
  <c r="S107" i="78" s="1"/>
  <c r="AQ33" i="78"/>
  <c r="AQ70" i="78" s="1"/>
  <c r="AQ107" i="78" s="1"/>
  <c r="A70" i="78"/>
  <c r="CI33" i="78"/>
  <c r="CI70" i="78" s="1"/>
  <c r="CI107" i="78" s="1"/>
  <c r="CG70" i="78"/>
  <c r="CG107" i="78" s="1"/>
  <c r="S35" i="78"/>
  <c r="BV35" i="78"/>
  <c r="CT33" i="78"/>
  <c r="CT70" i="78" s="1"/>
  <c r="CT107" i="78" s="1"/>
  <c r="BK70" i="78"/>
  <c r="BK107" i="78" s="1"/>
  <c r="AB70" i="78"/>
  <c r="W33" i="78"/>
  <c r="AS33" i="78" s="1"/>
  <c r="BO33" i="78" s="1"/>
  <c r="CK33" i="78" s="1"/>
  <c r="CG35" i="78"/>
  <c r="AZ35" i="78"/>
  <c r="B33" i="49"/>
  <c r="F32" i="49"/>
  <c r="D32" i="49"/>
  <c r="A119" i="49"/>
  <c r="A206" i="49" s="1"/>
  <c r="A293" i="49" s="1"/>
  <c r="A90" i="49"/>
  <c r="A177" i="49" s="1"/>
  <c r="A264" i="49" s="1"/>
  <c r="F69" i="80"/>
  <c r="H35" i="80"/>
  <c r="K33" i="80"/>
  <c r="L21" i="75"/>
  <c r="T34" i="105"/>
  <c r="U34" i="105"/>
  <c r="O10" i="105"/>
  <c r="Q10" i="105"/>
  <c r="R10" i="105"/>
  <c r="O11" i="105"/>
  <c r="Q11" i="105"/>
  <c r="R11" i="105"/>
  <c r="O12" i="105"/>
  <c r="Q12" i="105"/>
  <c r="R12" i="105"/>
  <c r="O13" i="105"/>
  <c r="Q13" i="105"/>
  <c r="R13" i="105"/>
  <c r="O14" i="105"/>
  <c r="Q14" i="105"/>
  <c r="R14" i="105"/>
  <c r="O15" i="105"/>
  <c r="Q15" i="105"/>
  <c r="R15" i="105"/>
  <c r="O16" i="105"/>
  <c r="Q16" i="105"/>
  <c r="R16" i="105"/>
  <c r="O17" i="105"/>
  <c r="Q17" i="105"/>
  <c r="R17" i="105"/>
  <c r="O18" i="105"/>
  <c r="Q18" i="105"/>
  <c r="R18" i="105"/>
  <c r="O19" i="105"/>
  <c r="Q19" i="105"/>
  <c r="R19" i="105"/>
  <c r="O20" i="105"/>
  <c r="Q20" i="105"/>
  <c r="R20" i="105"/>
  <c r="O21" i="105"/>
  <c r="Q21" i="105"/>
  <c r="R21" i="105"/>
  <c r="O22" i="105"/>
  <c r="Q22" i="105"/>
  <c r="R22" i="105"/>
  <c r="O23" i="105"/>
  <c r="Q23" i="105"/>
  <c r="R23" i="105"/>
  <c r="O24" i="105"/>
  <c r="Q24" i="105"/>
  <c r="R24" i="105"/>
  <c r="O25" i="105"/>
  <c r="Q25" i="105"/>
  <c r="R25" i="105"/>
  <c r="O26" i="105"/>
  <c r="Q26" i="105"/>
  <c r="R26" i="105"/>
  <c r="O27" i="105"/>
  <c r="Q27" i="105"/>
  <c r="R27" i="105"/>
  <c r="O28" i="105"/>
  <c r="Q28" i="105"/>
  <c r="R28" i="105"/>
  <c r="O29" i="105"/>
  <c r="Q29" i="105"/>
  <c r="R29" i="105"/>
  <c r="O30" i="105"/>
  <c r="Q30" i="105"/>
  <c r="R30" i="105"/>
  <c r="O31" i="105"/>
  <c r="Q31" i="105"/>
  <c r="R31" i="105"/>
  <c r="O32" i="105"/>
  <c r="Q32" i="105"/>
  <c r="R32" i="105"/>
  <c r="O33" i="105"/>
  <c r="Q33" i="105"/>
  <c r="R33" i="105"/>
  <c r="O34" i="105"/>
  <c r="Q34" i="105"/>
  <c r="R34" i="105"/>
  <c r="O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K36" i="105"/>
  <c r="J36" i="105"/>
  <c r="G36" i="105"/>
  <c r="F36" i="105"/>
  <c r="N36" i="105" s="1"/>
  <c r="C36" i="105"/>
  <c r="A34" i="105"/>
  <c r="A92" i="18"/>
  <c r="A89" i="18"/>
  <c r="A49" i="18"/>
  <c r="A48" i="18"/>
  <c r="A45" i="18"/>
  <c r="A44" i="18"/>
  <c r="A41" i="18"/>
  <c r="A40" i="18"/>
  <c r="B37" i="18"/>
  <c r="C37" i="18"/>
  <c r="D37" i="18"/>
  <c r="E37" i="18"/>
  <c r="F37" i="18"/>
  <c r="A37" i="18"/>
  <c r="W178" i="71"/>
  <c r="X178" i="71"/>
  <c r="Y178" i="71"/>
  <c r="Z178" i="71"/>
  <c r="AA178" i="71"/>
  <c r="AB178" i="71"/>
  <c r="L178" i="71"/>
  <c r="M178" i="71"/>
  <c r="N178" i="71"/>
  <c r="O178" i="71"/>
  <c r="P178" i="71"/>
  <c r="Q178" i="71"/>
  <c r="A178" i="71"/>
  <c r="B178" i="71"/>
  <c r="C178" i="71"/>
  <c r="D178" i="71"/>
  <c r="E178" i="71"/>
  <c r="F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X107" i="71"/>
  <c r="Y107" i="71"/>
  <c r="Z107" i="71"/>
  <c r="AA107" i="71"/>
  <c r="AB107" i="71"/>
  <c r="AE107" i="71"/>
  <c r="M107" i="71"/>
  <c r="N107" i="71"/>
  <c r="O107" i="71"/>
  <c r="P107" i="71"/>
  <c r="Q107" i="71"/>
  <c r="T107" i="71"/>
  <c r="F107" i="71"/>
  <c r="B107" i="71"/>
  <c r="C107" i="71"/>
  <c r="D107" i="71"/>
  <c r="E107" i="71"/>
  <c r="I107" i="71"/>
  <c r="AE70" i="71"/>
  <c r="T70" i="71"/>
  <c r="I70" i="71"/>
  <c r="AD33" i="71"/>
  <c r="AD70" i="71" s="1"/>
  <c r="AD107" i="71" s="1"/>
  <c r="Y35" i="71"/>
  <c r="Y70" i="71" s="1"/>
  <c r="Z35" i="71"/>
  <c r="Z70" i="71" s="1"/>
  <c r="AA35" i="71"/>
  <c r="AA70" i="71" s="1"/>
  <c r="AB35" i="71"/>
  <c r="X35" i="71"/>
  <c r="X70" i="71" s="1"/>
  <c r="Q35" i="71"/>
  <c r="Q70" i="71" s="1"/>
  <c r="M35" i="71"/>
  <c r="M70" i="71" s="1"/>
  <c r="C35" i="71"/>
  <c r="D35" i="71"/>
  <c r="D70" i="71" s="1"/>
  <c r="E35" i="71"/>
  <c r="E70" i="71" s="1"/>
  <c r="F35" i="71"/>
  <c r="F70" i="71" s="1"/>
  <c r="B35" i="71"/>
  <c r="B70" i="71" s="1"/>
  <c r="N35" i="71"/>
  <c r="N70" i="71" s="1"/>
  <c r="O35" i="71"/>
  <c r="O70" i="71" s="1"/>
  <c r="P35" i="71"/>
  <c r="P70" i="71" s="1"/>
  <c r="S33" i="71"/>
  <c r="S70" i="71" s="1"/>
  <c r="S107" i="71" s="1"/>
  <c r="H33" i="71"/>
  <c r="H70" i="71" s="1"/>
  <c r="H107" i="71" s="1"/>
  <c r="W107" i="71"/>
  <c r="W33" i="71"/>
  <c r="W144" i="71" s="1"/>
  <c r="L33" i="71"/>
  <c r="L70" i="71" s="1"/>
  <c r="A33" i="71"/>
  <c r="A70" i="71" s="1"/>
  <c r="A1" i="78"/>
  <c r="A1" i="52"/>
  <c r="R36" i="105" l="1"/>
  <c r="AE33" i="79"/>
  <c r="X33" i="79"/>
  <c r="AF33" i="79"/>
  <c r="AH54" i="76"/>
  <c r="AI52" i="76"/>
  <c r="AH93" i="76"/>
  <c r="AH57" i="76"/>
  <c r="AH76" i="76"/>
  <c r="AH90" i="76"/>
  <c r="AH85" i="76"/>
  <c r="AH84" i="76"/>
  <c r="AH94" i="76"/>
  <c r="AH82" i="76"/>
  <c r="AH64" i="76"/>
  <c r="AH53" i="76"/>
  <c r="AH86" i="76"/>
  <c r="AH70" i="76"/>
  <c r="AH77" i="76"/>
  <c r="AH92" i="76"/>
  <c r="AH62" i="76"/>
  <c r="AH79" i="76"/>
  <c r="AH69" i="76"/>
  <c r="AH52" i="76"/>
  <c r="N69" i="80"/>
  <c r="O69" i="80" s="1"/>
  <c r="AH56" i="76"/>
  <c r="AH88" i="76"/>
  <c r="AH96" i="76"/>
  <c r="AH63" i="76"/>
  <c r="AH73" i="76"/>
  <c r="AH67" i="76"/>
  <c r="AH75" i="76"/>
  <c r="AH80" i="76"/>
  <c r="AH60" i="76"/>
  <c r="AH58" i="76"/>
  <c r="AH65" i="76"/>
  <c r="AH89" i="76"/>
  <c r="AH81" i="76"/>
  <c r="AH66" i="76"/>
  <c r="AH74" i="76"/>
  <c r="AH71" i="76"/>
  <c r="AD35" i="71"/>
  <c r="O36" i="105"/>
  <c r="AB33" i="79"/>
  <c r="AA33" i="79"/>
  <c r="AI62" i="76"/>
  <c r="AL79" i="76"/>
  <c r="AL73" i="76"/>
  <c r="AL88" i="76"/>
  <c r="L37" i="18"/>
  <c r="J37" i="18"/>
  <c r="Q36" i="105"/>
  <c r="AG33" i="79"/>
  <c r="AC33" i="79"/>
  <c r="Z33" i="79"/>
  <c r="Y33" i="79"/>
  <c r="AK73" i="76"/>
  <c r="AK84" i="76"/>
  <c r="AJ60" i="76"/>
  <c r="AJ70" i="76"/>
  <c r="AJ80" i="76"/>
  <c r="AJ90" i="76"/>
  <c r="AJ57" i="76"/>
  <c r="AJ66" i="76"/>
  <c r="AJ76" i="76"/>
  <c r="AJ86" i="76"/>
  <c r="AJ53" i="76"/>
  <c r="AJ63" i="76"/>
  <c r="AJ82" i="76"/>
  <c r="AJ93" i="76"/>
  <c r="AJ59" i="76"/>
  <c r="AJ79" i="76"/>
  <c r="AJ65" i="76"/>
  <c r="AJ75" i="76"/>
  <c r="AJ85" i="76"/>
  <c r="AJ96" i="76"/>
  <c r="AJ62" i="76"/>
  <c r="AJ71" i="76"/>
  <c r="AJ81" i="76"/>
  <c r="AJ58" i="76"/>
  <c r="AJ64" i="76"/>
  <c r="AJ94" i="76"/>
  <c r="AJ84" i="76"/>
  <c r="AJ54" i="76"/>
  <c r="AJ74" i="76"/>
  <c r="AJ88" i="76"/>
  <c r="AJ67" i="76"/>
  <c r="AJ89" i="76"/>
  <c r="AJ77" i="76"/>
  <c r="AJ56" i="76"/>
  <c r="AL56" i="76"/>
  <c r="AJ69" i="76"/>
  <c r="AJ92" i="76"/>
  <c r="AK92" i="76"/>
  <c r="AI57" i="76"/>
  <c r="AI66" i="76"/>
  <c r="AI76" i="76"/>
  <c r="AI86" i="76"/>
  <c r="AI53" i="76"/>
  <c r="AI63" i="76"/>
  <c r="AI82" i="76"/>
  <c r="AI93" i="76"/>
  <c r="AI59" i="76"/>
  <c r="AI79" i="76"/>
  <c r="AI89" i="76"/>
  <c r="AI56" i="76"/>
  <c r="AI65" i="76"/>
  <c r="AI75" i="76"/>
  <c r="AI71" i="76"/>
  <c r="AI81" i="76"/>
  <c r="AI58" i="76"/>
  <c r="AI67" i="76"/>
  <c r="AI77" i="76"/>
  <c r="AI88" i="76"/>
  <c r="AI54" i="76"/>
  <c r="AI80" i="76"/>
  <c r="AI94" i="76"/>
  <c r="AI96" i="76"/>
  <c r="AI85" i="76"/>
  <c r="AI64" i="76"/>
  <c r="AI74" i="76"/>
  <c r="AI60" i="76"/>
  <c r="AI70" i="76"/>
  <c r="AI90" i="76"/>
  <c r="AJ73" i="76"/>
  <c r="AK54" i="76"/>
  <c r="AK64" i="76"/>
  <c r="AK74" i="76"/>
  <c r="AK94" i="76"/>
  <c r="AK60" i="76"/>
  <c r="AK70" i="76"/>
  <c r="AK80" i="76"/>
  <c r="AK90" i="76"/>
  <c r="AK57" i="76"/>
  <c r="AK66" i="76"/>
  <c r="AK76" i="76"/>
  <c r="AK86" i="76"/>
  <c r="AK53" i="76"/>
  <c r="AK63" i="76"/>
  <c r="AK59" i="76"/>
  <c r="AK89" i="76"/>
  <c r="AK65" i="76"/>
  <c r="AK75" i="76"/>
  <c r="AK85" i="76"/>
  <c r="AK96" i="76"/>
  <c r="AK62" i="76"/>
  <c r="AK93" i="76"/>
  <c r="AK82" i="76"/>
  <c r="AK58" i="76"/>
  <c r="AK81" i="76"/>
  <c r="AK88" i="76"/>
  <c r="AK67" i="76"/>
  <c r="AK77" i="76"/>
  <c r="AK71" i="76"/>
  <c r="AK56" i="76"/>
  <c r="AL58" i="76"/>
  <c r="AL67" i="76"/>
  <c r="AL77" i="76"/>
  <c r="AL54" i="76"/>
  <c r="AL64" i="76"/>
  <c r="AL74" i="76"/>
  <c r="AL94" i="76"/>
  <c r="AL60" i="76"/>
  <c r="AL70" i="76"/>
  <c r="AL80" i="76"/>
  <c r="AL90" i="76"/>
  <c r="AL57" i="76"/>
  <c r="AL66" i="76"/>
  <c r="AL76" i="76"/>
  <c r="AL53" i="76"/>
  <c r="AL63" i="76"/>
  <c r="AL82" i="76"/>
  <c r="AL93" i="76"/>
  <c r="AL59" i="76"/>
  <c r="AL69" i="76"/>
  <c r="AL89" i="76"/>
  <c r="AL71" i="76"/>
  <c r="AL62" i="76"/>
  <c r="AL96" i="76"/>
  <c r="AL52" i="76"/>
  <c r="AL65" i="76"/>
  <c r="AL86" i="76"/>
  <c r="AL92" i="76"/>
  <c r="AL81" i="76"/>
  <c r="AL75" i="76"/>
  <c r="AL85" i="76"/>
  <c r="AK79" i="76"/>
  <c r="AK69" i="76"/>
  <c r="AI69" i="76"/>
  <c r="AI73" i="76"/>
  <c r="AI92" i="76"/>
  <c r="H37" i="18"/>
  <c r="N33" i="80"/>
  <c r="O33" i="80" s="1"/>
  <c r="L33" i="80"/>
  <c r="AD33" i="79"/>
  <c r="AB70" i="71"/>
  <c r="B146" i="71"/>
  <c r="H35" i="71"/>
  <c r="P64" i="31" s="1"/>
  <c r="K37" i="18"/>
  <c r="B180" i="71"/>
  <c r="P62" i="31"/>
  <c r="J33" i="71"/>
  <c r="W107" i="78"/>
  <c r="AS107" i="78" s="1"/>
  <c r="BO107" i="78" s="1"/>
  <c r="CK107" i="78" s="1"/>
  <c r="L107" i="78"/>
  <c r="AH107" i="78" s="1"/>
  <c r="BD107" i="78" s="1"/>
  <c r="BZ107" i="78" s="1"/>
  <c r="W70" i="78"/>
  <c r="AS70" i="78" s="1"/>
  <c r="BO70" i="78" s="1"/>
  <c r="CK70" i="78" s="1"/>
  <c r="L70" i="78"/>
  <c r="AH70" i="78" s="1"/>
  <c r="BD70" i="78" s="1"/>
  <c r="BZ70" i="78" s="1"/>
  <c r="I37" i="18"/>
  <c r="C70" i="71"/>
  <c r="S35" i="71"/>
  <c r="L144" i="71"/>
  <c r="W70" i="71"/>
  <c r="A144" i="71"/>
  <c r="A107" i="71"/>
  <c r="L107" i="71"/>
  <c r="I7" i="11" a="1"/>
  <c r="I8" i="11" s="1"/>
  <c r="H72" i="71" l="1"/>
  <c r="H109" i="71" s="1"/>
  <c r="Q62" i="31"/>
  <c r="J70" i="71"/>
  <c r="J107" i="71" s="1"/>
  <c r="I7" i="11"/>
  <c r="I12" i="11"/>
  <c r="I11" i="11"/>
  <c r="I10" i="11"/>
  <c r="I9" i="11"/>
  <c r="AD7" i="49"/>
  <c r="AB82" i="49"/>
  <c r="Z82" i="49"/>
  <c r="Y82" i="49"/>
  <c r="AD8" i="49"/>
  <c r="AD9" i="49"/>
  <c r="AD10" i="49"/>
  <c r="AD11" i="49"/>
  <c r="AD12" i="49"/>
  <c r="AD13" i="49"/>
  <c r="AD14" i="49"/>
  <c r="AD15" i="49"/>
  <c r="AD16" i="49"/>
  <c r="AD17" i="49"/>
  <c r="AD18" i="49"/>
  <c r="AD19" i="49"/>
  <c r="AD20" i="49"/>
  <c r="AD21" i="49"/>
  <c r="AD22" i="49"/>
  <c r="AD23" i="49"/>
  <c r="AD24" i="49"/>
  <c r="AD25" i="49"/>
  <c r="AD26" i="49"/>
  <c r="AD27" i="49"/>
  <c r="AD28" i="49"/>
  <c r="AD29" i="49"/>
  <c r="AD30" i="49"/>
  <c r="AD31" i="49"/>
  <c r="AD32" i="49"/>
  <c r="AD33" i="49"/>
  <c r="AD34" i="49"/>
  <c r="AD35" i="49"/>
  <c r="AD36" i="49"/>
  <c r="AD37" i="49"/>
  <c r="AD38" i="49"/>
  <c r="AD39" i="49"/>
  <c r="AD40" i="49"/>
  <c r="AD41" i="49"/>
  <c r="AD42" i="49"/>
  <c r="AD43" i="49"/>
  <c r="AD44" i="49"/>
  <c r="AD45" i="49"/>
  <c r="AD46" i="49"/>
  <c r="AD47" i="49"/>
  <c r="AD48" i="49"/>
  <c r="AD49" i="49"/>
  <c r="AD50" i="49"/>
  <c r="AD51" i="49"/>
  <c r="AD52" i="49"/>
  <c r="AD53" i="49"/>
  <c r="AD54" i="49"/>
  <c r="AD55" i="49"/>
  <c r="AD56" i="49"/>
  <c r="AD57" i="49"/>
  <c r="AD58" i="49"/>
  <c r="AD59" i="49"/>
  <c r="AD60" i="49"/>
  <c r="AD61" i="49"/>
  <c r="AD62" i="49"/>
  <c r="AD63" i="49"/>
  <c r="AD64" i="49"/>
  <c r="AD65" i="49"/>
  <c r="AD66" i="49"/>
  <c r="AD67" i="49"/>
  <c r="AD68" i="49"/>
  <c r="AD69" i="49"/>
  <c r="AD70" i="49"/>
  <c r="AD71" i="49"/>
  <c r="AD72" i="49"/>
  <c r="AD73" i="49"/>
  <c r="AD74" i="49"/>
  <c r="AD75" i="49"/>
  <c r="AD76" i="49"/>
  <c r="AD77" i="49"/>
  <c r="AD78" i="49"/>
  <c r="AD79" i="49"/>
  <c r="AD80" i="49"/>
  <c r="AD81" i="49"/>
  <c r="AA8" i="49"/>
  <c r="AC8" i="49" s="1"/>
  <c r="AA9" i="49"/>
  <c r="AC9" i="49" s="1"/>
  <c r="AA10" i="49"/>
  <c r="AC10" i="49" s="1"/>
  <c r="AA11" i="49"/>
  <c r="AC11" i="49" s="1"/>
  <c r="AA12" i="49"/>
  <c r="AC12" i="49" s="1"/>
  <c r="AA13" i="49"/>
  <c r="AC13" i="49" s="1"/>
  <c r="AA14" i="49"/>
  <c r="AC14" i="49" s="1"/>
  <c r="AA15" i="49"/>
  <c r="AC15" i="49" s="1"/>
  <c r="AA16" i="49"/>
  <c r="AC16" i="49" s="1"/>
  <c r="AA17" i="49"/>
  <c r="AC17" i="49" s="1"/>
  <c r="AA18" i="49"/>
  <c r="AC18" i="49" s="1"/>
  <c r="AA19" i="49"/>
  <c r="AC19" i="49" s="1"/>
  <c r="AA20" i="49"/>
  <c r="AC20" i="49" s="1"/>
  <c r="AA21" i="49"/>
  <c r="AC21" i="49" s="1"/>
  <c r="AA22" i="49"/>
  <c r="AC22" i="49" s="1"/>
  <c r="AA23" i="49"/>
  <c r="AC23" i="49" s="1"/>
  <c r="AA24" i="49"/>
  <c r="AC24" i="49" s="1"/>
  <c r="AA25" i="49"/>
  <c r="AC25" i="49" s="1"/>
  <c r="AA26" i="49"/>
  <c r="AC26" i="49" s="1"/>
  <c r="AA27" i="49"/>
  <c r="AC27" i="49" s="1"/>
  <c r="AA28" i="49"/>
  <c r="AC28" i="49" s="1"/>
  <c r="AA29" i="49"/>
  <c r="AC29" i="49" s="1"/>
  <c r="AA30" i="49"/>
  <c r="AC30" i="49" s="1"/>
  <c r="AA31" i="49"/>
  <c r="AC31" i="49" s="1"/>
  <c r="AA32" i="49"/>
  <c r="AC32" i="49" s="1"/>
  <c r="AA33" i="49"/>
  <c r="AC33" i="49" s="1"/>
  <c r="AA34" i="49"/>
  <c r="AC34" i="49" s="1"/>
  <c r="AA35" i="49"/>
  <c r="AC35" i="49" s="1"/>
  <c r="AA36" i="49"/>
  <c r="AC36" i="49" s="1"/>
  <c r="AA37" i="49"/>
  <c r="AC37" i="49" s="1"/>
  <c r="AA38" i="49"/>
  <c r="AC38" i="49" s="1"/>
  <c r="AA39" i="49"/>
  <c r="AC39" i="49" s="1"/>
  <c r="AA40" i="49"/>
  <c r="AC40" i="49" s="1"/>
  <c r="AA41" i="49"/>
  <c r="AC41" i="49" s="1"/>
  <c r="AA42" i="49"/>
  <c r="AC42" i="49" s="1"/>
  <c r="AA43" i="49"/>
  <c r="AC43" i="49" s="1"/>
  <c r="AA44" i="49"/>
  <c r="AC44" i="49" s="1"/>
  <c r="AA45" i="49"/>
  <c r="AC45" i="49" s="1"/>
  <c r="AA46" i="49"/>
  <c r="AC46" i="49" s="1"/>
  <c r="AA47" i="49"/>
  <c r="AC47" i="49" s="1"/>
  <c r="AA48" i="49"/>
  <c r="AC48" i="49" s="1"/>
  <c r="AA49" i="49"/>
  <c r="AC49" i="49" s="1"/>
  <c r="AA50" i="49"/>
  <c r="AC50" i="49" s="1"/>
  <c r="AA51" i="49"/>
  <c r="AC51" i="49" s="1"/>
  <c r="AA52" i="49"/>
  <c r="AC52" i="49" s="1"/>
  <c r="AA53" i="49"/>
  <c r="AC53" i="49" s="1"/>
  <c r="AA54" i="49"/>
  <c r="AC54" i="49" s="1"/>
  <c r="AA55" i="49"/>
  <c r="AC55" i="49" s="1"/>
  <c r="AA56" i="49"/>
  <c r="AC56" i="49" s="1"/>
  <c r="AA57" i="49"/>
  <c r="AC57" i="49" s="1"/>
  <c r="AA58" i="49"/>
  <c r="AC58" i="49" s="1"/>
  <c r="AA59" i="49"/>
  <c r="AC59" i="49" s="1"/>
  <c r="AA60" i="49"/>
  <c r="AC60" i="49" s="1"/>
  <c r="AA61" i="49"/>
  <c r="AC61" i="49" s="1"/>
  <c r="AA62" i="49"/>
  <c r="AC62" i="49" s="1"/>
  <c r="AA63" i="49"/>
  <c r="AC63" i="49" s="1"/>
  <c r="AA64" i="49"/>
  <c r="AC64" i="49" s="1"/>
  <c r="AA65" i="49"/>
  <c r="AC65" i="49" s="1"/>
  <c r="AA66" i="49"/>
  <c r="AC66" i="49" s="1"/>
  <c r="AA67" i="49"/>
  <c r="AC67" i="49" s="1"/>
  <c r="AA68" i="49"/>
  <c r="AC68" i="49" s="1"/>
  <c r="AA69" i="49"/>
  <c r="AC69" i="49" s="1"/>
  <c r="AA70" i="49"/>
  <c r="AC70" i="49" s="1"/>
  <c r="AA71" i="49"/>
  <c r="AC71" i="49" s="1"/>
  <c r="AA72" i="49"/>
  <c r="AC72" i="49" s="1"/>
  <c r="AA73" i="49"/>
  <c r="AC73" i="49" s="1"/>
  <c r="AA74" i="49"/>
  <c r="AC74" i="49" s="1"/>
  <c r="AA75" i="49"/>
  <c r="AC75" i="49" s="1"/>
  <c r="AA76" i="49"/>
  <c r="AC76" i="49" s="1"/>
  <c r="AA77" i="49"/>
  <c r="AC77" i="49" s="1"/>
  <c r="AA78" i="49"/>
  <c r="AC78" i="49" s="1"/>
  <c r="AA79" i="49"/>
  <c r="AC79" i="49" s="1"/>
  <c r="AA80" i="49"/>
  <c r="AC80" i="49" s="1"/>
  <c r="AC81" i="49"/>
  <c r="AA7" i="49"/>
  <c r="AC7" i="49" s="1"/>
  <c r="AD6" i="49"/>
  <c r="X82" i="49"/>
  <c r="X75" i="49"/>
  <c r="X76" i="49"/>
  <c r="X77" i="49"/>
  <c r="X78" i="49"/>
  <c r="X79" i="49"/>
  <c r="X80" i="49"/>
  <c r="X81" i="49"/>
  <c r="X63" i="49"/>
  <c r="X64" i="49"/>
  <c r="X65" i="49"/>
  <c r="X66" i="49"/>
  <c r="X67" i="49"/>
  <c r="X68" i="49"/>
  <c r="X69" i="49"/>
  <c r="X70" i="49"/>
  <c r="X71" i="49"/>
  <c r="X72" i="49"/>
  <c r="X73" i="49"/>
  <c r="X74" i="49"/>
  <c r="X55" i="49"/>
  <c r="X56" i="49"/>
  <c r="X57" i="49"/>
  <c r="X58" i="49"/>
  <c r="X59" i="49"/>
  <c r="X60" i="49"/>
  <c r="X61" i="49"/>
  <c r="X62" i="49"/>
  <c r="X42" i="49"/>
  <c r="X43" i="49"/>
  <c r="X44" i="49"/>
  <c r="X45" i="49"/>
  <c r="X46" i="49"/>
  <c r="X47" i="49"/>
  <c r="X48" i="49"/>
  <c r="X49" i="49"/>
  <c r="X50" i="49"/>
  <c r="X51" i="49"/>
  <c r="X52" i="49"/>
  <c r="X53" i="49"/>
  <c r="X54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29" i="49"/>
  <c r="X30" i="49"/>
  <c r="X31" i="49"/>
  <c r="X32" i="49"/>
  <c r="X33" i="49"/>
  <c r="X34" i="49"/>
  <c r="X35" i="49"/>
  <c r="X36" i="49"/>
  <c r="X37" i="49"/>
  <c r="X38" i="49"/>
  <c r="X39" i="49"/>
  <c r="X40" i="49"/>
  <c r="X41" i="49"/>
  <c r="X7" i="49"/>
  <c r="I14" i="11" l="1"/>
  <c r="AA82" i="49"/>
  <c r="AC82" i="49" s="1"/>
  <c r="AD82" i="49"/>
  <c r="L163" i="75"/>
  <c r="L154" i="75"/>
  <c r="L155" i="75"/>
  <c r="L156" i="75"/>
  <c r="L157" i="75"/>
  <c r="L158" i="75"/>
  <c r="L159" i="75"/>
  <c r="L160" i="75"/>
  <c r="L161" i="75"/>
  <c r="L153" i="75"/>
  <c r="AF33" i="71" l="1"/>
  <c r="AF70" i="71" s="1"/>
  <c r="AF107" i="71" s="1"/>
  <c r="U33" i="71"/>
  <c r="U70" i="71" s="1"/>
  <c r="U107" i="71" s="1"/>
  <c r="AE9" i="7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P42" i="49"/>
  <c r="P41" i="49"/>
  <c r="P40" i="49"/>
  <c r="P39" i="49"/>
  <c r="P38" i="49"/>
  <c r="P37" i="49"/>
  <c r="P36" i="49"/>
  <c r="P33" i="49"/>
  <c r="P31" i="49"/>
  <c r="P30" i="49"/>
  <c r="P29" i="49"/>
  <c r="P28" i="49"/>
  <c r="P27" i="49"/>
  <c r="P26" i="49"/>
  <c r="P25" i="49"/>
  <c r="P24" i="49"/>
  <c r="P23" i="49"/>
  <c r="P22" i="49"/>
  <c r="P21" i="49"/>
  <c r="P20" i="49"/>
  <c r="P19" i="49"/>
  <c r="P18" i="49"/>
  <c r="P17" i="49"/>
  <c r="P16" i="49"/>
  <c r="P15" i="49"/>
  <c r="P14" i="49"/>
  <c r="P13" i="49"/>
  <c r="P12" i="49"/>
  <c r="P11" i="49"/>
  <c r="P10" i="49"/>
  <c r="P9" i="49"/>
  <c r="P8" i="49"/>
  <c r="P7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V31" i="49"/>
  <c r="S31" i="49"/>
  <c r="U31" i="49" s="1"/>
  <c r="V30" i="49"/>
  <c r="S30" i="49"/>
  <c r="U30" i="49" s="1"/>
  <c r="V29" i="49"/>
  <c r="S29" i="49"/>
  <c r="U29" i="49" s="1"/>
  <c r="V28" i="49"/>
  <c r="S28" i="49"/>
  <c r="U28" i="49" s="1"/>
  <c r="V27" i="49"/>
  <c r="S27" i="49"/>
  <c r="U27" i="49" s="1"/>
  <c r="V26" i="49"/>
  <c r="S26" i="49"/>
  <c r="U26" i="49" s="1"/>
  <c r="V25" i="49"/>
  <c r="S25" i="49"/>
  <c r="U25" i="49" s="1"/>
  <c r="V24" i="49"/>
  <c r="S24" i="49"/>
  <c r="U24" i="49" s="1"/>
  <c r="V23" i="49"/>
  <c r="S23" i="49"/>
  <c r="U23" i="49" s="1"/>
  <c r="V22" i="49"/>
  <c r="S22" i="49"/>
  <c r="U22" i="49" s="1"/>
  <c r="V21" i="49"/>
  <c r="S21" i="49"/>
  <c r="U21" i="49" s="1"/>
  <c r="V20" i="49"/>
  <c r="S20" i="49"/>
  <c r="U20" i="49" s="1"/>
  <c r="V19" i="49"/>
  <c r="S19" i="49"/>
  <c r="U19" i="49" s="1"/>
  <c r="V18" i="49"/>
  <c r="S18" i="49"/>
  <c r="U18" i="49" s="1"/>
  <c r="V17" i="49"/>
  <c r="S17" i="49"/>
  <c r="U17" i="49" s="1"/>
  <c r="V16" i="49"/>
  <c r="S16" i="49"/>
  <c r="U16" i="49" s="1"/>
  <c r="V15" i="49"/>
  <c r="S15" i="49"/>
  <c r="U15" i="49" s="1"/>
  <c r="V14" i="49"/>
  <c r="S14" i="49"/>
  <c r="U14" i="49" s="1"/>
  <c r="V13" i="49"/>
  <c r="S13" i="49"/>
  <c r="U13" i="49" s="1"/>
  <c r="V12" i="49"/>
  <c r="S12" i="49"/>
  <c r="U12" i="49" s="1"/>
  <c r="V11" i="49"/>
  <c r="S11" i="49"/>
  <c r="U11" i="49" s="1"/>
  <c r="V10" i="49"/>
  <c r="S10" i="49"/>
  <c r="U10" i="49" s="1"/>
  <c r="V9" i="49"/>
  <c r="S9" i="49"/>
  <c r="U9" i="49" s="1"/>
  <c r="V8" i="49"/>
  <c r="S8" i="49"/>
  <c r="U8" i="49" s="1"/>
  <c r="V7" i="49"/>
  <c r="S7" i="49"/>
  <c r="U7" i="49" s="1"/>
  <c r="V6" i="49"/>
  <c r="U6" i="49"/>
  <c r="T6" i="49"/>
  <c r="S6" i="49"/>
  <c r="R6" i="49"/>
  <c r="Q6" i="49"/>
  <c r="T8" i="16" l="1" a="1"/>
  <c r="AE8" i="16" a="1"/>
  <c r="T35" i="71"/>
  <c r="AE35" i="71"/>
  <c r="V33" i="49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E8" i="16" l="1"/>
  <c r="AE9" i="16"/>
  <c r="AE15" i="16"/>
  <c r="AE12" i="16"/>
  <c r="AE16" i="16"/>
  <c r="AE14" i="16"/>
  <c r="AE13" i="16"/>
  <c r="AE11" i="16"/>
  <c r="AE10" i="16"/>
  <c r="T8" i="16"/>
  <c r="T14" i="16"/>
  <c r="T15" i="16"/>
  <c r="T13" i="16"/>
  <c r="T12" i="16"/>
  <c r="T10" i="16"/>
  <c r="T11" i="16"/>
  <c r="T9" i="16"/>
  <c r="T16" i="16"/>
  <c r="AB180" i="7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I178" i="71" s="1"/>
  <c r="N9" i="75" s="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78" i="71"/>
  <c r="AD178" i="71"/>
  <c r="AE178" i="71"/>
  <c r="S178" i="71"/>
  <c r="H178" i="71"/>
  <c r="M9" i="75" s="1"/>
  <c r="H177" i="71"/>
  <c r="M10" i="75" s="1"/>
  <c r="M81" i="75"/>
  <c r="A80" i="75" s="1"/>
  <c r="S157" i="71"/>
  <c r="S171" i="71"/>
  <c r="S156" i="71"/>
  <c r="I168" i="71"/>
  <c r="N27" i="75" s="1"/>
  <c r="AD165" i="71"/>
  <c r="AD177" i="71"/>
  <c r="I167" i="71"/>
  <c r="N28" i="75" s="1"/>
  <c r="S162" i="71"/>
  <c r="S174" i="71"/>
  <c r="AD159" i="71"/>
  <c r="AD171" i="71"/>
  <c r="AD168" i="71"/>
  <c r="H154" i="71"/>
  <c r="M49" i="75" s="1"/>
  <c r="I175" i="71"/>
  <c r="N14" i="75" s="1"/>
  <c r="I163" i="71"/>
  <c r="N36" i="75" s="1"/>
  <c r="I156" i="71"/>
  <c r="N45" i="75" s="1"/>
  <c r="S153" i="71"/>
  <c r="I155" i="71"/>
  <c r="N46" i="75" s="1"/>
  <c r="S159" i="71"/>
  <c r="S165" i="71"/>
  <c r="AD156" i="71"/>
  <c r="AD162" i="71"/>
  <c r="T180" i="71"/>
  <c r="AD174" i="71"/>
  <c r="H158" i="71"/>
  <c r="M43" i="75" s="1"/>
  <c r="H176" i="71"/>
  <c r="M13" i="75" s="1"/>
  <c r="S168" i="71"/>
  <c r="I157" i="71"/>
  <c r="N44" i="75" s="1"/>
  <c r="H164" i="71"/>
  <c r="M33" i="75" s="1"/>
  <c r="T176" i="71"/>
  <c r="S154" i="71"/>
  <c r="H165" i="71"/>
  <c r="M32" i="75" s="1"/>
  <c r="I153" i="71"/>
  <c r="N50" i="75" s="1"/>
  <c r="AD153" i="7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I160" i="71"/>
  <c r="N39" i="75" s="1"/>
  <c r="H168" i="71"/>
  <c r="M27" i="75" s="1"/>
  <c r="H156" i="71"/>
  <c r="M45" i="75" s="1"/>
  <c r="I171" i="71"/>
  <c r="N22" i="75" s="1"/>
  <c r="I159" i="71"/>
  <c r="N40" i="75" s="1"/>
  <c r="H153" i="71"/>
  <c r="M5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74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0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N21" i="75" l="1"/>
  <c r="M21" i="75"/>
  <c r="Z18" i="109"/>
  <c r="AE18" i="109"/>
  <c r="U18" i="109"/>
  <c r="B9" i="103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U18" i="109" l="1"/>
  <c r="AP18" i="109"/>
  <c r="AP34" i="109" s="1"/>
  <c r="AK18" i="109"/>
  <c r="AK33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P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U36" i="109"/>
  <c r="AT36" i="109"/>
  <c r="AS36" i="109"/>
  <c r="AR36" i="109"/>
  <c r="AP36" i="109"/>
  <c r="AO36" i="109"/>
  <c r="AN36" i="109"/>
  <c r="AM36" i="109"/>
  <c r="AJ36" i="109"/>
  <c r="AI36" i="109"/>
  <c r="AH36" i="109"/>
  <c r="AU34" i="109"/>
  <c r="AT34" i="109"/>
  <c r="AS34" i="109"/>
  <c r="AR34" i="109"/>
  <c r="AO34" i="109"/>
  <c r="AN34" i="109"/>
  <c r="AM34" i="109"/>
  <c r="AJ34" i="109"/>
  <c r="AI34" i="109"/>
  <c r="AH34" i="109"/>
  <c r="AU33" i="109"/>
  <c r="AT33" i="109"/>
  <c r="AS33" i="109"/>
  <c r="AR33" i="109"/>
  <c r="AO33" i="109"/>
  <c r="AN33" i="109"/>
  <c r="AM33" i="109"/>
  <c r="AJ33" i="109"/>
  <c r="AI33" i="109"/>
  <c r="AH33" i="109"/>
  <c r="AU32" i="109"/>
  <c r="AT32" i="109"/>
  <c r="AS32" i="109"/>
  <c r="AR32" i="109"/>
  <c r="AP32" i="109"/>
  <c r="AO32" i="109"/>
  <c r="AN32" i="109"/>
  <c r="AM32" i="109"/>
  <c r="AJ32" i="109"/>
  <c r="AI32" i="109"/>
  <c r="AH32" i="109"/>
  <c r="AU31" i="109"/>
  <c r="AT31" i="109"/>
  <c r="AS31" i="109"/>
  <c r="AR31" i="109"/>
  <c r="AO31" i="109"/>
  <c r="AN31" i="109"/>
  <c r="AM31" i="109"/>
  <c r="AJ31" i="109"/>
  <c r="AI31" i="109"/>
  <c r="AH31" i="109"/>
  <c r="AU30" i="109"/>
  <c r="AT30" i="109"/>
  <c r="AS30" i="109"/>
  <c r="AR30" i="109"/>
  <c r="AP30" i="109"/>
  <c r="AO30" i="109"/>
  <c r="AN30" i="109"/>
  <c r="AM30" i="109"/>
  <c r="AJ30" i="109"/>
  <c r="AI30" i="109"/>
  <c r="AH30" i="109"/>
  <c r="AU29" i="109"/>
  <c r="AT29" i="109"/>
  <c r="AS29" i="109"/>
  <c r="AR29" i="109"/>
  <c r="AP29" i="109"/>
  <c r="AO29" i="109"/>
  <c r="AN29" i="109"/>
  <c r="AM29" i="109"/>
  <c r="AJ29" i="109"/>
  <c r="AI29" i="109"/>
  <c r="AH29" i="109"/>
  <c r="AU28" i="109"/>
  <c r="AT28" i="109"/>
  <c r="AS28" i="109"/>
  <c r="AR28" i="109"/>
  <c r="AO28" i="109"/>
  <c r="AN28" i="109"/>
  <c r="AM28" i="109"/>
  <c r="AJ28" i="109"/>
  <c r="AI28" i="109"/>
  <c r="AH28" i="109"/>
  <c r="AU27" i="109"/>
  <c r="AT27" i="109"/>
  <c r="AS27" i="109"/>
  <c r="AR27" i="109"/>
  <c r="AP27" i="109"/>
  <c r="AO27" i="109"/>
  <c r="AN27" i="109"/>
  <c r="AM27" i="109"/>
  <c r="AJ27" i="109"/>
  <c r="AI27" i="109"/>
  <c r="AH27" i="109"/>
  <c r="AU26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Q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W46" i="109"/>
  <c r="P35" i="108" s="1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AB32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O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P3" i="108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E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45" i="109" s="1"/>
  <c r="A10" i="109"/>
  <c r="Q46" i="109" s="1"/>
  <c r="A11" i="109"/>
  <c r="AG29" i="109" s="1"/>
  <c r="A12" i="109"/>
  <c r="AG48" i="109" s="1"/>
  <c r="A13" i="109"/>
  <c r="Q49" i="109" s="1"/>
  <c r="A14" i="109"/>
  <c r="AG50" i="109" s="1"/>
  <c r="A15" i="109"/>
  <c r="AG51" i="109" s="1"/>
  <c r="A16" i="109"/>
  <c r="AG52" i="109" s="1"/>
  <c r="A18" i="109"/>
  <c r="AG54" i="109" s="1"/>
  <c r="N1" i="108"/>
  <c r="M38" i="108"/>
  <c r="M19" i="108"/>
  <c r="M13" i="108"/>
  <c r="M43" i="108" s="1"/>
  <c r="M11" i="108"/>
  <c r="M41" i="108" s="1"/>
  <c r="M10" i="108"/>
  <c r="M25" i="108" s="1"/>
  <c r="M9" i="108"/>
  <c r="M24" i="108" s="1"/>
  <c r="M8" i="108"/>
  <c r="M23" i="108" s="1"/>
  <c r="M7" i="108"/>
  <c r="M22" i="108" s="1"/>
  <c r="M6" i="108"/>
  <c r="M36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131" i="71" s="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E101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Z91" i="71"/>
  <c r="Y91" i="71"/>
  <c r="X91" i="71"/>
  <c r="AB90" i="71"/>
  <c r="AA90" i="71"/>
  <c r="Z90" i="71"/>
  <c r="Y90" i="71"/>
  <c r="X90" i="71"/>
  <c r="W90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W51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D69" i="71" s="1"/>
  <c r="AD106" i="71" s="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E63" i="71"/>
  <c r="AD26" i="71"/>
  <c r="AF26" i="71" s="1"/>
  <c r="AF63" i="71" s="1"/>
  <c r="AF100" i="71" s="1"/>
  <c r="AE62" i="71"/>
  <c r="AD25" i="71"/>
  <c r="AF25" i="71" s="1"/>
  <c r="AF62" i="71" s="1"/>
  <c r="AF99" i="71" s="1"/>
  <c r="AE98" i="71"/>
  <c r="AD24" i="71"/>
  <c r="AD61" i="71" s="1"/>
  <c r="AD98" i="71" s="1"/>
  <c r="AE60" i="71"/>
  <c r="AD23" i="71"/>
  <c r="AE59" i="71"/>
  <c r="AD22" i="71"/>
  <c r="AD59" i="71" s="1"/>
  <c r="AD96" i="71" s="1"/>
  <c r="AE58" i="71"/>
  <c r="AD21" i="71"/>
  <c r="AD58" i="71" s="1"/>
  <c r="AD95" i="71" s="1"/>
  <c r="W95" i="71"/>
  <c r="AE94" i="71"/>
  <c r="AD20" i="71"/>
  <c r="AE56" i="71"/>
  <c r="AD19" i="71"/>
  <c r="AD56" i="71" s="1"/>
  <c r="AD93" i="71" s="1"/>
  <c r="AE55" i="71"/>
  <c r="AD18" i="7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E51" i="71"/>
  <c r="AD14" i="71"/>
  <c r="AF14" i="71" s="1"/>
  <c r="AF51" i="71" s="1"/>
  <c r="AF88" i="71" s="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Q89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63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T98" i="71"/>
  <c r="S24" i="7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L95" i="7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Z79" i="16" s="1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81" i="16" s="1"/>
  <c r="L10" i="16"/>
  <c r="L82" i="16" s="1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O54" i="109" l="1"/>
  <c r="W1" i="16"/>
  <c r="A1" i="108"/>
  <c r="A79" i="108"/>
  <c r="A40" i="108"/>
  <c r="AP33" i="109"/>
  <c r="AP54" i="109"/>
  <c r="AP28" i="109"/>
  <c r="AP31" i="109"/>
  <c r="O34" i="109"/>
  <c r="M79" i="16"/>
  <c r="W39" i="16"/>
  <c r="L57" i="71"/>
  <c r="L131" i="71"/>
  <c r="W87" i="71"/>
  <c r="L68" i="71"/>
  <c r="W63" i="71"/>
  <c r="M35" i="108"/>
  <c r="W88" i="71"/>
  <c r="W99" i="71"/>
  <c r="W100" i="71"/>
  <c r="M28" i="108"/>
  <c r="Q47" i="109"/>
  <c r="W125" i="71"/>
  <c r="M26" i="108"/>
  <c r="Q33" i="109"/>
  <c r="L87" i="71"/>
  <c r="L56" i="71"/>
  <c r="M21" i="108"/>
  <c r="Q44" i="109"/>
  <c r="AG30" i="109"/>
  <c r="AG31" i="109"/>
  <c r="AG32" i="109"/>
  <c r="AG33" i="109"/>
  <c r="AG34" i="109"/>
  <c r="W137" i="71"/>
  <c r="Q30" i="109"/>
  <c r="AG27" i="109"/>
  <c r="AG28" i="109"/>
  <c r="AG44" i="109"/>
  <c r="L99" i="71"/>
  <c r="Q27" i="109"/>
  <c r="Q54" i="109"/>
  <c r="L100" i="71"/>
  <c r="L171" i="71"/>
  <c r="W65" i="71"/>
  <c r="W102" i="71"/>
  <c r="W127" i="71"/>
  <c r="M33" i="108"/>
  <c r="Q26" i="109"/>
  <c r="Q29" i="109"/>
  <c r="Q32" i="109"/>
  <c r="Q36" i="109"/>
  <c r="AG45" i="109"/>
  <c r="W52" i="71"/>
  <c r="AG46" i="109"/>
  <c r="L126" i="71"/>
  <c r="L52" i="71"/>
  <c r="L135" i="71"/>
  <c r="L169" i="71"/>
  <c r="L123" i="71"/>
  <c r="L157" i="71"/>
  <c r="W98" i="71"/>
  <c r="W169" i="71"/>
  <c r="W49" i="71"/>
  <c r="W157" i="71"/>
  <c r="AG47" i="109"/>
  <c r="L134" i="71"/>
  <c r="L168" i="71"/>
  <c r="L48" i="71"/>
  <c r="L156" i="71"/>
  <c r="W126" i="71"/>
  <c r="W134" i="71"/>
  <c r="W168" i="71"/>
  <c r="W122" i="71"/>
  <c r="W156" i="71"/>
  <c r="M40" i="108"/>
  <c r="Q48" i="109"/>
  <c r="Q51" i="109"/>
  <c r="L96" i="71"/>
  <c r="L167" i="71"/>
  <c r="L84" i="71"/>
  <c r="L155" i="71"/>
  <c r="W133" i="71"/>
  <c r="W167" i="71"/>
  <c r="W121" i="71"/>
  <c r="W155" i="71"/>
  <c r="M39" i="108"/>
  <c r="Q28" i="109"/>
  <c r="Q31" i="109"/>
  <c r="Q34" i="109"/>
  <c r="AG49" i="109"/>
  <c r="L64" i="71"/>
  <c r="L45" i="71"/>
  <c r="L153" i="71"/>
  <c r="L83" i="71"/>
  <c r="L154" i="71"/>
  <c r="W64" i="71"/>
  <c r="W119" i="71"/>
  <c r="W153" i="71"/>
  <c r="L53" i="71"/>
  <c r="L161" i="71"/>
  <c r="L65" i="71"/>
  <c r="L143" i="71"/>
  <c r="L177" i="71"/>
  <c r="L109" i="71"/>
  <c r="L180" i="71"/>
  <c r="W53" i="71"/>
  <c r="W135" i="71"/>
  <c r="W106" i="71"/>
  <c r="W177" i="71"/>
  <c r="W57" i="71"/>
  <c r="W165" i="71"/>
  <c r="W109" i="71"/>
  <c r="W180" i="71"/>
  <c r="M37" i="108"/>
  <c r="W68" i="71"/>
  <c r="W176" i="71"/>
  <c r="W56" i="71"/>
  <c r="W164" i="71"/>
  <c r="Q52" i="109"/>
  <c r="L138" i="71"/>
  <c r="L67" i="71"/>
  <c r="L175" i="71"/>
  <c r="L55" i="71"/>
  <c r="L163" i="71"/>
  <c r="W141" i="71"/>
  <c r="W175" i="71"/>
  <c r="W55" i="71"/>
  <c r="W163" i="71"/>
  <c r="AG36" i="109"/>
  <c r="L66" i="71"/>
  <c r="L174" i="71"/>
  <c r="L54" i="71"/>
  <c r="L162" i="71"/>
  <c r="W138" i="71"/>
  <c r="W103" i="71"/>
  <c r="W174" i="71"/>
  <c r="O31" i="109"/>
  <c r="AK26" i="109"/>
  <c r="AK31" i="109"/>
  <c r="AK32" i="109"/>
  <c r="AK34" i="109"/>
  <c r="AK27" i="109"/>
  <c r="AU54" i="109"/>
  <c r="AK29" i="109"/>
  <c r="AF12" i="71"/>
  <c r="AF49" i="71" s="1"/>
  <c r="AF86" i="71" s="1"/>
  <c r="AK36" i="109"/>
  <c r="AK54" i="109"/>
  <c r="AK28" i="109"/>
  <c r="AK30" i="109"/>
  <c r="AF9" i="71"/>
  <c r="AF46" i="71" s="1"/>
  <c r="AF83" i="71" s="1"/>
  <c r="AF18" i="71"/>
  <c r="AF55" i="71" s="1"/>
  <c r="AF92" i="71" s="1"/>
  <c r="AF23" i="71"/>
  <c r="AF60" i="71" s="1"/>
  <c r="AF97" i="71" s="1"/>
  <c r="AE85" i="71"/>
  <c r="AE49" i="71"/>
  <c r="AE57" i="71"/>
  <c r="AF11" i="71"/>
  <c r="AF48" i="71" s="1"/>
  <c r="AF85" i="71" s="1"/>
  <c r="AF15" i="71"/>
  <c r="AF52" i="71" s="1"/>
  <c r="AF89" i="71" s="1"/>
  <c r="AF20" i="71"/>
  <c r="AF57" i="71" s="1"/>
  <c r="AF94" i="71" s="1"/>
  <c r="AF29" i="71"/>
  <c r="AF66" i="71" s="1"/>
  <c r="AF103" i="71" s="1"/>
  <c r="AE65" i="71"/>
  <c r="AE97" i="71"/>
  <c r="AE45" i="71"/>
  <c r="AE93" i="71"/>
  <c r="AF30" i="71"/>
  <c r="AF67" i="71" s="1"/>
  <c r="AF104" i="71" s="1"/>
  <c r="AE69" i="71"/>
  <c r="AF8" i="71"/>
  <c r="AF21" i="71"/>
  <c r="AF58" i="71" s="1"/>
  <c r="AF95" i="71" s="1"/>
  <c r="AE89" i="71"/>
  <c r="AE53" i="71"/>
  <c r="AE61" i="71"/>
  <c r="U24" i="71"/>
  <c r="U61" i="71" s="1"/>
  <c r="U98" i="71" s="1"/>
  <c r="AF27" i="71"/>
  <c r="AF64" i="71" s="1"/>
  <c r="AF101" i="71" s="1"/>
  <c r="AF32" i="71"/>
  <c r="AF69" i="71" s="1"/>
  <c r="AF106" i="71" s="1"/>
  <c r="AE105" i="71"/>
  <c r="T93" i="71"/>
  <c r="U31" i="71"/>
  <c r="U68" i="71" s="1"/>
  <c r="U105" i="71" s="1"/>
  <c r="T89" i="71"/>
  <c r="T105" i="71"/>
  <c r="T101" i="7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87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X47" i="71"/>
  <c r="X55" i="71"/>
  <c r="Z109" i="71"/>
  <c r="AA81" i="16"/>
  <c r="AD72" i="7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A47" i="16" l="1"/>
  <c r="AF45" i="71"/>
  <c r="AF82" i="71" s="1"/>
  <c r="AF35" i="71"/>
  <c r="AF72" i="71" s="1"/>
  <c r="AF109" i="71" s="1"/>
  <c r="U35" i="71"/>
  <c r="U72" i="71" s="1"/>
  <c r="U109" i="71" s="1"/>
  <c r="X48" i="16"/>
  <c r="Z47" i="16"/>
  <c r="AD83" i="16"/>
  <c r="X71" i="16"/>
  <c r="X49" i="16"/>
  <c r="Z67" i="16"/>
  <c r="X53" i="16"/>
  <c r="AA49" i="16"/>
  <c r="AB52" i="16"/>
  <c r="AE86" i="16" s="1"/>
  <c r="Z54" i="16"/>
  <c r="Z52" i="16"/>
  <c r="X46" i="16"/>
  <c r="AA88" i="16"/>
  <c r="X54" i="16"/>
  <c r="Y54" i="16"/>
  <c r="AA52" i="16"/>
  <c r="AD84" i="16"/>
  <c r="P51" i="16"/>
  <c r="AA50" i="16"/>
  <c r="X50" i="16"/>
  <c r="Y49" i="16"/>
  <c r="M48" i="16"/>
  <c r="Y51" i="16"/>
  <c r="S82" i="16"/>
  <c r="AB46" i="16"/>
  <c r="AE80" i="16" s="1"/>
  <c r="Z48" i="16"/>
  <c r="N47" i="16"/>
  <c r="Y53" i="16"/>
  <c r="Z46" i="16"/>
  <c r="AE109" i="71"/>
  <c r="T27" i="16"/>
  <c r="T28" i="16"/>
  <c r="T34" i="16"/>
  <c r="T31" i="16"/>
  <c r="T33" i="16"/>
  <c r="T30" i="16"/>
  <c r="T32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AD85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P48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D27" i="16" s="1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0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Z33" i="16" l="1"/>
  <c r="Z27" i="16"/>
  <c r="Z29" i="16"/>
  <c r="AB32" i="16"/>
  <c r="U16" i="16"/>
  <c r="U34" i="16" s="1"/>
  <c r="AF12" i="16"/>
  <c r="AF30" i="16" s="1"/>
  <c r="AB29" i="16"/>
  <c r="AB31" i="16"/>
  <c r="Z31" i="16"/>
  <c r="AA28" i="16"/>
  <c r="AB33" i="16"/>
  <c r="Z28" i="16"/>
  <c r="AF15" i="16"/>
  <c r="AF33" i="16" s="1"/>
  <c r="AF14" i="16"/>
  <c r="AF32" i="16" s="1"/>
  <c r="U13" i="16"/>
  <c r="U31" i="16" s="1"/>
  <c r="T18" i="16"/>
  <c r="T36" i="16" s="1"/>
  <c r="U12" i="16"/>
  <c r="U30" i="16" s="1"/>
  <c r="U9" i="16"/>
  <c r="U27" i="16" s="1"/>
  <c r="U10" i="16"/>
  <c r="U28" i="16" s="1"/>
  <c r="T26" i="16"/>
  <c r="AF9" i="16"/>
  <c r="AF27" i="16" s="1"/>
  <c r="U15" i="16"/>
  <c r="U33" i="16" s="1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D33" i="105"/>
  <c r="L32" i="105"/>
  <c r="H32" i="105"/>
  <c r="U32" i="105" s="1"/>
  <c r="D32" i="105"/>
  <c r="T32" i="105" s="1"/>
  <c r="L31" i="105"/>
  <c r="H31" i="105"/>
  <c r="D31" i="105"/>
  <c r="L30" i="105"/>
  <c r="H30" i="105"/>
  <c r="D30" i="105"/>
  <c r="L29" i="105"/>
  <c r="H29" i="105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L24" i="105"/>
  <c r="H24" i="105"/>
  <c r="D24" i="105"/>
  <c r="L23" i="105"/>
  <c r="H23" i="105"/>
  <c r="D23" i="105"/>
  <c r="L22" i="105"/>
  <c r="H22" i="105"/>
  <c r="D22" i="105"/>
  <c r="T22" i="105" s="1"/>
  <c r="L21" i="105"/>
  <c r="H21" i="105"/>
  <c r="D21" i="105"/>
  <c r="T21" i="105" s="1"/>
  <c r="L20" i="105"/>
  <c r="H20" i="105"/>
  <c r="D20" i="105"/>
  <c r="L19" i="105"/>
  <c r="H19" i="105"/>
  <c r="D19" i="105"/>
  <c r="L18" i="105"/>
  <c r="H18" i="105"/>
  <c r="U18" i="105" s="1"/>
  <c r="D18" i="105"/>
  <c r="L17" i="105"/>
  <c r="H17" i="105"/>
  <c r="D17" i="105"/>
  <c r="L16" i="105"/>
  <c r="H16" i="105"/>
  <c r="D16" i="105"/>
  <c r="T16" i="105" s="1"/>
  <c r="L15" i="105"/>
  <c r="H15" i="105"/>
  <c r="D15" i="105"/>
  <c r="L14" i="105"/>
  <c r="H14" i="105"/>
  <c r="D14" i="105"/>
  <c r="T14" i="105" s="1"/>
  <c r="L13" i="105"/>
  <c r="H13" i="105"/>
  <c r="D13" i="105"/>
  <c r="T13" i="105" s="1"/>
  <c r="L12" i="105"/>
  <c r="H12" i="105"/>
  <c r="D12" i="105"/>
  <c r="L11" i="105"/>
  <c r="H11" i="105"/>
  <c r="D11" i="105"/>
  <c r="L10" i="105"/>
  <c r="H10" i="105"/>
  <c r="U10" i="105" s="1"/>
  <c r="D10" i="105"/>
  <c r="L9" i="105"/>
  <c r="H9" i="105"/>
  <c r="D9" i="105"/>
  <c r="U7" i="105"/>
  <c r="T7" i="105"/>
  <c r="R7" i="105"/>
  <c r="Q7" i="105"/>
  <c r="U11" i="105" l="1"/>
  <c r="U30" i="105"/>
  <c r="U29" i="105"/>
  <c r="T33" i="105"/>
  <c r="U19" i="105"/>
  <c r="U27" i="105"/>
  <c r="T24" i="105"/>
  <c r="U13" i="105"/>
  <c r="U21" i="105"/>
  <c r="T10" i="105"/>
  <c r="U15" i="105"/>
  <c r="T18" i="105"/>
  <c r="U23" i="105"/>
  <c r="T26" i="105"/>
  <c r="T29" i="105"/>
  <c r="U14" i="105"/>
  <c r="T17" i="105"/>
  <c r="U22" i="105"/>
  <c r="T25" i="105"/>
  <c r="U33" i="105"/>
  <c r="L36" i="105"/>
  <c r="U12" i="105"/>
  <c r="T15" i="105"/>
  <c r="U20" i="105"/>
  <c r="T23" i="105"/>
  <c r="U31" i="105"/>
  <c r="T11" i="105"/>
  <c r="U16" i="105"/>
  <c r="T19" i="105"/>
  <c r="U24" i="105"/>
  <c r="T27" i="105"/>
  <c r="T30" i="105"/>
  <c r="T9" i="105"/>
  <c r="D36" i="105"/>
  <c r="U9" i="105"/>
  <c r="H36" i="105"/>
  <c r="T12" i="105"/>
  <c r="U17" i="105"/>
  <c r="T20" i="105"/>
  <c r="U25" i="105"/>
  <c r="T28" i="105"/>
  <c r="T31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C31" i="49"/>
  <c r="E31" i="49"/>
  <c r="E7" i="49"/>
  <c r="C7" i="49"/>
  <c r="B7" i="49"/>
  <c r="A1" i="104" l="1"/>
  <c r="G8" i="49"/>
  <c r="K8" i="49" a="1"/>
  <c r="K14" i="49" s="1"/>
  <c r="M8" i="49" a="1"/>
  <c r="M13" i="49" s="1"/>
  <c r="J8" i="49" a="1"/>
  <c r="J8" i="49" s="1"/>
  <c r="T36" i="105"/>
  <c r="U36" i="105"/>
  <c r="G7" i="49"/>
  <c r="F330" i="104"/>
  <c r="F329" i="104"/>
  <c r="D330" i="104"/>
  <c r="D329" i="104"/>
  <c r="B330" i="104"/>
  <c r="B329" i="104"/>
  <c r="B35" i="104"/>
  <c r="K15" i="49" l="1"/>
  <c r="M15" i="49"/>
  <c r="M16" i="49"/>
  <c r="K8" i="49"/>
  <c r="J14" i="49"/>
  <c r="J16" i="49"/>
  <c r="M8" i="49"/>
  <c r="J13" i="49"/>
  <c r="M14" i="49"/>
  <c r="M9" i="49"/>
  <c r="J10" i="49"/>
  <c r="K12" i="49"/>
  <c r="K9" i="49"/>
  <c r="K10" i="49"/>
  <c r="J11" i="49"/>
  <c r="K11" i="49"/>
  <c r="J9" i="49"/>
  <c r="M12" i="49"/>
  <c r="J12" i="49"/>
  <c r="K16" i="49"/>
  <c r="J15" i="49"/>
  <c r="M10" i="49"/>
  <c r="M11" i="49"/>
  <c r="K13" i="49"/>
  <c r="B30" i="104"/>
  <c r="O554" i="102" l="1"/>
  <c r="N564" i="102"/>
  <c r="X540" i="102"/>
  <c r="W540" i="102"/>
  <c r="V540" i="102"/>
  <c r="X539" i="102"/>
  <c r="W539" i="102"/>
  <c r="V539" i="102"/>
  <c r="S540" i="102"/>
  <c r="R540" i="102"/>
  <c r="Q540" i="102"/>
  <c r="S539" i="102"/>
  <c r="R539" i="102"/>
  <c r="Q539" i="102"/>
  <c r="N540" i="102"/>
  <c r="M540" i="102"/>
  <c r="L540" i="102"/>
  <c r="N539" i="102"/>
  <c r="M539" i="102"/>
  <c r="L539" i="102"/>
  <c r="I540" i="102"/>
  <c r="H540" i="102"/>
  <c r="G540" i="102"/>
  <c r="I539" i="102"/>
  <c r="H539" i="102"/>
  <c r="G539" i="102"/>
  <c r="B540" i="102"/>
  <c r="C540" i="102"/>
  <c r="D540" i="102"/>
  <c r="C539" i="102"/>
  <c r="D539" i="102"/>
  <c r="B539" i="102"/>
  <c r="X536" i="102"/>
  <c r="W536" i="102"/>
  <c r="V536" i="102"/>
  <c r="S536" i="102"/>
  <c r="R536" i="102"/>
  <c r="Q536" i="102"/>
  <c r="N536" i="102"/>
  <c r="M536" i="102"/>
  <c r="L536" i="102"/>
  <c r="I536" i="102"/>
  <c r="H536" i="102"/>
  <c r="G536" i="102"/>
  <c r="D536" i="102"/>
  <c r="C536" i="102"/>
  <c r="B536" i="102"/>
  <c r="Y535" i="102"/>
  <c r="T535" i="102"/>
  <c r="O535" i="102"/>
  <c r="J535" i="102"/>
  <c r="E535" i="102"/>
  <c r="Y534" i="102"/>
  <c r="T534" i="102"/>
  <c r="O534" i="102"/>
  <c r="J534" i="102"/>
  <c r="E534" i="102"/>
  <c r="X531" i="102"/>
  <c r="W531" i="102"/>
  <c r="V531" i="102"/>
  <c r="S531" i="102"/>
  <c r="R531" i="102"/>
  <c r="Q531" i="102"/>
  <c r="N531" i="102"/>
  <c r="M531" i="102"/>
  <c r="L531" i="102"/>
  <c r="I531" i="102"/>
  <c r="H531" i="102"/>
  <c r="G531" i="102"/>
  <c r="D531" i="102"/>
  <c r="C531" i="102"/>
  <c r="B531" i="102"/>
  <c r="Y530" i="102"/>
  <c r="T530" i="102"/>
  <c r="O530" i="102"/>
  <c r="J530" i="102"/>
  <c r="E530" i="102"/>
  <c r="Y529" i="102"/>
  <c r="T529" i="102"/>
  <c r="O529" i="102"/>
  <c r="J529" i="102"/>
  <c r="E529" i="102"/>
  <c r="X526" i="102"/>
  <c r="W526" i="102"/>
  <c r="V526" i="102"/>
  <c r="S526" i="102"/>
  <c r="R526" i="102"/>
  <c r="Q526" i="102"/>
  <c r="N526" i="102"/>
  <c r="M526" i="102"/>
  <c r="L526" i="102"/>
  <c r="I526" i="102"/>
  <c r="H526" i="102"/>
  <c r="G526" i="102"/>
  <c r="D526" i="102"/>
  <c r="C526" i="102"/>
  <c r="B526" i="102"/>
  <c r="Y525" i="102"/>
  <c r="T525" i="102"/>
  <c r="O525" i="102"/>
  <c r="J525" i="102"/>
  <c r="E525" i="102"/>
  <c r="Y524" i="102"/>
  <c r="T524" i="102"/>
  <c r="O524" i="102"/>
  <c r="J524" i="102"/>
  <c r="E524" i="102"/>
  <c r="X521" i="102"/>
  <c r="W521" i="102"/>
  <c r="V521" i="102"/>
  <c r="S521" i="102"/>
  <c r="R521" i="102"/>
  <c r="Q521" i="102"/>
  <c r="N521" i="102"/>
  <c r="M521" i="102"/>
  <c r="L521" i="102"/>
  <c r="I521" i="102"/>
  <c r="H521" i="102"/>
  <c r="G521" i="102"/>
  <c r="D521" i="102"/>
  <c r="C521" i="102"/>
  <c r="B521" i="102"/>
  <c r="Y520" i="102"/>
  <c r="T520" i="102"/>
  <c r="O520" i="102"/>
  <c r="J520" i="102"/>
  <c r="E520" i="102"/>
  <c r="Y519" i="102"/>
  <c r="T519" i="102"/>
  <c r="O519" i="102"/>
  <c r="J519" i="102"/>
  <c r="E519" i="102"/>
  <c r="X486" i="102"/>
  <c r="W486" i="102"/>
  <c r="V486" i="102"/>
  <c r="S486" i="102"/>
  <c r="R486" i="102"/>
  <c r="Q486" i="102"/>
  <c r="N486" i="102"/>
  <c r="M486" i="102"/>
  <c r="L486" i="102"/>
  <c r="I486" i="102"/>
  <c r="H486" i="102"/>
  <c r="G486" i="102"/>
  <c r="D486" i="102"/>
  <c r="C486" i="102"/>
  <c r="B486" i="102"/>
  <c r="Y485" i="102"/>
  <c r="T485" i="102"/>
  <c r="O485" i="102"/>
  <c r="J485" i="102"/>
  <c r="E485" i="102"/>
  <c r="Y484" i="102"/>
  <c r="T484" i="102"/>
  <c r="O484" i="102"/>
  <c r="J484" i="102"/>
  <c r="E484" i="102"/>
  <c r="X476" i="102"/>
  <c r="W476" i="102"/>
  <c r="V476" i="102"/>
  <c r="S476" i="102"/>
  <c r="R476" i="102"/>
  <c r="Q476" i="102"/>
  <c r="N476" i="102"/>
  <c r="M476" i="102"/>
  <c r="L476" i="102"/>
  <c r="I476" i="102"/>
  <c r="H476" i="102"/>
  <c r="G476" i="102"/>
  <c r="D476" i="102"/>
  <c r="C476" i="102"/>
  <c r="B476" i="102"/>
  <c r="Y475" i="102"/>
  <c r="T475" i="102"/>
  <c r="O475" i="102"/>
  <c r="J475" i="102"/>
  <c r="E475" i="102"/>
  <c r="Y474" i="102"/>
  <c r="T474" i="102"/>
  <c r="O474" i="102"/>
  <c r="J474" i="102"/>
  <c r="E474" i="102"/>
  <c r="X465" i="102"/>
  <c r="W465" i="102"/>
  <c r="V465" i="102"/>
  <c r="X464" i="102"/>
  <c r="W464" i="102"/>
  <c r="V464" i="102"/>
  <c r="S465" i="102"/>
  <c r="R465" i="102"/>
  <c r="Q465" i="102"/>
  <c r="S464" i="102"/>
  <c r="R464" i="102"/>
  <c r="Q464" i="102"/>
  <c r="N465" i="102"/>
  <c r="M465" i="102"/>
  <c r="L465" i="102"/>
  <c r="N464" i="102"/>
  <c r="M464" i="102"/>
  <c r="L464" i="102"/>
  <c r="I465" i="102"/>
  <c r="H465" i="102"/>
  <c r="G465" i="102"/>
  <c r="I464" i="102"/>
  <c r="H464" i="102"/>
  <c r="G464" i="102"/>
  <c r="B465" i="102"/>
  <c r="C465" i="102"/>
  <c r="D465" i="102"/>
  <c r="C464" i="102"/>
  <c r="D464" i="102"/>
  <c r="B464" i="102"/>
  <c r="X461" i="102"/>
  <c r="W461" i="102"/>
  <c r="V461" i="102"/>
  <c r="S461" i="102"/>
  <c r="R461" i="102"/>
  <c r="Q461" i="102"/>
  <c r="N461" i="102"/>
  <c r="M461" i="102"/>
  <c r="L461" i="102"/>
  <c r="I461" i="102"/>
  <c r="H461" i="102"/>
  <c r="G461" i="102"/>
  <c r="D461" i="102"/>
  <c r="C461" i="102"/>
  <c r="B461" i="102"/>
  <c r="Y460" i="102"/>
  <c r="T460" i="102"/>
  <c r="O460" i="102"/>
  <c r="J460" i="102"/>
  <c r="E460" i="102"/>
  <c r="Y459" i="102"/>
  <c r="T459" i="102"/>
  <c r="O459" i="102"/>
  <c r="J459" i="102"/>
  <c r="E459" i="102"/>
  <c r="X456" i="102"/>
  <c r="W456" i="102"/>
  <c r="V456" i="102"/>
  <c r="S456" i="102"/>
  <c r="R456" i="102"/>
  <c r="Q456" i="102"/>
  <c r="N456" i="102"/>
  <c r="M456" i="102"/>
  <c r="L456" i="102"/>
  <c r="I456" i="102"/>
  <c r="H456" i="102"/>
  <c r="G456" i="102"/>
  <c r="D456" i="102"/>
  <c r="C456" i="102"/>
  <c r="B456" i="102"/>
  <c r="Y455" i="102"/>
  <c r="T455" i="102"/>
  <c r="O455" i="102"/>
  <c r="J455" i="102"/>
  <c r="E455" i="102"/>
  <c r="Y454" i="102"/>
  <c r="T454" i="102"/>
  <c r="O454" i="102"/>
  <c r="J454" i="102"/>
  <c r="E454" i="102"/>
  <c r="X451" i="102"/>
  <c r="W451" i="102"/>
  <c r="V451" i="102"/>
  <c r="S451" i="102"/>
  <c r="R451" i="102"/>
  <c r="Q451" i="102"/>
  <c r="N451" i="102"/>
  <c r="M451" i="102"/>
  <c r="L451" i="102"/>
  <c r="I451" i="102"/>
  <c r="H451" i="102"/>
  <c r="G451" i="102"/>
  <c r="D451" i="102"/>
  <c r="C451" i="102"/>
  <c r="B451" i="102"/>
  <c r="Y450" i="102"/>
  <c r="T450" i="102"/>
  <c r="O450" i="102"/>
  <c r="J450" i="102"/>
  <c r="E450" i="102"/>
  <c r="Y449" i="102"/>
  <c r="T449" i="102"/>
  <c r="O449" i="102"/>
  <c r="J449" i="102"/>
  <c r="E449" i="102"/>
  <c r="X446" i="102"/>
  <c r="W446" i="102"/>
  <c r="V446" i="102"/>
  <c r="S446" i="102"/>
  <c r="R446" i="102"/>
  <c r="Q446" i="102"/>
  <c r="N446" i="102"/>
  <c r="M446" i="102"/>
  <c r="L446" i="102"/>
  <c r="I446" i="102"/>
  <c r="H446" i="102"/>
  <c r="G446" i="102"/>
  <c r="D446" i="102"/>
  <c r="C446" i="102"/>
  <c r="B446" i="102"/>
  <c r="Y445" i="102"/>
  <c r="T445" i="102"/>
  <c r="O445" i="102"/>
  <c r="J445" i="102"/>
  <c r="E445" i="102"/>
  <c r="Y444" i="102"/>
  <c r="T444" i="102"/>
  <c r="O444" i="102"/>
  <c r="J444" i="102"/>
  <c r="E444" i="102"/>
  <c r="X441" i="102"/>
  <c r="W441" i="102"/>
  <c r="V441" i="102"/>
  <c r="S441" i="102"/>
  <c r="R441" i="102"/>
  <c r="Q441" i="102"/>
  <c r="N441" i="102"/>
  <c r="M441" i="102"/>
  <c r="L441" i="102"/>
  <c r="I441" i="102"/>
  <c r="H441" i="102"/>
  <c r="G441" i="102"/>
  <c r="D441" i="102"/>
  <c r="C441" i="102"/>
  <c r="B441" i="102"/>
  <c r="Y440" i="102"/>
  <c r="T440" i="102"/>
  <c r="O440" i="102"/>
  <c r="J440" i="102"/>
  <c r="E440" i="102"/>
  <c r="Y439" i="102"/>
  <c r="T439" i="102"/>
  <c r="O439" i="102"/>
  <c r="J439" i="102"/>
  <c r="E439" i="102"/>
  <c r="X436" i="102"/>
  <c r="W436" i="102"/>
  <c r="V436" i="102"/>
  <c r="S436" i="102"/>
  <c r="R436" i="102"/>
  <c r="Q436" i="102"/>
  <c r="N436" i="102"/>
  <c r="M436" i="102"/>
  <c r="L436" i="102"/>
  <c r="I436" i="102"/>
  <c r="H436" i="102"/>
  <c r="G436" i="102"/>
  <c r="D436" i="102"/>
  <c r="C436" i="102"/>
  <c r="B436" i="102"/>
  <c r="Y435" i="102"/>
  <c r="T435" i="102"/>
  <c r="O435" i="102"/>
  <c r="J435" i="102"/>
  <c r="E435" i="102"/>
  <c r="Y434" i="102"/>
  <c r="T434" i="102"/>
  <c r="O434" i="102"/>
  <c r="J434" i="102"/>
  <c r="E434" i="102"/>
  <c r="X425" i="102"/>
  <c r="W425" i="102"/>
  <c r="V425" i="102"/>
  <c r="X424" i="102"/>
  <c r="W424" i="102"/>
  <c r="V424" i="102"/>
  <c r="S425" i="102"/>
  <c r="R425" i="102"/>
  <c r="Q425" i="102"/>
  <c r="S424" i="102"/>
  <c r="R424" i="102"/>
  <c r="Q424" i="102"/>
  <c r="N425" i="102"/>
  <c r="M425" i="102"/>
  <c r="L425" i="102"/>
  <c r="N424" i="102"/>
  <c r="M424" i="102"/>
  <c r="L424" i="102"/>
  <c r="I425" i="102"/>
  <c r="H425" i="102"/>
  <c r="G425" i="102"/>
  <c r="I424" i="102"/>
  <c r="H424" i="102"/>
  <c r="G424" i="102"/>
  <c r="B425" i="102"/>
  <c r="C425" i="102"/>
  <c r="D425" i="102"/>
  <c r="C424" i="102"/>
  <c r="D424" i="102"/>
  <c r="B424" i="102"/>
  <c r="X421" i="102"/>
  <c r="W421" i="102"/>
  <c r="V421" i="102"/>
  <c r="S421" i="102"/>
  <c r="R421" i="102"/>
  <c r="Q421" i="102"/>
  <c r="N421" i="102"/>
  <c r="M421" i="102"/>
  <c r="L421" i="102"/>
  <c r="I421" i="102"/>
  <c r="H421" i="102"/>
  <c r="G421" i="102"/>
  <c r="D421" i="102"/>
  <c r="C421" i="102"/>
  <c r="B421" i="102"/>
  <c r="Y420" i="102"/>
  <c r="T420" i="102"/>
  <c r="O420" i="102"/>
  <c r="J420" i="102"/>
  <c r="E420" i="102"/>
  <c r="Y419" i="102"/>
  <c r="T419" i="102"/>
  <c r="O419" i="102"/>
  <c r="J419" i="102"/>
  <c r="E419" i="102"/>
  <c r="X416" i="102"/>
  <c r="W416" i="102"/>
  <c r="V416" i="102"/>
  <c r="S416" i="102"/>
  <c r="R416" i="102"/>
  <c r="Q416" i="102"/>
  <c r="N416" i="102"/>
  <c r="M416" i="102"/>
  <c r="L416" i="102"/>
  <c r="I416" i="102"/>
  <c r="H416" i="102"/>
  <c r="G416" i="102"/>
  <c r="D416" i="102"/>
  <c r="C416" i="102"/>
  <c r="B416" i="102"/>
  <c r="Y415" i="102"/>
  <c r="T415" i="102"/>
  <c r="O415" i="102"/>
  <c r="J415" i="102"/>
  <c r="E415" i="102"/>
  <c r="Y414" i="102"/>
  <c r="T414" i="102"/>
  <c r="O414" i="102"/>
  <c r="J414" i="102"/>
  <c r="E414" i="102"/>
  <c r="X411" i="102"/>
  <c r="W411" i="102"/>
  <c r="V411" i="102"/>
  <c r="S411" i="102"/>
  <c r="R411" i="102"/>
  <c r="Q411" i="102"/>
  <c r="N411" i="102"/>
  <c r="M411" i="102"/>
  <c r="L411" i="102"/>
  <c r="I411" i="102"/>
  <c r="H411" i="102"/>
  <c r="G411" i="102"/>
  <c r="D411" i="102"/>
  <c r="C411" i="102"/>
  <c r="B411" i="102"/>
  <c r="Y410" i="102"/>
  <c r="T410" i="102"/>
  <c r="O410" i="102"/>
  <c r="J410" i="102"/>
  <c r="E410" i="102"/>
  <c r="Y409" i="102"/>
  <c r="T409" i="102"/>
  <c r="O409" i="102"/>
  <c r="J409" i="102"/>
  <c r="E409" i="102"/>
  <c r="X406" i="102"/>
  <c r="W406" i="102"/>
  <c r="V406" i="102"/>
  <c r="S406" i="102"/>
  <c r="R406" i="102"/>
  <c r="Q406" i="102"/>
  <c r="N406" i="102"/>
  <c r="M406" i="102"/>
  <c r="L406" i="102"/>
  <c r="I406" i="102"/>
  <c r="H406" i="102"/>
  <c r="G406" i="102"/>
  <c r="D406" i="102"/>
  <c r="C406" i="102"/>
  <c r="B406" i="102"/>
  <c r="Y405" i="102"/>
  <c r="T405" i="102"/>
  <c r="O405" i="102"/>
  <c r="J405" i="102"/>
  <c r="E405" i="102"/>
  <c r="Y404" i="102"/>
  <c r="T404" i="102"/>
  <c r="O404" i="102"/>
  <c r="J404" i="102"/>
  <c r="E404" i="102"/>
  <c r="X401" i="102"/>
  <c r="W401" i="102"/>
  <c r="V401" i="102"/>
  <c r="S401" i="102"/>
  <c r="R401" i="102"/>
  <c r="Q401" i="102"/>
  <c r="N401" i="102"/>
  <c r="M401" i="102"/>
  <c r="L401" i="102"/>
  <c r="I401" i="102"/>
  <c r="H401" i="102"/>
  <c r="G401" i="102"/>
  <c r="D401" i="102"/>
  <c r="C401" i="102"/>
  <c r="B401" i="102"/>
  <c r="Y400" i="102"/>
  <c r="T400" i="102"/>
  <c r="O400" i="102"/>
  <c r="J400" i="102"/>
  <c r="E400" i="102"/>
  <c r="Y399" i="102"/>
  <c r="T399" i="102"/>
  <c r="O399" i="102"/>
  <c r="J399" i="102"/>
  <c r="E399" i="102"/>
  <c r="X396" i="102"/>
  <c r="W396" i="102"/>
  <c r="V396" i="102"/>
  <c r="S396" i="102"/>
  <c r="R396" i="102"/>
  <c r="Q396" i="102"/>
  <c r="N396" i="102"/>
  <c r="M396" i="102"/>
  <c r="L396" i="102"/>
  <c r="I396" i="102"/>
  <c r="H396" i="102"/>
  <c r="G396" i="102"/>
  <c r="D396" i="102"/>
  <c r="C396" i="102"/>
  <c r="B396" i="102"/>
  <c r="Y395" i="102"/>
  <c r="T395" i="102"/>
  <c r="O395" i="102"/>
  <c r="J395" i="102"/>
  <c r="E395" i="102"/>
  <c r="Y394" i="102"/>
  <c r="T394" i="102"/>
  <c r="O394" i="102"/>
  <c r="J394" i="102"/>
  <c r="E394" i="102"/>
  <c r="X391" i="102"/>
  <c r="W391" i="102"/>
  <c r="V391" i="102"/>
  <c r="S391" i="102"/>
  <c r="R391" i="102"/>
  <c r="Q391" i="102"/>
  <c r="N391" i="102"/>
  <c r="M391" i="102"/>
  <c r="L391" i="102"/>
  <c r="I391" i="102"/>
  <c r="H391" i="102"/>
  <c r="G391" i="102"/>
  <c r="D391" i="102"/>
  <c r="C391" i="102"/>
  <c r="B391" i="102"/>
  <c r="Y390" i="102"/>
  <c r="T390" i="102"/>
  <c r="O390" i="102"/>
  <c r="J390" i="102"/>
  <c r="E390" i="102"/>
  <c r="Y389" i="102"/>
  <c r="T389" i="102"/>
  <c r="O389" i="102"/>
  <c r="J389" i="102"/>
  <c r="E389" i="102"/>
  <c r="E379" i="102"/>
  <c r="X381" i="102"/>
  <c r="W381" i="102"/>
  <c r="V381" i="102"/>
  <c r="S381" i="102"/>
  <c r="R381" i="102"/>
  <c r="Q381" i="102"/>
  <c r="N381" i="102"/>
  <c r="M381" i="102"/>
  <c r="L381" i="102"/>
  <c r="I381" i="102"/>
  <c r="H381" i="102"/>
  <c r="G381" i="102"/>
  <c r="D381" i="102"/>
  <c r="C381" i="102"/>
  <c r="B381" i="102"/>
  <c r="Y380" i="102"/>
  <c r="T380" i="102"/>
  <c r="O380" i="102"/>
  <c r="J380" i="102"/>
  <c r="E380" i="102"/>
  <c r="Y379" i="102"/>
  <c r="T379" i="102"/>
  <c r="O379" i="102"/>
  <c r="J379" i="102"/>
  <c r="X565" i="102"/>
  <c r="W565" i="102"/>
  <c r="V565" i="102"/>
  <c r="S565" i="102"/>
  <c r="R565" i="102"/>
  <c r="Q565" i="102"/>
  <c r="N565" i="102"/>
  <c r="M565" i="102"/>
  <c r="L565" i="102"/>
  <c r="I565" i="102"/>
  <c r="H565" i="102"/>
  <c r="G565" i="102"/>
  <c r="D565" i="102"/>
  <c r="C565" i="102"/>
  <c r="B565" i="102"/>
  <c r="X564" i="102"/>
  <c r="W564" i="102"/>
  <c r="V564" i="102"/>
  <c r="S564" i="102"/>
  <c r="R564" i="102"/>
  <c r="Q564" i="102"/>
  <c r="M564" i="102"/>
  <c r="L564" i="102"/>
  <c r="I564" i="102"/>
  <c r="H564" i="102"/>
  <c r="G564" i="102"/>
  <c r="D564" i="102"/>
  <c r="C564" i="102"/>
  <c r="B564" i="102"/>
  <c r="X561" i="102"/>
  <c r="W561" i="102"/>
  <c r="V561" i="102"/>
  <c r="S561" i="102"/>
  <c r="R561" i="102"/>
  <c r="Q561" i="102"/>
  <c r="N561" i="102"/>
  <c r="M561" i="102"/>
  <c r="L561" i="102"/>
  <c r="I561" i="102"/>
  <c r="H561" i="102"/>
  <c r="G561" i="102"/>
  <c r="D561" i="102"/>
  <c r="C561" i="102"/>
  <c r="B561" i="102"/>
  <c r="Y560" i="102"/>
  <c r="T560" i="102"/>
  <c r="O560" i="102"/>
  <c r="J560" i="102"/>
  <c r="E560" i="102"/>
  <c r="Y559" i="102"/>
  <c r="T559" i="102"/>
  <c r="O559" i="102"/>
  <c r="J559" i="102"/>
  <c r="E559" i="102"/>
  <c r="X556" i="102"/>
  <c r="W556" i="102"/>
  <c r="V556" i="102"/>
  <c r="S556" i="102"/>
  <c r="R556" i="102"/>
  <c r="Q556" i="102"/>
  <c r="N556" i="102"/>
  <c r="M556" i="102"/>
  <c r="L556" i="102"/>
  <c r="I556" i="102"/>
  <c r="H556" i="102"/>
  <c r="G556" i="102"/>
  <c r="D556" i="102"/>
  <c r="C556" i="102"/>
  <c r="B556" i="102"/>
  <c r="Y555" i="102"/>
  <c r="T555" i="102"/>
  <c r="O555" i="102"/>
  <c r="J555" i="102"/>
  <c r="E555" i="102"/>
  <c r="Y554" i="102"/>
  <c r="T554" i="102"/>
  <c r="J554" i="102"/>
  <c r="E554" i="102"/>
  <c r="X551" i="102"/>
  <c r="W551" i="102"/>
  <c r="V551" i="102"/>
  <c r="S551" i="102"/>
  <c r="R551" i="102"/>
  <c r="Q551" i="102"/>
  <c r="N551" i="102"/>
  <c r="M551" i="102"/>
  <c r="L551" i="102"/>
  <c r="I551" i="102"/>
  <c r="H551" i="102"/>
  <c r="G551" i="102"/>
  <c r="D551" i="102"/>
  <c r="C551" i="102"/>
  <c r="B551" i="102"/>
  <c r="Y550" i="102"/>
  <c r="T550" i="102"/>
  <c r="O550" i="102"/>
  <c r="J550" i="102"/>
  <c r="E550" i="102"/>
  <c r="Y549" i="102"/>
  <c r="T549" i="102"/>
  <c r="O549" i="102"/>
  <c r="J549" i="102"/>
  <c r="E549" i="102"/>
  <c r="X510" i="102"/>
  <c r="W510" i="102"/>
  <c r="V510" i="102"/>
  <c r="S510" i="102"/>
  <c r="R510" i="102"/>
  <c r="Q510" i="102"/>
  <c r="N510" i="102"/>
  <c r="M510" i="102"/>
  <c r="L510" i="102"/>
  <c r="I510" i="102"/>
  <c r="H510" i="102"/>
  <c r="G510" i="102"/>
  <c r="D510" i="102"/>
  <c r="C510" i="102"/>
  <c r="B510" i="102"/>
  <c r="X509" i="102"/>
  <c r="W509" i="102"/>
  <c r="V509" i="102"/>
  <c r="S509" i="102"/>
  <c r="R509" i="102"/>
  <c r="Q509" i="102"/>
  <c r="N509" i="102"/>
  <c r="M509" i="102"/>
  <c r="L509" i="102"/>
  <c r="I509" i="102"/>
  <c r="H509" i="102"/>
  <c r="G509" i="102"/>
  <c r="D509" i="102"/>
  <c r="C509" i="102"/>
  <c r="B509" i="102"/>
  <c r="X506" i="102"/>
  <c r="W506" i="102"/>
  <c r="V506" i="102"/>
  <c r="S506" i="102"/>
  <c r="R506" i="102"/>
  <c r="Q506" i="102"/>
  <c r="N506" i="102"/>
  <c r="M506" i="102"/>
  <c r="L506" i="102"/>
  <c r="I506" i="102"/>
  <c r="H506" i="102"/>
  <c r="G506" i="102"/>
  <c r="D506" i="102"/>
  <c r="C506" i="102"/>
  <c r="B506" i="102"/>
  <c r="Y505" i="102"/>
  <c r="T505" i="102"/>
  <c r="O505" i="102"/>
  <c r="J505" i="102"/>
  <c r="E505" i="102"/>
  <c r="Y504" i="102"/>
  <c r="T504" i="102"/>
  <c r="O504" i="102"/>
  <c r="J504" i="102"/>
  <c r="E504" i="102"/>
  <c r="X501" i="102"/>
  <c r="W501" i="102"/>
  <c r="V501" i="102"/>
  <c r="S501" i="102"/>
  <c r="R501" i="102"/>
  <c r="Q501" i="102"/>
  <c r="N501" i="102"/>
  <c r="M501" i="102"/>
  <c r="L501" i="102"/>
  <c r="I501" i="102"/>
  <c r="H501" i="102"/>
  <c r="G501" i="102"/>
  <c r="D501" i="102"/>
  <c r="C501" i="102"/>
  <c r="B501" i="102"/>
  <c r="Y500" i="102"/>
  <c r="T500" i="102"/>
  <c r="O500" i="102"/>
  <c r="J500" i="102"/>
  <c r="E500" i="102"/>
  <c r="Y499" i="102"/>
  <c r="T499" i="102"/>
  <c r="O499" i="102"/>
  <c r="J499" i="102"/>
  <c r="E499" i="102"/>
  <c r="X496" i="102"/>
  <c r="W496" i="102"/>
  <c r="V496" i="102"/>
  <c r="S496" i="102"/>
  <c r="R496" i="102"/>
  <c r="Q496" i="102"/>
  <c r="N496" i="102"/>
  <c r="M496" i="102"/>
  <c r="L496" i="102"/>
  <c r="I496" i="102"/>
  <c r="H496" i="102"/>
  <c r="G496" i="102"/>
  <c r="D496" i="102"/>
  <c r="C496" i="102"/>
  <c r="B496" i="102"/>
  <c r="Y495" i="102"/>
  <c r="T495" i="102"/>
  <c r="O495" i="102"/>
  <c r="J495" i="102"/>
  <c r="E495" i="102"/>
  <c r="Y494" i="102"/>
  <c r="T494" i="102"/>
  <c r="O494" i="102"/>
  <c r="J494" i="102"/>
  <c r="E494" i="102"/>
  <c r="X370" i="102"/>
  <c r="W370" i="102"/>
  <c r="V370" i="102"/>
  <c r="B313" i="104" s="1"/>
  <c r="S370" i="102"/>
  <c r="R370" i="102"/>
  <c r="Q370" i="102"/>
  <c r="N370" i="102"/>
  <c r="M370" i="102"/>
  <c r="L370" i="102"/>
  <c r="I370" i="102"/>
  <c r="H370" i="102"/>
  <c r="G370" i="102"/>
  <c r="D370" i="102"/>
  <c r="C370" i="102"/>
  <c r="B370" i="102"/>
  <c r="X369" i="102"/>
  <c r="W369" i="102"/>
  <c r="V369" i="102"/>
  <c r="S369" i="102"/>
  <c r="R369" i="102"/>
  <c r="Q369" i="102"/>
  <c r="N369" i="102"/>
  <c r="M369" i="102"/>
  <c r="L369" i="102"/>
  <c r="I369" i="102"/>
  <c r="H369" i="102"/>
  <c r="G369" i="102"/>
  <c r="D369" i="102"/>
  <c r="C369" i="102"/>
  <c r="B369" i="102"/>
  <c r="X366" i="102"/>
  <c r="W366" i="102"/>
  <c r="V366" i="102"/>
  <c r="S366" i="102"/>
  <c r="R366" i="102"/>
  <c r="Q366" i="102"/>
  <c r="N366" i="102"/>
  <c r="M366" i="102"/>
  <c r="L366" i="102"/>
  <c r="I366" i="102"/>
  <c r="H366" i="102"/>
  <c r="G366" i="102"/>
  <c r="D366" i="102"/>
  <c r="C366" i="102"/>
  <c r="B366" i="102"/>
  <c r="Y365" i="102"/>
  <c r="T365" i="102"/>
  <c r="O365" i="102"/>
  <c r="J365" i="102"/>
  <c r="E365" i="102"/>
  <c r="Y364" i="102"/>
  <c r="T364" i="102"/>
  <c r="O364" i="102"/>
  <c r="J364" i="102"/>
  <c r="E364" i="102"/>
  <c r="X361" i="102"/>
  <c r="W361" i="102"/>
  <c r="V361" i="102"/>
  <c r="S361" i="102"/>
  <c r="R361" i="102"/>
  <c r="Q361" i="102"/>
  <c r="N361" i="102"/>
  <c r="M361" i="102"/>
  <c r="L361" i="102"/>
  <c r="I361" i="102"/>
  <c r="H361" i="102"/>
  <c r="G361" i="102"/>
  <c r="D361" i="102"/>
  <c r="C361" i="102"/>
  <c r="B361" i="102"/>
  <c r="Y360" i="102"/>
  <c r="T360" i="102"/>
  <c r="O360" i="102"/>
  <c r="J360" i="102"/>
  <c r="E360" i="102"/>
  <c r="Y359" i="102"/>
  <c r="T359" i="102"/>
  <c r="O359" i="102"/>
  <c r="J359" i="102"/>
  <c r="E359" i="102"/>
  <c r="X356" i="102"/>
  <c r="W356" i="102"/>
  <c r="V356" i="102"/>
  <c r="S356" i="102"/>
  <c r="R356" i="102"/>
  <c r="Q356" i="102"/>
  <c r="N356" i="102"/>
  <c r="M356" i="102"/>
  <c r="L356" i="102"/>
  <c r="I356" i="102"/>
  <c r="H356" i="102"/>
  <c r="G356" i="102"/>
  <c r="D356" i="102"/>
  <c r="C356" i="102"/>
  <c r="B356" i="102"/>
  <c r="Y355" i="102"/>
  <c r="T355" i="102"/>
  <c r="O355" i="102"/>
  <c r="J355" i="102"/>
  <c r="E355" i="102"/>
  <c r="Y354" i="102"/>
  <c r="T354" i="102"/>
  <c r="O354" i="102"/>
  <c r="J354" i="102"/>
  <c r="E354" i="102"/>
  <c r="X345" i="102"/>
  <c r="W345" i="102"/>
  <c r="V345" i="102"/>
  <c r="S345" i="102"/>
  <c r="R345" i="102"/>
  <c r="Q345" i="102"/>
  <c r="N345" i="102"/>
  <c r="M345" i="102"/>
  <c r="L345" i="102"/>
  <c r="I345" i="102"/>
  <c r="H345" i="102"/>
  <c r="G345" i="102"/>
  <c r="D345" i="102"/>
  <c r="C345" i="102"/>
  <c r="B345" i="102"/>
  <c r="X344" i="102"/>
  <c r="W344" i="102"/>
  <c r="V344" i="102"/>
  <c r="S344" i="102"/>
  <c r="R344" i="102"/>
  <c r="Q344" i="102"/>
  <c r="N344" i="102"/>
  <c r="M344" i="102"/>
  <c r="L344" i="102"/>
  <c r="I344" i="102"/>
  <c r="H344" i="102"/>
  <c r="G344" i="102"/>
  <c r="D344" i="102"/>
  <c r="C344" i="102"/>
  <c r="B344" i="102"/>
  <c r="X341" i="102"/>
  <c r="W341" i="102"/>
  <c r="V341" i="102"/>
  <c r="S341" i="102"/>
  <c r="R341" i="102"/>
  <c r="Q341" i="102"/>
  <c r="N341" i="102"/>
  <c r="M341" i="102"/>
  <c r="L341" i="102"/>
  <c r="I341" i="102"/>
  <c r="H341" i="102"/>
  <c r="G341" i="102"/>
  <c r="D341" i="102"/>
  <c r="C341" i="102"/>
  <c r="B341" i="102"/>
  <c r="Y340" i="102"/>
  <c r="T340" i="102"/>
  <c r="O340" i="102"/>
  <c r="J340" i="102"/>
  <c r="E340" i="102"/>
  <c r="Y339" i="102"/>
  <c r="T339" i="102"/>
  <c r="O339" i="102"/>
  <c r="J339" i="102"/>
  <c r="E339" i="102"/>
  <c r="X336" i="102"/>
  <c r="W336" i="102"/>
  <c r="V336" i="102"/>
  <c r="S336" i="102"/>
  <c r="R336" i="102"/>
  <c r="Q336" i="102"/>
  <c r="N336" i="102"/>
  <c r="M336" i="102"/>
  <c r="L336" i="102"/>
  <c r="I336" i="102"/>
  <c r="H336" i="102"/>
  <c r="G336" i="102"/>
  <c r="D336" i="102"/>
  <c r="C336" i="102"/>
  <c r="B336" i="102"/>
  <c r="Y335" i="102"/>
  <c r="T335" i="102"/>
  <c r="O335" i="102"/>
  <c r="J335" i="102"/>
  <c r="E335" i="102"/>
  <c r="Y334" i="102"/>
  <c r="T334" i="102"/>
  <c r="O334" i="102"/>
  <c r="J334" i="102"/>
  <c r="E334" i="102"/>
  <c r="X331" i="102"/>
  <c r="W331" i="102"/>
  <c r="V331" i="102"/>
  <c r="S331" i="102"/>
  <c r="R331" i="102"/>
  <c r="Q331" i="102"/>
  <c r="N331" i="102"/>
  <c r="M331" i="102"/>
  <c r="L331" i="102"/>
  <c r="I331" i="102"/>
  <c r="H331" i="102"/>
  <c r="G331" i="102"/>
  <c r="D331" i="102"/>
  <c r="C331" i="102"/>
  <c r="B331" i="102"/>
  <c r="Y330" i="102"/>
  <c r="T330" i="102"/>
  <c r="O330" i="102"/>
  <c r="J330" i="102"/>
  <c r="E330" i="102"/>
  <c r="Y329" i="102"/>
  <c r="T329" i="102"/>
  <c r="O329" i="102"/>
  <c r="J329" i="102"/>
  <c r="E329" i="102"/>
  <c r="X320" i="102"/>
  <c r="W320" i="102"/>
  <c r="V320" i="102"/>
  <c r="S320" i="102"/>
  <c r="R320" i="102"/>
  <c r="Q320" i="102"/>
  <c r="N320" i="102"/>
  <c r="M320" i="102"/>
  <c r="L320" i="102"/>
  <c r="I320" i="102"/>
  <c r="H320" i="102"/>
  <c r="G320" i="102"/>
  <c r="D320" i="102"/>
  <c r="C320" i="102"/>
  <c r="B320" i="102"/>
  <c r="X319" i="102"/>
  <c r="W319" i="102"/>
  <c r="V319" i="102"/>
  <c r="S319" i="102"/>
  <c r="R319" i="102"/>
  <c r="Q319" i="102"/>
  <c r="N319" i="102"/>
  <c r="M319" i="102"/>
  <c r="L319" i="102"/>
  <c r="I319" i="102"/>
  <c r="H319" i="102"/>
  <c r="G319" i="102"/>
  <c r="D319" i="102"/>
  <c r="C319" i="102"/>
  <c r="B319" i="102"/>
  <c r="X316" i="102"/>
  <c r="W316" i="102"/>
  <c r="V316" i="102"/>
  <c r="S316" i="102"/>
  <c r="R316" i="102"/>
  <c r="Q316" i="102"/>
  <c r="N316" i="102"/>
  <c r="M316" i="102"/>
  <c r="L316" i="102"/>
  <c r="I316" i="102"/>
  <c r="H316" i="102"/>
  <c r="G316" i="102"/>
  <c r="D316" i="102"/>
  <c r="C316" i="102"/>
  <c r="B316" i="102"/>
  <c r="Y315" i="102"/>
  <c r="T315" i="102"/>
  <c r="O315" i="102"/>
  <c r="J315" i="102"/>
  <c r="E315" i="102"/>
  <c r="Y314" i="102"/>
  <c r="T314" i="102"/>
  <c r="O314" i="102"/>
  <c r="J314" i="102"/>
  <c r="E314" i="102"/>
  <c r="X311" i="102"/>
  <c r="W311" i="102"/>
  <c r="V311" i="102"/>
  <c r="S311" i="102"/>
  <c r="R311" i="102"/>
  <c r="Q311" i="102"/>
  <c r="N311" i="102"/>
  <c r="M311" i="102"/>
  <c r="L311" i="102"/>
  <c r="I311" i="102"/>
  <c r="H311" i="102"/>
  <c r="G311" i="102"/>
  <c r="D311" i="102"/>
  <c r="C311" i="102"/>
  <c r="B311" i="102"/>
  <c r="Y310" i="102"/>
  <c r="T310" i="102"/>
  <c r="O310" i="102"/>
  <c r="J310" i="102"/>
  <c r="E310" i="102"/>
  <c r="Y309" i="102"/>
  <c r="T309" i="102"/>
  <c r="O309" i="102"/>
  <c r="J309" i="102"/>
  <c r="E309" i="102"/>
  <c r="X306" i="102"/>
  <c r="W306" i="102"/>
  <c r="V306" i="102"/>
  <c r="S306" i="102"/>
  <c r="R306" i="102"/>
  <c r="Q306" i="102"/>
  <c r="N306" i="102"/>
  <c r="M306" i="102"/>
  <c r="L306" i="102"/>
  <c r="I306" i="102"/>
  <c r="H306" i="102"/>
  <c r="G306" i="102"/>
  <c r="D306" i="102"/>
  <c r="C306" i="102"/>
  <c r="B306" i="102"/>
  <c r="Y305" i="102"/>
  <c r="T305" i="102"/>
  <c r="O305" i="102"/>
  <c r="J305" i="102"/>
  <c r="E305" i="102"/>
  <c r="Y304" i="102"/>
  <c r="T304" i="102"/>
  <c r="O304" i="102"/>
  <c r="J304" i="102"/>
  <c r="E304" i="102"/>
  <c r="X295" i="102"/>
  <c r="W295" i="102"/>
  <c r="V295" i="102"/>
  <c r="X294" i="102"/>
  <c r="W294" i="102"/>
  <c r="V294" i="102"/>
  <c r="S295" i="102"/>
  <c r="R295" i="102"/>
  <c r="Q295" i="102"/>
  <c r="S294" i="102"/>
  <c r="R294" i="102"/>
  <c r="Q294" i="102"/>
  <c r="N295" i="102"/>
  <c r="M295" i="102"/>
  <c r="L295" i="102"/>
  <c r="N294" i="102"/>
  <c r="M294" i="102"/>
  <c r="L294" i="102"/>
  <c r="I295" i="102"/>
  <c r="H295" i="102"/>
  <c r="G295" i="102"/>
  <c r="I294" i="102"/>
  <c r="H294" i="102"/>
  <c r="G294" i="102"/>
  <c r="B295" i="102"/>
  <c r="C295" i="102"/>
  <c r="D295" i="102"/>
  <c r="C294" i="102"/>
  <c r="D294" i="102"/>
  <c r="B294" i="102"/>
  <c r="X291" i="102"/>
  <c r="W291" i="102"/>
  <c r="V291" i="102"/>
  <c r="S291" i="102"/>
  <c r="R291" i="102"/>
  <c r="Q291" i="102"/>
  <c r="N291" i="102"/>
  <c r="M291" i="102"/>
  <c r="L291" i="102"/>
  <c r="I291" i="102"/>
  <c r="H291" i="102"/>
  <c r="G291" i="102"/>
  <c r="D291" i="102"/>
  <c r="C291" i="102"/>
  <c r="B291" i="102"/>
  <c r="Y290" i="102"/>
  <c r="T290" i="102"/>
  <c r="O290" i="102"/>
  <c r="J290" i="102"/>
  <c r="E290" i="102"/>
  <c r="Y289" i="102"/>
  <c r="T289" i="102"/>
  <c r="O289" i="102"/>
  <c r="J289" i="102"/>
  <c r="E289" i="102"/>
  <c r="X286" i="102"/>
  <c r="W286" i="102"/>
  <c r="V286" i="102"/>
  <c r="S286" i="102"/>
  <c r="R286" i="102"/>
  <c r="Q286" i="102"/>
  <c r="N286" i="102"/>
  <c r="M286" i="102"/>
  <c r="L286" i="102"/>
  <c r="I286" i="102"/>
  <c r="H286" i="102"/>
  <c r="G286" i="102"/>
  <c r="D286" i="102"/>
  <c r="C286" i="102"/>
  <c r="B286" i="102"/>
  <c r="Y285" i="102"/>
  <c r="T285" i="102"/>
  <c r="O285" i="102"/>
  <c r="J285" i="102"/>
  <c r="E285" i="102"/>
  <c r="Y284" i="102"/>
  <c r="T284" i="102"/>
  <c r="O284" i="102"/>
  <c r="J284" i="102"/>
  <c r="E284" i="102"/>
  <c r="X275" i="102"/>
  <c r="W275" i="102"/>
  <c r="V275" i="102"/>
  <c r="X274" i="102"/>
  <c r="W274" i="102"/>
  <c r="V274" i="102"/>
  <c r="S275" i="102"/>
  <c r="R275" i="102"/>
  <c r="Q275" i="102"/>
  <c r="S274" i="102"/>
  <c r="R274" i="102"/>
  <c r="Q274" i="102"/>
  <c r="N275" i="102"/>
  <c r="M275" i="102"/>
  <c r="L275" i="102"/>
  <c r="N274" i="102"/>
  <c r="M274" i="102"/>
  <c r="L274" i="102"/>
  <c r="I275" i="102"/>
  <c r="H275" i="102"/>
  <c r="G275" i="102"/>
  <c r="I274" i="102"/>
  <c r="H274" i="102"/>
  <c r="G274" i="102"/>
  <c r="B275" i="102"/>
  <c r="C275" i="102"/>
  <c r="D275" i="102"/>
  <c r="C274" i="102"/>
  <c r="D274" i="102"/>
  <c r="B274" i="102"/>
  <c r="X271" i="102"/>
  <c r="W271" i="102"/>
  <c r="V271" i="102"/>
  <c r="S271" i="102"/>
  <c r="R271" i="102"/>
  <c r="Q271" i="102"/>
  <c r="N271" i="102"/>
  <c r="M271" i="102"/>
  <c r="L271" i="102"/>
  <c r="I271" i="102"/>
  <c r="H271" i="102"/>
  <c r="G271" i="102"/>
  <c r="D271" i="102"/>
  <c r="C271" i="102"/>
  <c r="B271" i="102"/>
  <c r="Y270" i="102"/>
  <c r="T270" i="102"/>
  <c r="O270" i="102"/>
  <c r="J270" i="102"/>
  <c r="E270" i="102"/>
  <c r="Y269" i="102"/>
  <c r="T269" i="102"/>
  <c r="O269" i="102"/>
  <c r="J269" i="102"/>
  <c r="E269" i="102"/>
  <c r="X266" i="102"/>
  <c r="W266" i="102"/>
  <c r="V266" i="102"/>
  <c r="S266" i="102"/>
  <c r="R266" i="102"/>
  <c r="Q266" i="102"/>
  <c r="N266" i="102"/>
  <c r="M266" i="102"/>
  <c r="L266" i="102"/>
  <c r="I266" i="102"/>
  <c r="H266" i="102"/>
  <c r="G266" i="102"/>
  <c r="D266" i="102"/>
  <c r="C266" i="102"/>
  <c r="B266" i="102"/>
  <c r="Y265" i="102"/>
  <c r="T265" i="102"/>
  <c r="O265" i="102"/>
  <c r="J265" i="102"/>
  <c r="E265" i="102"/>
  <c r="Y264" i="102"/>
  <c r="T264" i="102"/>
  <c r="O264" i="102"/>
  <c r="J264" i="102"/>
  <c r="E264" i="102"/>
  <c r="X261" i="102"/>
  <c r="W261" i="102"/>
  <c r="V261" i="102"/>
  <c r="S261" i="102"/>
  <c r="R261" i="102"/>
  <c r="Q261" i="102"/>
  <c r="N261" i="102"/>
  <c r="M261" i="102"/>
  <c r="L261" i="102"/>
  <c r="I261" i="102"/>
  <c r="H261" i="102"/>
  <c r="G261" i="102"/>
  <c r="D261" i="102"/>
  <c r="C261" i="102"/>
  <c r="B261" i="102"/>
  <c r="Y260" i="102"/>
  <c r="T260" i="102"/>
  <c r="O260" i="102"/>
  <c r="J260" i="102"/>
  <c r="E260" i="102"/>
  <c r="Y259" i="102"/>
  <c r="T259" i="102"/>
  <c r="O259" i="102"/>
  <c r="J259" i="102"/>
  <c r="E259" i="102"/>
  <c r="X256" i="102"/>
  <c r="W256" i="102"/>
  <c r="V256" i="102"/>
  <c r="S256" i="102"/>
  <c r="R256" i="102"/>
  <c r="Q256" i="102"/>
  <c r="N256" i="102"/>
  <c r="M256" i="102"/>
  <c r="L256" i="102"/>
  <c r="I256" i="102"/>
  <c r="H256" i="102"/>
  <c r="G256" i="102"/>
  <c r="D256" i="102"/>
  <c r="C256" i="102"/>
  <c r="B256" i="102"/>
  <c r="Y255" i="102"/>
  <c r="T255" i="102"/>
  <c r="O255" i="102"/>
  <c r="J255" i="102"/>
  <c r="E255" i="102"/>
  <c r="Y254" i="102"/>
  <c r="T254" i="102"/>
  <c r="O254" i="102"/>
  <c r="J254" i="102"/>
  <c r="E254" i="102"/>
  <c r="X251" i="102"/>
  <c r="W251" i="102"/>
  <c r="V251" i="102"/>
  <c r="S251" i="102"/>
  <c r="R251" i="102"/>
  <c r="Q251" i="102"/>
  <c r="N251" i="102"/>
  <c r="M251" i="102"/>
  <c r="L251" i="102"/>
  <c r="I251" i="102"/>
  <c r="H251" i="102"/>
  <c r="G251" i="102"/>
  <c r="D251" i="102"/>
  <c r="C251" i="102"/>
  <c r="B251" i="102"/>
  <c r="Y250" i="102"/>
  <c r="T250" i="102"/>
  <c r="O250" i="102"/>
  <c r="J250" i="102"/>
  <c r="E250" i="102"/>
  <c r="Y249" i="102"/>
  <c r="T249" i="102"/>
  <c r="O249" i="102"/>
  <c r="J249" i="102"/>
  <c r="E249" i="102"/>
  <c r="B239" i="102"/>
  <c r="B236" i="102"/>
  <c r="E234" i="102"/>
  <c r="X240" i="102"/>
  <c r="W240" i="102"/>
  <c r="V240" i="102"/>
  <c r="S240" i="102"/>
  <c r="R240" i="102"/>
  <c r="Q240" i="102"/>
  <c r="N240" i="102"/>
  <c r="M240" i="102"/>
  <c r="L240" i="102"/>
  <c r="I240" i="102"/>
  <c r="H240" i="102"/>
  <c r="G240" i="102"/>
  <c r="D240" i="102"/>
  <c r="C240" i="102"/>
  <c r="B240" i="102"/>
  <c r="X239" i="102"/>
  <c r="W239" i="102"/>
  <c r="V239" i="102"/>
  <c r="S239" i="102"/>
  <c r="R239" i="102"/>
  <c r="Q239" i="102"/>
  <c r="N239" i="102"/>
  <c r="M239" i="102"/>
  <c r="L239" i="102"/>
  <c r="I239" i="102"/>
  <c r="H239" i="102"/>
  <c r="G239" i="102"/>
  <c r="D239" i="102"/>
  <c r="C239" i="102"/>
  <c r="X236" i="102"/>
  <c r="W236" i="102"/>
  <c r="V236" i="102"/>
  <c r="S236" i="102"/>
  <c r="R236" i="102"/>
  <c r="Q236" i="102"/>
  <c r="N236" i="102"/>
  <c r="M236" i="102"/>
  <c r="L236" i="102"/>
  <c r="I236" i="102"/>
  <c r="H236" i="102"/>
  <c r="G236" i="102"/>
  <c r="D236" i="102"/>
  <c r="C236" i="102"/>
  <c r="Y235" i="102"/>
  <c r="T235" i="102"/>
  <c r="O235" i="102"/>
  <c r="J235" i="102"/>
  <c r="E235" i="102"/>
  <c r="Y234" i="102"/>
  <c r="T234" i="102"/>
  <c r="O234" i="102"/>
  <c r="J234" i="102"/>
  <c r="X231" i="102"/>
  <c r="W231" i="102"/>
  <c r="V231" i="102"/>
  <c r="S231" i="102"/>
  <c r="R231" i="102"/>
  <c r="Q231" i="102"/>
  <c r="N231" i="102"/>
  <c r="M231" i="102"/>
  <c r="L231" i="102"/>
  <c r="I231" i="102"/>
  <c r="H231" i="102"/>
  <c r="G231" i="102"/>
  <c r="D231" i="102"/>
  <c r="C231" i="102"/>
  <c r="B231" i="102"/>
  <c r="Y230" i="102"/>
  <c r="T230" i="102"/>
  <c r="O230" i="102"/>
  <c r="J230" i="102"/>
  <c r="E230" i="102"/>
  <c r="Y229" i="102"/>
  <c r="T229" i="102"/>
  <c r="O229" i="102"/>
  <c r="J229" i="102"/>
  <c r="E229" i="102"/>
  <c r="X226" i="102"/>
  <c r="W226" i="102"/>
  <c r="V226" i="102"/>
  <c r="S226" i="102"/>
  <c r="R226" i="102"/>
  <c r="Q226" i="102"/>
  <c r="N226" i="102"/>
  <c r="M226" i="102"/>
  <c r="L226" i="102"/>
  <c r="I226" i="102"/>
  <c r="H226" i="102"/>
  <c r="G226" i="102"/>
  <c r="D226" i="102"/>
  <c r="C226" i="102"/>
  <c r="B226" i="102"/>
  <c r="Y225" i="102"/>
  <c r="T225" i="102"/>
  <c r="O225" i="102"/>
  <c r="J225" i="102"/>
  <c r="E225" i="102"/>
  <c r="Y224" i="102"/>
  <c r="T224" i="102"/>
  <c r="O224" i="102"/>
  <c r="J224" i="102"/>
  <c r="E224" i="102"/>
  <c r="X215" i="102"/>
  <c r="W215" i="102"/>
  <c r="V215" i="102"/>
  <c r="S215" i="102"/>
  <c r="R215" i="102"/>
  <c r="Q215" i="102"/>
  <c r="N215" i="102"/>
  <c r="M215" i="102"/>
  <c r="L215" i="102"/>
  <c r="I215" i="102"/>
  <c r="H215" i="102"/>
  <c r="G215" i="102"/>
  <c r="D215" i="102"/>
  <c r="C215" i="102"/>
  <c r="B215" i="102"/>
  <c r="X214" i="102"/>
  <c r="W214" i="102"/>
  <c r="V214" i="102"/>
  <c r="S214" i="102"/>
  <c r="R214" i="102"/>
  <c r="Q214" i="102"/>
  <c r="N214" i="102"/>
  <c r="M214" i="102"/>
  <c r="L214" i="102"/>
  <c r="I214" i="102"/>
  <c r="H214" i="102"/>
  <c r="G214" i="102"/>
  <c r="D214" i="102"/>
  <c r="C214" i="102"/>
  <c r="B214" i="102"/>
  <c r="X211" i="102"/>
  <c r="W211" i="102"/>
  <c r="V211" i="102"/>
  <c r="S211" i="102"/>
  <c r="R211" i="102"/>
  <c r="Q211" i="102"/>
  <c r="N211" i="102"/>
  <c r="M211" i="102"/>
  <c r="L211" i="102"/>
  <c r="I211" i="102"/>
  <c r="H211" i="102"/>
  <c r="G211" i="102"/>
  <c r="D211" i="102"/>
  <c r="C211" i="102"/>
  <c r="B211" i="102"/>
  <c r="Y210" i="102"/>
  <c r="T210" i="102"/>
  <c r="O210" i="102"/>
  <c r="J210" i="102"/>
  <c r="E210" i="102"/>
  <c r="Y209" i="102"/>
  <c r="T209" i="102"/>
  <c r="O209" i="102"/>
  <c r="J209" i="102"/>
  <c r="E209" i="102"/>
  <c r="X206" i="102"/>
  <c r="W206" i="102"/>
  <c r="V206" i="102"/>
  <c r="S206" i="102"/>
  <c r="R206" i="102"/>
  <c r="Q206" i="102"/>
  <c r="N206" i="102"/>
  <c r="M206" i="102"/>
  <c r="L206" i="102"/>
  <c r="I206" i="102"/>
  <c r="H206" i="102"/>
  <c r="G206" i="102"/>
  <c r="D206" i="102"/>
  <c r="C206" i="102"/>
  <c r="B206" i="102"/>
  <c r="Y205" i="102"/>
  <c r="T205" i="102"/>
  <c r="O205" i="102"/>
  <c r="J205" i="102"/>
  <c r="E205" i="102"/>
  <c r="Y204" i="102"/>
  <c r="T204" i="102"/>
  <c r="O204" i="102"/>
  <c r="J204" i="102"/>
  <c r="E204" i="102"/>
  <c r="X201" i="102"/>
  <c r="W201" i="102"/>
  <c r="V201" i="102"/>
  <c r="S201" i="102"/>
  <c r="R201" i="102"/>
  <c r="Q201" i="102"/>
  <c r="N201" i="102"/>
  <c r="M201" i="102"/>
  <c r="L201" i="102"/>
  <c r="I201" i="102"/>
  <c r="H201" i="102"/>
  <c r="G201" i="102"/>
  <c r="D201" i="102"/>
  <c r="C201" i="102"/>
  <c r="B201" i="102"/>
  <c r="Y200" i="102"/>
  <c r="T200" i="102"/>
  <c r="O200" i="102"/>
  <c r="J200" i="102"/>
  <c r="E200" i="102"/>
  <c r="Y199" i="102"/>
  <c r="T199" i="102"/>
  <c r="O199" i="102"/>
  <c r="J199" i="102"/>
  <c r="E199" i="102"/>
  <c r="B189" i="102"/>
  <c r="X190" i="102"/>
  <c r="W190" i="102"/>
  <c r="V190" i="102"/>
  <c r="S190" i="102"/>
  <c r="R190" i="102"/>
  <c r="Q190" i="102"/>
  <c r="N190" i="102"/>
  <c r="M190" i="102"/>
  <c r="L190" i="102"/>
  <c r="I190" i="102"/>
  <c r="H190" i="102"/>
  <c r="G190" i="102"/>
  <c r="D190" i="102"/>
  <c r="C190" i="102"/>
  <c r="B190" i="102"/>
  <c r="X189" i="102"/>
  <c r="W189" i="102"/>
  <c r="V189" i="102"/>
  <c r="S189" i="102"/>
  <c r="R189" i="102"/>
  <c r="Q189" i="102"/>
  <c r="N189" i="102"/>
  <c r="M189" i="102"/>
  <c r="L189" i="102"/>
  <c r="I189" i="102"/>
  <c r="H189" i="102"/>
  <c r="G189" i="102"/>
  <c r="D189" i="102"/>
  <c r="C189" i="102"/>
  <c r="X186" i="102"/>
  <c r="W186" i="102"/>
  <c r="V186" i="102"/>
  <c r="S186" i="102"/>
  <c r="R186" i="102"/>
  <c r="Q186" i="102"/>
  <c r="N186" i="102"/>
  <c r="M186" i="102"/>
  <c r="L186" i="102"/>
  <c r="I186" i="102"/>
  <c r="H186" i="102"/>
  <c r="G186" i="102"/>
  <c r="D186" i="102"/>
  <c r="C186" i="102"/>
  <c r="B186" i="102"/>
  <c r="Y185" i="102"/>
  <c r="T185" i="102"/>
  <c r="O185" i="102"/>
  <c r="J185" i="102"/>
  <c r="E185" i="102"/>
  <c r="Y184" i="102"/>
  <c r="T184" i="102"/>
  <c r="O184" i="102"/>
  <c r="J184" i="102"/>
  <c r="E184" i="102"/>
  <c r="X181" i="102"/>
  <c r="W181" i="102"/>
  <c r="V181" i="102"/>
  <c r="S181" i="102"/>
  <c r="R181" i="102"/>
  <c r="Q181" i="102"/>
  <c r="N181" i="102"/>
  <c r="M181" i="102"/>
  <c r="L181" i="102"/>
  <c r="I181" i="102"/>
  <c r="H181" i="102"/>
  <c r="G181" i="102"/>
  <c r="D181" i="102"/>
  <c r="C181" i="102"/>
  <c r="B181" i="102"/>
  <c r="Y180" i="102"/>
  <c r="T180" i="102"/>
  <c r="O180" i="102"/>
  <c r="J180" i="102"/>
  <c r="E180" i="102"/>
  <c r="Y179" i="102"/>
  <c r="T179" i="102"/>
  <c r="O179" i="102"/>
  <c r="J179" i="102"/>
  <c r="E179" i="102"/>
  <c r="X176" i="102"/>
  <c r="W176" i="102"/>
  <c r="V176" i="102"/>
  <c r="S176" i="102"/>
  <c r="R176" i="102"/>
  <c r="Q176" i="102"/>
  <c r="N176" i="102"/>
  <c r="M176" i="102"/>
  <c r="L176" i="102"/>
  <c r="I176" i="102"/>
  <c r="H176" i="102"/>
  <c r="G176" i="102"/>
  <c r="D176" i="102"/>
  <c r="C176" i="102"/>
  <c r="B176" i="102"/>
  <c r="Y175" i="102"/>
  <c r="T175" i="102"/>
  <c r="O175" i="102"/>
  <c r="J175" i="102"/>
  <c r="E175" i="102"/>
  <c r="Y174" i="102"/>
  <c r="T174" i="102"/>
  <c r="O174" i="102"/>
  <c r="J174" i="102"/>
  <c r="E174" i="102"/>
  <c r="X166" i="102"/>
  <c r="W166" i="102"/>
  <c r="V166" i="102"/>
  <c r="S166" i="102"/>
  <c r="R166" i="102"/>
  <c r="Q166" i="102"/>
  <c r="N166" i="102"/>
  <c r="M166" i="102"/>
  <c r="L166" i="102"/>
  <c r="I166" i="102"/>
  <c r="H166" i="102"/>
  <c r="G166" i="102"/>
  <c r="D166" i="102"/>
  <c r="C166" i="102"/>
  <c r="B166" i="102"/>
  <c r="Y165" i="102"/>
  <c r="T165" i="102"/>
  <c r="O165" i="102"/>
  <c r="J165" i="102"/>
  <c r="E165" i="102"/>
  <c r="Y164" i="102"/>
  <c r="T164" i="102"/>
  <c r="O164" i="102"/>
  <c r="J164" i="102"/>
  <c r="E164" i="102"/>
  <c r="X155" i="102"/>
  <c r="W155" i="102"/>
  <c r="V155" i="102"/>
  <c r="X154" i="102"/>
  <c r="W154" i="102"/>
  <c r="V154" i="102"/>
  <c r="S155" i="102"/>
  <c r="R155" i="102"/>
  <c r="Q155" i="102"/>
  <c r="S154" i="102"/>
  <c r="R154" i="102"/>
  <c r="Q154" i="102"/>
  <c r="N155" i="102"/>
  <c r="M155" i="102"/>
  <c r="L155" i="102"/>
  <c r="N154" i="102"/>
  <c r="M154" i="102"/>
  <c r="L154" i="102"/>
  <c r="I155" i="102"/>
  <c r="H155" i="102"/>
  <c r="G155" i="102"/>
  <c r="I154" i="102"/>
  <c r="H154" i="102"/>
  <c r="G154" i="102"/>
  <c r="B155" i="102"/>
  <c r="C155" i="102"/>
  <c r="D155" i="102"/>
  <c r="C154" i="102"/>
  <c r="D154" i="102"/>
  <c r="B154" i="102"/>
  <c r="B151" i="102"/>
  <c r="X151" i="102"/>
  <c r="W151" i="102"/>
  <c r="V151" i="102"/>
  <c r="S151" i="102"/>
  <c r="R151" i="102"/>
  <c r="Q151" i="102"/>
  <c r="N151" i="102"/>
  <c r="M151" i="102"/>
  <c r="L151" i="102"/>
  <c r="I151" i="102"/>
  <c r="H151" i="102"/>
  <c r="G151" i="102"/>
  <c r="D151" i="102"/>
  <c r="C151" i="102"/>
  <c r="Y150" i="102"/>
  <c r="T150" i="102"/>
  <c r="O150" i="102"/>
  <c r="J150" i="102"/>
  <c r="E150" i="102"/>
  <c r="Y149" i="102"/>
  <c r="T149" i="102"/>
  <c r="O149" i="102"/>
  <c r="J149" i="102"/>
  <c r="E149" i="102"/>
  <c r="X146" i="102"/>
  <c r="W146" i="102"/>
  <c r="V146" i="102"/>
  <c r="S146" i="102"/>
  <c r="R146" i="102"/>
  <c r="Q146" i="102"/>
  <c r="N146" i="102"/>
  <c r="M146" i="102"/>
  <c r="L146" i="102"/>
  <c r="I146" i="102"/>
  <c r="H146" i="102"/>
  <c r="G146" i="102"/>
  <c r="D146" i="102"/>
  <c r="C146" i="102"/>
  <c r="B146" i="102"/>
  <c r="Y145" i="102"/>
  <c r="T145" i="102"/>
  <c r="O145" i="102"/>
  <c r="J145" i="102"/>
  <c r="E145" i="102"/>
  <c r="Y144" i="102"/>
  <c r="T144" i="102"/>
  <c r="O144" i="102"/>
  <c r="J144" i="102"/>
  <c r="E144" i="102"/>
  <c r="X141" i="102"/>
  <c r="W141" i="102"/>
  <c r="V141" i="102"/>
  <c r="S141" i="102"/>
  <c r="R141" i="102"/>
  <c r="Q141" i="102"/>
  <c r="N141" i="102"/>
  <c r="M141" i="102"/>
  <c r="L141" i="102"/>
  <c r="I141" i="102"/>
  <c r="H141" i="102"/>
  <c r="G141" i="102"/>
  <c r="D141" i="102"/>
  <c r="C141" i="102"/>
  <c r="B141" i="102"/>
  <c r="Y140" i="102"/>
  <c r="T140" i="102"/>
  <c r="O140" i="102"/>
  <c r="J140" i="102"/>
  <c r="E140" i="102"/>
  <c r="Y139" i="102"/>
  <c r="T139" i="102"/>
  <c r="O139" i="102"/>
  <c r="J139" i="102"/>
  <c r="E139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E134" i="102"/>
  <c r="X131" i="102"/>
  <c r="W131" i="102"/>
  <c r="V131" i="102"/>
  <c r="S131" i="102"/>
  <c r="R131" i="102"/>
  <c r="Q131" i="102"/>
  <c r="N131" i="102"/>
  <c r="M131" i="102"/>
  <c r="L131" i="102"/>
  <c r="I131" i="102"/>
  <c r="H131" i="102"/>
  <c r="G131" i="102"/>
  <c r="D131" i="102"/>
  <c r="C131" i="102"/>
  <c r="B131" i="102"/>
  <c r="Y130" i="102"/>
  <c r="T130" i="102"/>
  <c r="O130" i="102"/>
  <c r="J130" i="102"/>
  <c r="E130" i="102"/>
  <c r="Y129" i="102"/>
  <c r="T129" i="102"/>
  <c r="O129" i="102"/>
  <c r="J129" i="102"/>
  <c r="E129" i="102"/>
  <c r="X126" i="102"/>
  <c r="W126" i="102"/>
  <c r="V126" i="102"/>
  <c r="S126" i="102"/>
  <c r="R126" i="102"/>
  <c r="Q126" i="102"/>
  <c r="N126" i="102"/>
  <c r="M126" i="102"/>
  <c r="L126" i="102"/>
  <c r="I126" i="102"/>
  <c r="H126" i="102"/>
  <c r="G126" i="102"/>
  <c r="D126" i="102"/>
  <c r="C126" i="102"/>
  <c r="B126" i="102"/>
  <c r="Y125" i="102"/>
  <c r="T125" i="102"/>
  <c r="O125" i="102"/>
  <c r="J125" i="102"/>
  <c r="E125" i="102"/>
  <c r="Y124" i="102"/>
  <c r="T124" i="102"/>
  <c r="O124" i="102"/>
  <c r="J124" i="102"/>
  <c r="E124" i="102"/>
  <c r="X121" i="102"/>
  <c r="W121" i="102"/>
  <c r="V121" i="102"/>
  <c r="S121" i="102"/>
  <c r="R121" i="102"/>
  <c r="Q121" i="102"/>
  <c r="N121" i="102"/>
  <c r="M121" i="102"/>
  <c r="L121" i="102"/>
  <c r="I121" i="102"/>
  <c r="H121" i="102"/>
  <c r="G121" i="102"/>
  <c r="D121" i="102"/>
  <c r="C121" i="102"/>
  <c r="B121" i="102"/>
  <c r="Y120" i="102"/>
  <c r="T120" i="102"/>
  <c r="O120" i="102"/>
  <c r="J120" i="102"/>
  <c r="E120" i="102"/>
  <c r="Y119" i="102"/>
  <c r="T119" i="102"/>
  <c r="O119" i="102"/>
  <c r="J119" i="102"/>
  <c r="E119" i="102"/>
  <c r="X116" i="102"/>
  <c r="W116" i="102"/>
  <c r="V116" i="102"/>
  <c r="S116" i="102"/>
  <c r="R116" i="102"/>
  <c r="Q116" i="102"/>
  <c r="N116" i="102"/>
  <c r="M116" i="102"/>
  <c r="L116" i="102"/>
  <c r="I116" i="102"/>
  <c r="H116" i="102"/>
  <c r="G116" i="102"/>
  <c r="D116" i="102"/>
  <c r="C116" i="102"/>
  <c r="B116" i="102"/>
  <c r="Y115" i="102"/>
  <c r="T115" i="102"/>
  <c r="O115" i="102"/>
  <c r="J115" i="102"/>
  <c r="E115" i="102"/>
  <c r="Y114" i="102"/>
  <c r="T114" i="102"/>
  <c r="O114" i="102"/>
  <c r="J114" i="102"/>
  <c r="E114" i="102"/>
  <c r="X111" i="102"/>
  <c r="W111" i="102"/>
  <c r="V111" i="102"/>
  <c r="S111" i="102"/>
  <c r="R111" i="102"/>
  <c r="Q111" i="102"/>
  <c r="N111" i="102"/>
  <c r="M111" i="102"/>
  <c r="L111" i="102"/>
  <c r="I111" i="102"/>
  <c r="H111" i="102"/>
  <c r="G111" i="102"/>
  <c r="D111" i="102"/>
  <c r="C111" i="102"/>
  <c r="B111" i="102"/>
  <c r="Y110" i="102"/>
  <c r="T110" i="102"/>
  <c r="O110" i="102"/>
  <c r="J110" i="102"/>
  <c r="E110" i="102"/>
  <c r="Y109" i="102"/>
  <c r="T109" i="102"/>
  <c r="O109" i="102"/>
  <c r="J109" i="102"/>
  <c r="E109" i="102"/>
  <c r="X106" i="102"/>
  <c r="W106" i="102"/>
  <c r="V106" i="102"/>
  <c r="S106" i="102"/>
  <c r="R106" i="102"/>
  <c r="Q106" i="102"/>
  <c r="N106" i="102"/>
  <c r="M106" i="102"/>
  <c r="L106" i="102"/>
  <c r="I106" i="102"/>
  <c r="H106" i="102"/>
  <c r="G106" i="102"/>
  <c r="D106" i="102"/>
  <c r="C106" i="102"/>
  <c r="B106" i="102"/>
  <c r="Y105" i="102"/>
  <c r="T105" i="102"/>
  <c r="O105" i="102"/>
  <c r="J105" i="102"/>
  <c r="E105" i="102"/>
  <c r="Y104" i="102"/>
  <c r="T104" i="102"/>
  <c r="O104" i="102"/>
  <c r="J104" i="102"/>
  <c r="E104" i="102"/>
  <c r="X101" i="102"/>
  <c r="W101" i="102"/>
  <c r="V101" i="102"/>
  <c r="S101" i="102"/>
  <c r="R101" i="102"/>
  <c r="Q101" i="102"/>
  <c r="N101" i="102"/>
  <c r="M101" i="102"/>
  <c r="L101" i="102"/>
  <c r="I101" i="102"/>
  <c r="H101" i="102"/>
  <c r="G101" i="102"/>
  <c r="D101" i="102"/>
  <c r="C101" i="102"/>
  <c r="B101" i="102"/>
  <c r="Y100" i="102"/>
  <c r="T100" i="102"/>
  <c r="O100" i="102"/>
  <c r="J100" i="102"/>
  <c r="E100" i="102"/>
  <c r="Y99" i="102"/>
  <c r="T99" i="102"/>
  <c r="O99" i="102"/>
  <c r="J99" i="102"/>
  <c r="E99" i="102"/>
  <c r="X96" i="102"/>
  <c r="W96" i="102"/>
  <c r="V96" i="102"/>
  <c r="S96" i="102"/>
  <c r="R96" i="102"/>
  <c r="Q96" i="102"/>
  <c r="N96" i="102"/>
  <c r="M96" i="102"/>
  <c r="L96" i="102"/>
  <c r="I96" i="102"/>
  <c r="H96" i="102"/>
  <c r="G96" i="102"/>
  <c r="D96" i="102"/>
  <c r="C96" i="102"/>
  <c r="B96" i="102"/>
  <c r="Y95" i="102"/>
  <c r="T95" i="102"/>
  <c r="O95" i="102"/>
  <c r="J95" i="102"/>
  <c r="E95" i="102"/>
  <c r="Y94" i="102"/>
  <c r="T94" i="102"/>
  <c r="O94" i="102"/>
  <c r="J94" i="102"/>
  <c r="E94" i="102"/>
  <c r="X91" i="102"/>
  <c r="W91" i="102"/>
  <c r="V91" i="102"/>
  <c r="S91" i="102"/>
  <c r="R91" i="102"/>
  <c r="Q91" i="102"/>
  <c r="N91" i="102"/>
  <c r="M91" i="102"/>
  <c r="L91" i="102"/>
  <c r="I91" i="102"/>
  <c r="H91" i="102"/>
  <c r="G91" i="102"/>
  <c r="D91" i="102"/>
  <c r="C91" i="102"/>
  <c r="B91" i="102"/>
  <c r="Y90" i="102"/>
  <c r="T90" i="102"/>
  <c r="O90" i="102"/>
  <c r="J90" i="102"/>
  <c r="E90" i="102"/>
  <c r="Y89" i="102"/>
  <c r="T89" i="102"/>
  <c r="O89" i="102"/>
  <c r="J89" i="102"/>
  <c r="E89" i="102"/>
  <c r="X86" i="102"/>
  <c r="W86" i="102"/>
  <c r="V86" i="102"/>
  <c r="S86" i="102"/>
  <c r="R86" i="102"/>
  <c r="Q86" i="102"/>
  <c r="N86" i="102"/>
  <c r="M86" i="102"/>
  <c r="L86" i="102"/>
  <c r="I86" i="102"/>
  <c r="H86" i="102"/>
  <c r="G86" i="102"/>
  <c r="D86" i="102"/>
  <c r="C86" i="102"/>
  <c r="B86" i="102"/>
  <c r="Y85" i="102"/>
  <c r="T85" i="102"/>
  <c r="O85" i="102"/>
  <c r="J85" i="102"/>
  <c r="E85" i="102"/>
  <c r="Y84" i="102"/>
  <c r="T84" i="102"/>
  <c r="O84" i="102"/>
  <c r="J84" i="102"/>
  <c r="E84" i="102"/>
  <c r="X81" i="102"/>
  <c r="W81" i="102"/>
  <c r="V81" i="102"/>
  <c r="S81" i="102"/>
  <c r="R81" i="102"/>
  <c r="Q81" i="102"/>
  <c r="N81" i="102"/>
  <c r="M81" i="102"/>
  <c r="L81" i="102"/>
  <c r="I81" i="102"/>
  <c r="H81" i="102"/>
  <c r="G81" i="102"/>
  <c r="D81" i="102"/>
  <c r="C81" i="102"/>
  <c r="B81" i="102"/>
  <c r="Y80" i="102"/>
  <c r="T80" i="102"/>
  <c r="O80" i="102"/>
  <c r="J80" i="102"/>
  <c r="E80" i="102"/>
  <c r="Y79" i="102"/>
  <c r="T79" i="102"/>
  <c r="O79" i="102"/>
  <c r="J79" i="102"/>
  <c r="E79" i="102"/>
  <c r="X76" i="102"/>
  <c r="W76" i="102"/>
  <c r="V76" i="102"/>
  <c r="S76" i="102"/>
  <c r="R76" i="102"/>
  <c r="Q76" i="102"/>
  <c r="N76" i="102"/>
  <c r="M76" i="102"/>
  <c r="L76" i="102"/>
  <c r="I76" i="102"/>
  <c r="H76" i="102"/>
  <c r="G76" i="102"/>
  <c r="D76" i="102"/>
  <c r="C76" i="102"/>
  <c r="B76" i="102"/>
  <c r="Y75" i="102"/>
  <c r="T75" i="102"/>
  <c r="O75" i="102"/>
  <c r="J75" i="102"/>
  <c r="E75" i="102"/>
  <c r="Y74" i="102"/>
  <c r="T74" i="102"/>
  <c r="O74" i="102"/>
  <c r="J74" i="102"/>
  <c r="E74" i="102"/>
  <c r="X65" i="102"/>
  <c r="W65" i="102"/>
  <c r="V65" i="102"/>
  <c r="X64" i="102"/>
  <c r="W64" i="102"/>
  <c r="V64" i="102"/>
  <c r="S65" i="102"/>
  <c r="R65" i="102"/>
  <c r="Q65" i="102"/>
  <c r="S64" i="102"/>
  <c r="R64" i="102"/>
  <c r="Q64" i="102"/>
  <c r="N65" i="102"/>
  <c r="M65" i="102"/>
  <c r="L65" i="102"/>
  <c r="N64" i="102"/>
  <c r="M64" i="102"/>
  <c r="L64" i="102"/>
  <c r="I65" i="102"/>
  <c r="H65" i="102"/>
  <c r="G65" i="102"/>
  <c r="I64" i="102"/>
  <c r="H64" i="102"/>
  <c r="G64" i="102"/>
  <c r="B65" i="102"/>
  <c r="C65" i="102"/>
  <c r="D65" i="102"/>
  <c r="C64" i="102"/>
  <c r="D64" i="102"/>
  <c r="B64" i="102"/>
  <c r="X61" i="102"/>
  <c r="W61" i="102"/>
  <c r="V61" i="102"/>
  <c r="S61" i="102"/>
  <c r="R61" i="102"/>
  <c r="Q61" i="102"/>
  <c r="N61" i="102"/>
  <c r="M61" i="102"/>
  <c r="L61" i="102"/>
  <c r="I61" i="102"/>
  <c r="H61" i="102"/>
  <c r="G61" i="102"/>
  <c r="D61" i="102"/>
  <c r="C61" i="102"/>
  <c r="B61" i="102"/>
  <c r="Y60" i="102"/>
  <c r="T60" i="102"/>
  <c r="O60" i="102"/>
  <c r="J60" i="102"/>
  <c r="E60" i="102"/>
  <c r="Y59" i="102"/>
  <c r="T59" i="102"/>
  <c r="O59" i="102"/>
  <c r="J59" i="102"/>
  <c r="E59" i="102"/>
  <c r="X56" i="102"/>
  <c r="W56" i="102"/>
  <c r="V56" i="102"/>
  <c r="S56" i="102"/>
  <c r="R56" i="102"/>
  <c r="Q56" i="102"/>
  <c r="N56" i="102"/>
  <c r="M56" i="102"/>
  <c r="L56" i="102"/>
  <c r="I56" i="102"/>
  <c r="H56" i="102"/>
  <c r="G56" i="102"/>
  <c r="D56" i="102"/>
  <c r="C56" i="102"/>
  <c r="B56" i="102"/>
  <c r="Y55" i="102"/>
  <c r="T55" i="102"/>
  <c r="O55" i="102"/>
  <c r="J55" i="102"/>
  <c r="E55" i="102"/>
  <c r="Y54" i="102"/>
  <c r="T54" i="102"/>
  <c r="O54" i="102"/>
  <c r="J54" i="102"/>
  <c r="E54" i="102"/>
  <c r="X51" i="102"/>
  <c r="W51" i="102"/>
  <c r="V51" i="102"/>
  <c r="S51" i="102"/>
  <c r="R51" i="102"/>
  <c r="Q51" i="102"/>
  <c r="N51" i="102"/>
  <c r="M51" i="102"/>
  <c r="L51" i="102"/>
  <c r="I51" i="102"/>
  <c r="H51" i="102"/>
  <c r="G51" i="102"/>
  <c r="D51" i="102"/>
  <c r="C51" i="102"/>
  <c r="B51" i="102"/>
  <c r="Y50" i="102"/>
  <c r="T50" i="102"/>
  <c r="O50" i="102"/>
  <c r="J50" i="102"/>
  <c r="E50" i="102"/>
  <c r="Y49" i="102"/>
  <c r="T49" i="102"/>
  <c r="O49" i="102"/>
  <c r="J49" i="102"/>
  <c r="E49" i="102"/>
  <c r="X40" i="102"/>
  <c r="W40" i="102"/>
  <c r="V40" i="102"/>
  <c r="X39" i="102"/>
  <c r="W39" i="102"/>
  <c r="V39" i="102"/>
  <c r="S40" i="102"/>
  <c r="R40" i="102"/>
  <c r="Q40" i="102"/>
  <c r="S39" i="102"/>
  <c r="R39" i="102"/>
  <c r="Q39" i="102"/>
  <c r="N40" i="102"/>
  <c r="M40" i="102"/>
  <c r="L40" i="102"/>
  <c r="N39" i="102"/>
  <c r="M39" i="102"/>
  <c r="L39" i="102"/>
  <c r="I40" i="102"/>
  <c r="H40" i="102"/>
  <c r="G40" i="102"/>
  <c r="I39" i="102"/>
  <c r="H39" i="102"/>
  <c r="G39" i="102"/>
  <c r="B40" i="102"/>
  <c r="C40" i="102"/>
  <c r="D40" i="102"/>
  <c r="C39" i="102"/>
  <c r="D39" i="102"/>
  <c r="B39" i="102"/>
  <c r="X36" i="102"/>
  <c r="W36" i="102"/>
  <c r="V36" i="102"/>
  <c r="S36" i="102"/>
  <c r="R36" i="102"/>
  <c r="Q36" i="102"/>
  <c r="N36" i="102"/>
  <c r="M36" i="102"/>
  <c r="L36" i="102"/>
  <c r="I36" i="102"/>
  <c r="H36" i="102"/>
  <c r="G36" i="102"/>
  <c r="D36" i="102"/>
  <c r="C36" i="102"/>
  <c r="B36" i="102"/>
  <c r="Y35" i="102"/>
  <c r="T35" i="102"/>
  <c r="O35" i="102"/>
  <c r="J35" i="102"/>
  <c r="E35" i="102"/>
  <c r="Y34" i="102"/>
  <c r="T34" i="102"/>
  <c r="O34" i="102"/>
  <c r="J34" i="102"/>
  <c r="E34" i="102"/>
  <c r="X31" i="102"/>
  <c r="W31" i="102"/>
  <c r="V31" i="102"/>
  <c r="S31" i="102"/>
  <c r="R31" i="102"/>
  <c r="Q31" i="102"/>
  <c r="N31" i="102"/>
  <c r="M31" i="102"/>
  <c r="L31" i="102"/>
  <c r="I31" i="102"/>
  <c r="H31" i="102"/>
  <c r="G31" i="102"/>
  <c r="D31" i="102"/>
  <c r="C31" i="102"/>
  <c r="B31" i="102"/>
  <c r="Y30" i="102"/>
  <c r="T30" i="102"/>
  <c r="O30" i="102"/>
  <c r="J30" i="102"/>
  <c r="E30" i="102"/>
  <c r="Y29" i="102"/>
  <c r="T29" i="102"/>
  <c r="O29" i="102"/>
  <c r="J29" i="102"/>
  <c r="E29" i="102"/>
  <c r="X21" i="102"/>
  <c r="W21" i="102"/>
  <c r="V21" i="102"/>
  <c r="S21" i="102"/>
  <c r="R21" i="102"/>
  <c r="Q21" i="102"/>
  <c r="N21" i="102"/>
  <c r="M21" i="102"/>
  <c r="L21" i="102"/>
  <c r="I21" i="102"/>
  <c r="H21" i="102"/>
  <c r="G21" i="102"/>
  <c r="D21" i="102"/>
  <c r="C21" i="102"/>
  <c r="B21" i="102"/>
  <c r="Y20" i="102"/>
  <c r="T20" i="102"/>
  <c r="O20" i="102"/>
  <c r="J20" i="102"/>
  <c r="E20" i="102"/>
  <c r="Y19" i="102"/>
  <c r="T19" i="102"/>
  <c r="O19" i="102"/>
  <c r="J19" i="102"/>
  <c r="E19" i="102"/>
  <c r="X11" i="102"/>
  <c r="W11" i="102"/>
  <c r="V11" i="102"/>
  <c r="Y10" i="102"/>
  <c r="Y9" i="102"/>
  <c r="S11" i="102"/>
  <c r="R11" i="102"/>
  <c r="Q11" i="102"/>
  <c r="T10" i="102"/>
  <c r="T9" i="102"/>
  <c r="N11" i="102"/>
  <c r="M11" i="102"/>
  <c r="L11" i="102"/>
  <c r="O10" i="102"/>
  <c r="O9" i="102"/>
  <c r="I11" i="102"/>
  <c r="H11" i="102"/>
  <c r="G11" i="102"/>
  <c r="J10" i="102"/>
  <c r="J9" i="102"/>
  <c r="C11" i="102"/>
  <c r="D11" i="102"/>
  <c r="B11" i="102"/>
  <c r="E10" i="102"/>
  <c r="E9" i="102"/>
  <c r="J251" i="102" l="1"/>
  <c r="O425" i="102"/>
  <c r="Y425" i="102"/>
  <c r="O506" i="102"/>
  <c r="X426" i="102"/>
  <c r="T201" i="102"/>
  <c r="H66" i="102"/>
  <c r="G276" i="102"/>
  <c r="S41" i="102"/>
  <c r="E539" i="102"/>
  <c r="T39" i="102"/>
  <c r="O131" i="102"/>
  <c r="V321" i="102"/>
  <c r="T31" i="102"/>
  <c r="X156" i="102"/>
  <c r="Y155" i="102"/>
  <c r="J190" i="102"/>
  <c r="E206" i="102"/>
  <c r="E274" i="102"/>
  <c r="H241" i="102"/>
  <c r="N276" i="102"/>
  <c r="S566" i="102"/>
  <c r="N566" i="102"/>
  <c r="D41" i="102"/>
  <c r="W41" i="102"/>
  <c r="C66" i="102"/>
  <c r="Y76" i="102"/>
  <c r="Q156" i="102"/>
  <c r="J306" i="102"/>
  <c r="E496" i="102"/>
  <c r="T565" i="102"/>
  <c r="T381" i="102"/>
  <c r="O396" i="102"/>
  <c r="C41" i="102"/>
  <c r="X41" i="102"/>
  <c r="E214" i="102"/>
  <c r="T215" i="102"/>
  <c r="C276" i="102"/>
  <c r="Q41" i="102"/>
  <c r="E151" i="102"/>
  <c r="B156" i="102"/>
  <c r="W296" i="102"/>
  <c r="H321" i="102"/>
  <c r="I566" i="102"/>
  <c r="D156" i="102"/>
  <c r="T166" i="102"/>
  <c r="V241" i="102"/>
  <c r="O286" i="102"/>
  <c r="C296" i="102"/>
  <c r="I321" i="102"/>
  <c r="O536" i="102"/>
  <c r="N541" i="102"/>
  <c r="Y295" i="102"/>
  <c r="O56" i="102"/>
  <c r="M276" i="102"/>
  <c r="J401" i="102"/>
  <c r="E416" i="102"/>
  <c r="T11" i="102"/>
  <c r="E176" i="102"/>
  <c r="O236" i="102"/>
  <c r="Q296" i="102"/>
  <c r="T425" i="102"/>
  <c r="L511" i="102"/>
  <c r="M41" i="102"/>
  <c r="E56" i="102"/>
  <c r="S66" i="102"/>
  <c r="J81" i="102"/>
  <c r="J186" i="102"/>
  <c r="H276" i="102"/>
  <c r="O561" i="102"/>
  <c r="O416" i="102"/>
  <c r="N466" i="102"/>
  <c r="J146" i="102"/>
  <c r="J151" i="102"/>
  <c r="Y540" i="102"/>
  <c r="E36" i="102"/>
  <c r="M541" i="102"/>
  <c r="O39" i="102"/>
  <c r="O186" i="102"/>
  <c r="E465" i="102"/>
  <c r="L296" i="102"/>
  <c r="T316" i="102"/>
  <c r="B511" i="102"/>
  <c r="G466" i="102"/>
  <c r="Y451" i="102"/>
  <c r="R541" i="102"/>
  <c r="T261" i="102"/>
  <c r="O291" i="102"/>
  <c r="T465" i="102"/>
  <c r="J11" i="102"/>
  <c r="Y21" i="102"/>
  <c r="E39" i="102"/>
  <c r="I41" i="102"/>
  <c r="V41" i="102"/>
  <c r="E51" i="102"/>
  <c r="T101" i="102"/>
  <c r="E106" i="102"/>
  <c r="O116" i="102"/>
  <c r="M156" i="102"/>
  <c r="M191" i="102"/>
  <c r="E190" i="102"/>
  <c r="O201" i="102"/>
  <c r="I216" i="102"/>
  <c r="W216" i="102"/>
  <c r="O215" i="102"/>
  <c r="E240" i="102"/>
  <c r="E236" i="102"/>
  <c r="J256" i="102"/>
  <c r="T266" i="102"/>
  <c r="E271" i="102"/>
  <c r="E294" i="102"/>
  <c r="Y294" i="102"/>
  <c r="O316" i="102"/>
  <c r="E320" i="102"/>
  <c r="L346" i="102"/>
  <c r="X346" i="102"/>
  <c r="I371" i="102"/>
  <c r="W371" i="102"/>
  <c r="H511" i="102"/>
  <c r="H566" i="102"/>
  <c r="W566" i="102"/>
  <c r="T406" i="102"/>
  <c r="O421" i="102"/>
  <c r="C426" i="102"/>
  <c r="X541" i="102"/>
  <c r="Y186" i="102"/>
  <c r="B466" i="102"/>
  <c r="Y64" i="102"/>
  <c r="E76" i="102"/>
  <c r="T189" i="102"/>
  <c r="E201" i="102"/>
  <c r="E215" i="102"/>
  <c r="O231" i="102"/>
  <c r="T239" i="102"/>
  <c r="T331" i="102"/>
  <c r="E336" i="102"/>
  <c r="E356" i="102"/>
  <c r="O366" i="102"/>
  <c r="B371" i="102"/>
  <c r="E565" i="102"/>
  <c r="E381" i="102"/>
  <c r="O391" i="102"/>
  <c r="Y401" i="102"/>
  <c r="J406" i="102"/>
  <c r="J424" i="102"/>
  <c r="N426" i="102"/>
  <c r="O436" i="102"/>
  <c r="T451" i="102"/>
  <c r="T456" i="102"/>
  <c r="T461" i="102"/>
  <c r="G41" i="102"/>
  <c r="R296" i="102"/>
  <c r="H426" i="102"/>
  <c r="O36" i="102"/>
  <c r="J56" i="102"/>
  <c r="X66" i="102"/>
  <c r="E86" i="102"/>
  <c r="O86" i="102"/>
  <c r="O96" i="102"/>
  <c r="Y106" i="102"/>
  <c r="J111" i="102"/>
  <c r="O136" i="102"/>
  <c r="Y146" i="102"/>
  <c r="Y151" i="102"/>
  <c r="Y166" i="102"/>
  <c r="J176" i="102"/>
  <c r="Y275" i="102"/>
  <c r="I426" i="102"/>
  <c r="Y424" i="102"/>
  <c r="E436" i="102"/>
  <c r="Y456" i="102"/>
  <c r="J461" i="102"/>
  <c r="E65" i="102"/>
  <c r="Y65" i="102"/>
  <c r="J76" i="102"/>
  <c r="Y189" i="102"/>
  <c r="J201" i="102"/>
  <c r="T211" i="102"/>
  <c r="J215" i="102"/>
  <c r="E251" i="102"/>
  <c r="E275" i="102"/>
  <c r="T295" i="102"/>
  <c r="Y306" i="102"/>
  <c r="Y311" i="102"/>
  <c r="J316" i="102"/>
  <c r="Y345" i="102"/>
  <c r="J356" i="102"/>
  <c r="O401" i="102"/>
  <c r="Y416" i="102"/>
  <c r="D426" i="102"/>
  <c r="J425" i="102"/>
  <c r="J231" i="102"/>
  <c r="X371" i="102"/>
  <c r="E11" i="102"/>
  <c r="C191" i="102"/>
  <c r="C321" i="102"/>
  <c r="E155" i="102"/>
  <c r="M566" i="102"/>
  <c r="Y526" i="102"/>
  <c r="Y11" i="102"/>
  <c r="J21" i="102"/>
  <c r="Y39" i="102"/>
  <c r="T61" i="102"/>
  <c r="O101" i="102"/>
  <c r="Y111" i="102"/>
  <c r="Y121" i="102"/>
  <c r="J126" i="102"/>
  <c r="O141" i="102"/>
  <c r="J189" i="102"/>
  <c r="Y190" i="102"/>
  <c r="T206" i="102"/>
  <c r="T226" i="102"/>
  <c r="E231" i="102"/>
  <c r="G241" i="102"/>
  <c r="S241" i="102"/>
  <c r="O256" i="102"/>
  <c r="Y261" i="102"/>
  <c r="Y266" i="102"/>
  <c r="J271" i="102"/>
  <c r="Y274" i="102"/>
  <c r="J331" i="102"/>
  <c r="D346" i="102"/>
  <c r="R346" i="102"/>
  <c r="E366" i="102"/>
  <c r="C371" i="102"/>
  <c r="Q371" i="102"/>
  <c r="T496" i="102"/>
  <c r="E501" i="102"/>
  <c r="E509" i="102"/>
  <c r="T510" i="102"/>
  <c r="E551" i="102"/>
  <c r="E556" i="102"/>
  <c r="E564" i="102"/>
  <c r="E391" i="102"/>
  <c r="J465" i="102"/>
  <c r="X466" i="102"/>
  <c r="E486" i="102"/>
  <c r="T486" i="102"/>
  <c r="E521" i="102"/>
  <c r="O531" i="102"/>
  <c r="Y536" i="102"/>
  <c r="O539" i="102"/>
  <c r="S541" i="102"/>
  <c r="N321" i="102"/>
  <c r="J501" i="102"/>
  <c r="W511" i="102"/>
  <c r="N346" i="102"/>
  <c r="D241" i="102"/>
  <c r="L276" i="102"/>
  <c r="I296" i="102"/>
  <c r="M511" i="102"/>
  <c r="D541" i="102"/>
  <c r="M66" i="102"/>
  <c r="Y81" i="102"/>
  <c r="T91" i="102"/>
  <c r="O151" i="102"/>
  <c r="G156" i="102"/>
  <c r="N156" i="102"/>
  <c r="W276" i="102"/>
  <c r="M296" i="102"/>
  <c r="T366" i="102"/>
  <c r="J370" i="102"/>
  <c r="E506" i="102"/>
  <c r="T509" i="102"/>
  <c r="T551" i="102"/>
  <c r="E561" i="102"/>
  <c r="E441" i="102"/>
  <c r="Y461" i="102"/>
  <c r="D466" i="102"/>
  <c r="R466" i="102"/>
  <c r="Y465" i="102"/>
  <c r="J476" i="102"/>
  <c r="T521" i="102"/>
  <c r="I511" i="102"/>
  <c r="J556" i="102"/>
  <c r="O31" i="102"/>
  <c r="M216" i="102"/>
  <c r="M371" i="102"/>
  <c r="E31" i="102"/>
  <c r="D321" i="102"/>
  <c r="E40" i="102"/>
  <c r="J65" i="102"/>
  <c r="W66" i="102"/>
  <c r="Y91" i="102"/>
  <c r="J96" i="102"/>
  <c r="J136" i="102"/>
  <c r="E141" i="102"/>
  <c r="T146" i="102"/>
  <c r="T151" i="102"/>
  <c r="H156" i="102"/>
  <c r="O155" i="102"/>
  <c r="T155" i="102"/>
  <c r="O176" i="102"/>
  <c r="I191" i="102"/>
  <c r="S216" i="102"/>
  <c r="G296" i="102"/>
  <c r="N296" i="102"/>
  <c r="Y316" i="102"/>
  <c r="O320" i="102"/>
  <c r="Y336" i="102"/>
  <c r="Y356" i="102"/>
  <c r="Y370" i="102"/>
  <c r="T506" i="102"/>
  <c r="T561" i="102"/>
  <c r="E401" i="102"/>
  <c r="J416" i="102"/>
  <c r="T421" i="102"/>
  <c r="W426" i="102"/>
  <c r="J436" i="102"/>
  <c r="O464" i="102"/>
  <c r="S466" i="102"/>
  <c r="Y476" i="102"/>
  <c r="J486" i="102"/>
  <c r="G541" i="102"/>
  <c r="E306" i="102"/>
  <c r="T121" i="102"/>
  <c r="E331" i="102"/>
  <c r="B346" i="102"/>
  <c r="E186" i="102"/>
  <c r="R241" i="102"/>
  <c r="R321" i="102"/>
  <c r="T64" i="102"/>
  <c r="T76" i="102"/>
  <c r="Y126" i="102"/>
  <c r="Y131" i="102"/>
  <c r="Y136" i="102"/>
  <c r="J141" i="102"/>
  <c r="V156" i="102"/>
  <c r="E166" i="102"/>
  <c r="O181" i="102"/>
  <c r="X191" i="102"/>
  <c r="H216" i="102"/>
  <c r="T231" i="102"/>
  <c r="L241" i="102"/>
  <c r="X241" i="102"/>
  <c r="T256" i="102"/>
  <c r="O271" i="102"/>
  <c r="D276" i="102"/>
  <c r="J286" i="102"/>
  <c r="H296" i="102"/>
  <c r="O311" i="102"/>
  <c r="O319" i="102"/>
  <c r="Y341" i="102"/>
  <c r="O345" i="102"/>
  <c r="Y361" i="102"/>
  <c r="J366" i="102"/>
  <c r="G511" i="102"/>
  <c r="S511" i="102"/>
  <c r="E536" i="102"/>
  <c r="T540" i="102"/>
  <c r="I541" i="102"/>
  <c r="E21" i="102"/>
  <c r="Y36" i="102"/>
  <c r="T40" i="102"/>
  <c r="Y56" i="102"/>
  <c r="E64" i="102"/>
  <c r="T136" i="102"/>
  <c r="T275" i="102"/>
  <c r="D296" i="102"/>
  <c r="J295" i="102"/>
  <c r="O424" i="102"/>
  <c r="S426" i="102"/>
  <c r="Y436" i="102"/>
  <c r="J441" i="102"/>
  <c r="E456" i="102"/>
  <c r="N41" i="102"/>
  <c r="R41" i="102"/>
  <c r="O51" i="102"/>
  <c r="Y61" i="102"/>
  <c r="E189" i="102"/>
  <c r="T251" i="102"/>
  <c r="E256" i="102"/>
  <c r="O261" i="102"/>
  <c r="O266" i="102"/>
  <c r="O496" i="102"/>
  <c r="Y506" i="102"/>
  <c r="Y561" i="102"/>
  <c r="O565" i="102"/>
  <c r="O381" i="102"/>
  <c r="Y391" i="102"/>
  <c r="J396" i="102"/>
  <c r="E406" i="102"/>
  <c r="O411" i="102"/>
  <c r="O526" i="102"/>
  <c r="C541" i="102"/>
  <c r="J540" i="102"/>
  <c r="T539" i="102"/>
  <c r="O40" i="102"/>
  <c r="E261" i="102"/>
  <c r="Y446" i="102"/>
  <c r="S156" i="102"/>
  <c r="O226" i="102"/>
  <c r="B241" i="102"/>
  <c r="N241" i="102"/>
  <c r="R276" i="102"/>
  <c r="E295" i="102"/>
  <c r="N511" i="102"/>
  <c r="B426" i="102"/>
  <c r="E424" i="102"/>
  <c r="J451" i="102"/>
  <c r="J456" i="102"/>
  <c r="Y441" i="102"/>
  <c r="E540" i="102"/>
  <c r="O126" i="102"/>
  <c r="O154" i="102"/>
  <c r="L156" i="102"/>
  <c r="J31" i="102"/>
  <c r="T36" i="102"/>
  <c r="T56" i="102"/>
  <c r="O61" i="102"/>
  <c r="G66" i="102"/>
  <c r="N66" i="102"/>
  <c r="J86" i="102"/>
  <c r="E96" i="102"/>
  <c r="O106" i="102"/>
  <c r="Y116" i="102"/>
  <c r="J121" i="102"/>
  <c r="T126" i="102"/>
  <c r="E131" i="102"/>
  <c r="T186" i="102"/>
  <c r="D191" i="102"/>
  <c r="R191" i="102"/>
  <c r="O211" i="102"/>
  <c r="N216" i="102"/>
  <c r="O274" i="102"/>
  <c r="J311" i="102"/>
  <c r="Y319" i="102"/>
  <c r="T336" i="102"/>
  <c r="T341" i="102"/>
  <c r="G346" i="102"/>
  <c r="S346" i="102"/>
  <c r="J345" i="102"/>
  <c r="D371" i="102"/>
  <c r="R371" i="102"/>
  <c r="C511" i="102"/>
  <c r="C566" i="102"/>
  <c r="Q566" i="102"/>
  <c r="E464" i="102"/>
  <c r="I466" i="102"/>
  <c r="Y464" i="102"/>
  <c r="E476" i="102"/>
  <c r="J531" i="102"/>
  <c r="O11" i="102"/>
  <c r="O239" i="102"/>
  <c r="E461" i="102"/>
  <c r="O21" i="102"/>
  <c r="J40" i="102"/>
  <c r="Y40" i="102"/>
  <c r="J51" i="102"/>
  <c r="T96" i="102"/>
  <c r="E126" i="102"/>
  <c r="O166" i="102"/>
  <c r="Y181" i="102"/>
  <c r="S191" i="102"/>
  <c r="C216" i="102"/>
  <c r="Q216" i="102"/>
  <c r="O251" i="102"/>
  <c r="S276" i="102"/>
  <c r="Y291" i="102"/>
  <c r="O306" i="102"/>
  <c r="X321" i="102"/>
  <c r="Y331" i="102"/>
  <c r="H346" i="102"/>
  <c r="V346" i="102"/>
  <c r="T361" i="102"/>
  <c r="G371" i="102"/>
  <c r="S371" i="102"/>
  <c r="Y406" i="102"/>
  <c r="J411" i="102"/>
  <c r="E421" i="102"/>
  <c r="J536" i="102"/>
  <c r="Y539" i="102"/>
  <c r="T21" i="102"/>
  <c r="L41" i="102"/>
  <c r="Y51" i="102"/>
  <c r="O65" i="102"/>
  <c r="O76" i="102"/>
  <c r="T86" i="102"/>
  <c r="E91" i="102"/>
  <c r="Y101" i="102"/>
  <c r="J116" i="102"/>
  <c r="T141" i="102"/>
  <c r="E146" i="102"/>
  <c r="Y176" i="102"/>
  <c r="J181" i="102"/>
  <c r="N191" i="102"/>
  <c r="T190" i="102"/>
  <c r="O206" i="102"/>
  <c r="Y211" i="102"/>
  <c r="O214" i="102"/>
  <c r="X216" i="102"/>
  <c r="Y226" i="102"/>
  <c r="Y231" i="102"/>
  <c r="J236" i="102"/>
  <c r="Y236" i="102"/>
  <c r="I241" i="102"/>
  <c r="Y239" i="102"/>
  <c r="O240" i="102"/>
  <c r="Y271" i="102"/>
  <c r="Y286" i="102"/>
  <c r="J291" i="102"/>
  <c r="S296" i="102"/>
  <c r="T311" i="102"/>
  <c r="G321" i="102"/>
  <c r="S321" i="102"/>
  <c r="J320" i="102"/>
  <c r="Y320" i="102"/>
  <c r="E341" i="102"/>
  <c r="E344" i="102"/>
  <c r="T344" i="102"/>
  <c r="T345" i="102"/>
  <c r="T356" i="102"/>
  <c r="E361" i="102"/>
  <c r="E369" i="102"/>
  <c r="N371" i="102"/>
  <c r="T370" i="102"/>
  <c r="O501" i="102"/>
  <c r="O509" i="102"/>
  <c r="X511" i="102"/>
  <c r="O551" i="102"/>
  <c r="O556" i="102"/>
  <c r="O564" i="102"/>
  <c r="X566" i="102"/>
  <c r="Y396" i="102"/>
  <c r="T401" i="102"/>
  <c r="O406" i="102"/>
  <c r="Y411" i="102"/>
  <c r="T416" i="102"/>
  <c r="M426" i="102"/>
  <c r="J446" i="102"/>
  <c r="O461" i="102"/>
  <c r="T476" i="102"/>
  <c r="O521" i="102"/>
  <c r="Y531" i="102"/>
  <c r="T536" i="102"/>
  <c r="W541" i="102"/>
  <c r="I66" i="102"/>
  <c r="R66" i="102"/>
  <c r="O81" i="102"/>
  <c r="E101" i="102"/>
  <c r="T106" i="102"/>
  <c r="O111" i="102"/>
  <c r="W156" i="102"/>
  <c r="H191" i="102"/>
  <c r="E211" i="102"/>
  <c r="D216" i="102"/>
  <c r="R216" i="102"/>
  <c r="E226" i="102"/>
  <c r="E239" i="102"/>
  <c r="T240" i="102"/>
  <c r="E266" i="102"/>
  <c r="I276" i="102"/>
  <c r="E286" i="102"/>
  <c r="M321" i="102"/>
  <c r="J336" i="102"/>
  <c r="J341" i="102"/>
  <c r="I346" i="102"/>
  <c r="Y344" i="102"/>
  <c r="H371" i="102"/>
  <c r="Y369" i="102"/>
  <c r="J496" i="102"/>
  <c r="D511" i="102"/>
  <c r="R511" i="102"/>
  <c r="J510" i="102"/>
  <c r="D566" i="102"/>
  <c r="R566" i="102"/>
  <c r="J565" i="102"/>
  <c r="J381" i="102"/>
  <c r="T391" i="102"/>
  <c r="E396" i="102"/>
  <c r="E411" i="102"/>
  <c r="J421" i="102"/>
  <c r="O441" i="102"/>
  <c r="O446" i="102"/>
  <c r="O451" i="102"/>
  <c r="Y486" i="102"/>
  <c r="T526" i="102"/>
  <c r="E531" i="102"/>
  <c r="T51" i="102"/>
  <c r="E61" i="102"/>
  <c r="O64" i="102"/>
  <c r="T81" i="102"/>
  <c r="Y86" i="102"/>
  <c r="J91" i="102"/>
  <c r="Y96" i="102"/>
  <c r="J101" i="102"/>
  <c r="T111" i="102"/>
  <c r="E116" i="102"/>
  <c r="O121" i="102"/>
  <c r="T131" i="102"/>
  <c r="Y141" i="102"/>
  <c r="E154" i="102"/>
  <c r="T176" i="102"/>
  <c r="E181" i="102"/>
  <c r="W191" i="102"/>
  <c r="O190" i="102"/>
  <c r="Y201" i="102"/>
  <c r="J206" i="102"/>
  <c r="J214" i="102"/>
  <c r="Y215" i="102"/>
  <c r="Y256" i="102"/>
  <c r="J261" i="102"/>
  <c r="T271" i="102"/>
  <c r="J275" i="102"/>
  <c r="T286" i="102"/>
  <c r="E291" i="102"/>
  <c r="T306" i="102"/>
  <c r="E311" i="102"/>
  <c r="E319" i="102"/>
  <c r="O331" i="102"/>
  <c r="O336" i="102"/>
  <c r="O356" i="102"/>
  <c r="J361" i="102"/>
  <c r="Y366" i="102"/>
  <c r="L371" i="102"/>
  <c r="Y496" i="102"/>
  <c r="T501" i="102"/>
  <c r="Y510" i="102"/>
  <c r="J551" i="102"/>
  <c r="T556" i="102"/>
  <c r="J564" i="102"/>
  <c r="Y565" i="102"/>
  <c r="Y381" i="102"/>
  <c r="T396" i="102"/>
  <c r="T411" i="102"/>
  <c r="Y421" i="102"/>
  <c r="T424" i="102"/>
  <c r="T436" i="102"/>
  <c r="T441" i="102"/>
  <c r="O456" i="102"/>
  <c r="O476" i="102"/>
  <c r="J521" i="102"/>
  <c r="E526" i="102"/>
  <c r="T531" i="102"/>
  <c r="Y31" i="102"/>
  <c r="J36" i="102"/>
  <c r="H41" i="102"/>
  <c r="J61" i="102"/>
  <c r="T65" i="102"/>
  <c r="E81" i="102"/>
  <c r="O91" i="102"/>
  <c r="J106" i="102"/>
  <c r="E111" i="102"/>
  <c r="T116" i="102"/>
  <c r="E121" i="102"/>
  <c r="J131" i="102"/>
  <c r="E136" i="102"/>
  <c r="O146" i="102"/>
  <c r="I156" i="102"/>
  <c r="R156" i="102"/>
  <c r="J166" i="102"/>
  <c r="T181" i="102"/>
  <c r="O189" i="102"/>
  <c r="Y206" i="102"/>
  <c r="J211" i="102"/>
  <c r="Y214" i="102"/>
  <c r="J226" i="102"/>
  <c r="T236" i="102"/>
  <c r="J240" i="102"/>
  <c r="Y240" i="102"/>
  <c r="Y251" i="102"/>
  <c r="J266" i="102"/>
  <c r="Q276" i="102"/>
  <c r="X276" i="102"/>
  <c r="T291" i="102"/>
  <c r="X296" i="102"/>
  <c r="E316" i="102"/>
  <c r="T319" i="102"/>
  <c r="T320" i="102"/>
  <c r="O341" i="102"/>
  <c r="O344" i="102"/>
  <c r="E345" i="102"/>
  <c r="O361" i="102"/>
  <c r="O369" i="102"/>
  <c r="Y501" i="102"/>
  <c r="J506" i="102"/>
  <c r="Y509" i="102"/>
  <c r="Y551" i="102"/>
  <c r="Y556" i="102"/>
  <c r="J561" i="102"/>
  <c r="Y564" i="102"/>
  <c r="J391" i="102"/>
  <c r="R426" i="102"/>
  <c r="E446" i="102"/>
  <c r="T446" i="102"/>
  <c r="E451" i="102"/>
  <c r="H466" i="102"/>
  <c r="O465" i="102"/>
  <c r="O486" i="102"/>
  <c r="Y521" i="102"/>
  <c r="J526" i="102"/>
  <c r="H541" i="102"/>
  <c r="O540" i="102"/>
  <c r="Q541" i="102"/>
  <c r="J539" i="102"/>
  <c r="B541" i="102"/>
  <c r="V541" i="102"/>
  <c r="L541" i="102"/>
  <c r="V466" i="102"/>
  <c r="T464" i="102"/>
  <c r="L466" i="102"/>
  <c r="Q466" i="102"/>
  <c r="J464" i="102"/>
  <c r="C466" i="102"/>
  <c r="M466" i="102"/>
  <c r="W466" i="102"/>
  <c r="G426" i="102"/>
  <c r="E425" i="102"/>
  <c r="V426" i="102"/>
  <c r="Q426" i="102"/>
  <c r="L426" i="102"/>
  <c r="G566" i="102"/>
  <c r="T564" i="102"/>
  <c r="B566" i="102"/>
  <c r="L566" i="102"/>
  <c r="V566" i="102"/>
  <c r="J509" i="102"/>
  <c r="O510" i="102"/>
  <c r="V511" i="102"/>
  <c r="Q511" i="102"/>
  <c r="E510" i="102"/>
  <c r="J369" i="102"/>
  <c r="T369" i="102"/>
  <c r="E370" i="102"/>
  <c r="O370" i="102"/>
  <c r="V371" i="102"/>
  <c r="Q346" i="102"/>
  <c r="J344" i="102"/>
  <c r="C346" i="102"/>
  <c r="M346" i="102"/>
  <c r="W346" i="102"/>
  <c r="Q321" i="102"/>
  <c r="J319" i="102"/>
  <c r="B321" i="102"/>
  <c r="L321" i="102"/>
  <c r="W321" i="102"/>
  <c r="O294" i="102"/>
  <c r="J294" i="102"/>
  <c r="T294" i="102"/>
  <c r="O295" i="102"/>
  <c r="V296" i="102"/>
  <c r="B296" i="102"/>
  <c r="J274" i="102"/>
  <c r="T274" i="102"/>
  <c r="O275" i="102"/>
  <c r="V276" i="102"/>
  <c r="B276" i="102"/>
  <c r="Q241" i="102"/>
  <c r="J239" i="102"/>
  <c r="M241" i="102"/>
  <c r="C241" i="102"/>
  <c r="W241" i="102"/>
  <c r="G216" i="102"/>
  <c r="T214" i="102"/>
  <c r="B216" i="102"/>
  <c r="L216" i="102"/>
  <c r="V216" i="102"/>
  <c r="G191" i="102"/>
  <c r="B191" i="102"/>
  <c r="L191" i="102"/>
  <c r="Q191" i="102"/>
  <c r="V191" i="102"/>
  <c r="Y154" i="102"/>
  <c r="J155" i="102"/>
  <c r="C156" i="102"/>
  <c r="J154" i="102"/>
  <c r="T154" i="102"/>
  <c r="D66" i="102"/>
  <c r="J64" i="102"/>
  <c r="B66" i="102"/>
  <c r="V66" i="102"/>
  <c r="L66" i="102"/>
  <c r="Q66" i="102"/>
  <c r="J39" i="102"/>
  <c r="B41" i="102"/>
  <c r="N1294" i="103"/>
  <c r="M1294" i="103"/>
  <c r="L1294" i="103"/>
  <c r="I1294" i="103"/>
  <c r="H1294" i="103"/>
  <c r="G1294" i="103"/>
  <c r="D1294" i="103"/>
  <c r="C1294" i="103"/>
  <c r="B1294" i="103"/>
  <c r="O1292" i="103"/>
  <c r="J1292" i="103"/>
  <c r="E1292" i="103"/>
  <c r="O1291" i="103"/>
  <c r="J1291" i="103"/>
  <c r="E1291" i="103"/>
  <c r="O1290" i="103"/>
  <c r="J1290" i="103"/>
  <c r="E1290" i="103"/>
  <c r="O1289" i="103"/>
  <c r="J1289" i="103"/>
  <c r="E1289" i="103"/>
  <c r="O1288" i="103"/>
  <c r="J1288" i="103"/>
  <c r="E1288" i="103"/>
  <c r="O1287" i="103"/>
  <c r="J1287" i="103"/>
  <c r="E1287" i="103"/>
  <c r="O1286" i="103"/>
  <c r="J1286" i="103"/>
  <c r="E1286" i="103"/>
  <c r="O1285" i="103"/>
  <c r="J1285" i="103"/>
  <c r="E1285" i="103"/>
  <c r="O1284" i="103"/>
  <c r="J1284" i="103"/>
  <c r="E1284" i="103"/>
  <c r="O1282" i="103"/>
  <c r="J1282" i="103"/>
  <c r="E1282" i="103"/>
  <c r="L1281" i="103"/>
  <c r="G1281" i="103"/>
  <c r="B1281" i="103"/>
  <c r="N1277" i="103"/>
  <c r="M1277" i="103"/>
  <c r="L1277" i="103"/>
  <c r="I1277" i="103"/>
  <c r="H1277" i="103"/>
  <c r="G1277" i="103"/>
  <c r="D1277" i="103"/>
  <c r="C1277" i="103"/>
  <c r="B1277" i="103"/>
  <c r="O1275" i="103"/>
  <c r="J1275" i="103"/>
  <c r="E1275" i="103"/>
  <c r="O1274" i="103"/>
  <c r="J1274" i="103"/>
  <c r="E1274" i="103"/>
  <c r="O1273" i="103"/>
  <c r="J1273" i="103"/>
  <c r="E1273" i="103"/>
  <c r="O1272" i="103"/>
  <c r="J1272" i="103"/>
  <c r="E1272" i="103"/>
  <c r="O1271" i="103"/>
  <c r="J1271" i="103"/>
  <c r="E1271" i="103"/>
  <c r="O1270" i="103"/>
  <c r="J1270" i="103"/>
  <c r="E1270" i="103"/>
  <c r="O1269" i="103"/>
  <c r="J1269" i="103"/>
  <c r="E1269" i="103"/>
  <c r="O1268" i="103"/>
  <c r="J1268" i="103"/>
  <c r="E1268" i="103"/>
  <c r="O1267" i="103"/>
  <c r="J1267" i="103"/>
  <c r="E1267" i="103"/>
  <c r="O1265" i="103"/>
  <c r="J1265" i="103"/>
  <c r="E1265" i="103"/>
  <c r="L1264" i="103"/>
  <c r="G1264" i="103"/>
  <c r="B1264" i="103"/>
  <c r="N1260" i="103"/>
  <c r="M1260" i="103"/>
  <c r="L1260" i="103"/>
  <c r="I1260" i="103"/>
  <c r="H1260" i="103"/>
  <c r="G1260" i="103"/>
  <c r="D1260" i="103"/>
  <c r="C1260" i="103"/>
  <c r="B1260" i="103"/>
  <c r="O1258" i="103"/>
  <c r="J1258" i="103"/>
  <c r="E1258" i="103"/>
  <c r="O1257" i="103"/>
  <c r="J1257" i="103"/>
  <c r="E1257" i="103"/>
  <c r="O1256" i="103"/>
  <c r="J1256" i="103"/>
  <c r="E1256" i="103"/>
  <c r="O1255" i="103"/>
  <c r="J1255" i="103"/>
  <c r="E1255" i="103"/>
  <c r="O1254" i="103"/>
  <c r="J1254" i="103"/>
  <c r="E1254" i="103"/>
  <c r="O1253" i="103"/>
  <c r="J1253" i="103"/>
  <c r="E1253" i="103"/>
  <c r="O1252" i="103"/>
  <c r="J1252" i="103"/>
  <c r="E1252" i="103"/>
  <c r="O1251" i="103"/>
  <c r="J1251" i="103"/>
  <c r="E1251" i="103"/>
  <c r="O1250" i="103"/>
  <c r="J1250" i="103"/>
  <c r="E1250" i="103"/>
  <c r="O1248" i="103"/>
  <c r="J1248" i="103"/>
  <c r="E1248" i="103"/>
  <c r="L1247" i="103"/>
  <c r="G1247" i="103"/>
  <c r="B1247" i="103"/>
  <c r="N1243" i="103"/>
  <c r="M1243" i="103"/>
  <c r="L1243" i="103"/>
  <c r="I1243" i="103"/>
  <c r="H1243" i="103"/>
  <c r="G1243" i="103"/>
  <c r="D1243" i="103"/>
  <c r="C1243" i="103"/>
  <c r="B1243" i="103"/>
  <c r="O1241" i="103"/>
  <c r="J1241" i="103"/>
  <c r="E1241" i="103"/>
  <c r="O1240" i="103"/>
  <c r="J1240" i="103"/>
  <c r="E1240" i="103"/>
  <c r="O1239" i="103"/>
  <c r="J1239" i="103"/>
  <c r="E1239" i="103"/>
  <c r="O1238" i="103"/>
  <c r="J1238" i="103"/>
  <c r="E1238" i="103"/>
  <c r="O1237" i="103"/>
  <c r="J1237" i="103"/>
  <c r="E1237" i="103"/>
  <c r="O1236" i="103"/>
  <c r="J1236" i="103"/>
  <c r="E1236" i="103"/>
  <c r="O1235" i="103"/>
  <c r="J1235" i="103"/>
  <c r="E1235" i="103"/>
  <c r="O1234" i="103"/>
  <c r="J1234" i="103"/>
  <c r="E1234" i="103"/>
  <c r="O1233" i="103"/>
  <c r="J1233" i="103"/>
  <c r="E1233" i="103"/>
  <c r="O1231" i="103"/>
  <c r="J1231" i="103"/>
  <c r="E1231" i="103"/>
  <c r="L1230" i="103"/>
  <c r="G1230" i="103"/>
  <c r="B1230" i="103"/>
  <c r="N1226" i="103"/>
  <c r="M1226" i="103"/>
  <c r="L1226" i="103"/>
  <c r="I1226" i="103"/>
  <c r="H1226" i="103"/>
  <c r="G1226" i="103"/>
  <c r="D1226" i="103"/>
  <c r="C1226" i="103"/>
  <c r="B1226" i="103"/>
  <c r="O1224" i="103"/>
  <c r="J1224" i="103"/>
  <c r="E1224" i="103"/>
  <c r="O1223" i="103"/>
  <c r="J1223" i="103"/>
  <c r="E1223" i="103"/>
  <c r="O1222" i="103"/>
  <c r="J1222" i="103"/>
  <c r="E1222" i="103"/>
  <c r="O1221" i="103"/>
  <c r="J1221" i="103"/>
  <c r="E1221" i="103"/>
  <c r="O1220" i="103"/>
  <c r="J1220" i="103"/>
  <c r="E1220" i="103"/>
  <c r="O1219" i="103"/>
  <c r="J1219" i="103"/>
  <c r="E1219" i="103"/>
  <c r="O1218" i="103"/>
  <c r="J1218" i="103"/>
  <c r="E1218" i="103"/>
  <c r="O1217" i="103"/>
  <c r="J1217" i="103"/>
  <c r="E1217" i="103"/>
  <c r="O1216" i="103"/>
  <c r="J1216" i="103"/>
  <c r="E1216" i="103"/>
  <c r="O1214" i="103"/>
  <c r="J1214" i="103"/>
  <c r="E1214" i="103"/>
  <c r="L1213" i="103"/>
  <c r="G1213" i="103"/>
  <c r="B1213" i="103"/>
  <c r="N1209" i="103"/>
  <c r="M1209" i="103"/>
  <c r="L1209" i="103"/>
  <c r="I1209" i="103"/>
  <c r="H1209" i="103"/>
  <c r="G1209" i="103"/>
  <c r="D1209" i="103"/>
  <c r="C1209" i="103"/>
  <c r="B1209" i="103"/>
  <c r="O1207" i="103"/>
  <c r="J1207" i="103"/>
  <c r="E1207" i="103"/>
  <c r="O1206" i="103"/>
  <c r="J1206" i="103"/>
  <c r="E1206" i="103"/>
  <c r="O1205" i="103"/>
  <c r="J1205" i="103"/>
  <c r="E1205" i="103"/>
  <c r="O1204" i="103"/>
  <c r="J1204" i="103"/>
  <c r="E1204" i="103"/>
  <c r="O1203" i="103"/>
  <c r="J1203" i="103"/>
  <c r="E1203" i="103"/>
  <c r="O1202" i="103"/>
  <c r="J1202" i="103"/>
  <c r="E1202" i="103"/>
  <c r="O1201" i="103"/>
  <c r="J1201" i="103"/>
  <c r="E1201" i="103"/>
  <c r="O1200" i="103"/>
  <c r="J1200" i="103"/>
  <c r="E1200" i="103"/>
  <c r="O1199" i="103"/>
  <c r="J1199" i="103"/>
  <c r="E1199" i="103"/>
  <c r="O1197" i="103"/>
  <c r="J1197" i="103"/>
  <c r="E1197" i="103"/>
  <c r="L1196" i="103"/>
  <c r="G1196" i="103"/>
  <c r="B1196" i="103"/>
  <c r="N1192" i="103"/>
  <c r="M1192" i="103"/>
  <c r="L1192" i="103"/>
  <c r="I1192" i="103"/>
  <c r="H1192" i="103"/>
  <c r="G1192" i="103"/>
  <c r="D1192" i="103"/>
  <c r="C1192" i="103"/>
  <c r="B1192" i="103"/>
  <c r="O1190" i="103"/>
  <c r="J1190" i="103"/>
  <c r="E1190" i="103"/>
  <c r="O1189" i="103"/>
  <c r="J1189" i="103"/>
  <c r="E1189" i="103"/>
  <c r="O1188" i="103"/>
  <c r="J1188" i="103"/>
  <c r="E1188" i="103"/>
  <c r="O1187" i="103"/>
  <c r="J1187" i="103"/>
  <c r="E1187" i="103"/>
  <c r="O1186" i="103"/>
  <c r="J1186" i="103"/>
  <c r="E1186" i="103"/>
  <c r="O1185" i="103"/>
  <c r="J1185" i="103"/>
  <c r="E1185" i="103"/>
  <c r="O1184" i="103"/>
  <c r="J1184" i="103"/>
  <c r="E1184" i="103"/>
  <c r="O1183" i="103"/>
  <c r="J1183" i="103"/>
  <c r="E1183" i="103"/>
  <c r="O1182" i="103"/>
  <c r="J1182" i="103"/>
  <c r="E1182" i="103"/>
  <c r="O1180" i="103"/>
  <c r="J1180" i="103"/>
  <c r="E1180" i="103"/>
  <c r="L1179" i="103"/>
  <c r="G1179" i="103"/>
  <c r="B1179" i="103"/>
  <c r="N1175" i="103"/>
  <c r="M1175" i="103"/>
  <c r="L1175" i="103"/>
  <c r="I1175" i="103"/>
  <c r="H1175" i="103"/>
  <c r="G1175" i="103"/>
  <c r="D1175" i="103"/>
  <c r="C1175" i="103"/>
  <c r="B1175" i="103"/>
  <c r="O1173" i="103"/>
  <c r="J1173" i="103"/>
  <c r="E1173" i="103"/>
  <c r="O1172" i="103"/>
  <c r="J1172" i="103"/>
  <c r="E1172" i="103"/>
  <c r="O1171" i="103"/>
  <c r="J1171" i="103"/>
  <c r="E1171" i="103"/>
  <c r="O1170" i="103"/>
  <c r="J1170" i="103"/>
  <c r="E1170" i="103"/>
  <c r="O1169" i="103"/>
  <c r="J1169" i="103"/>
  <c r="E1169" i="103"/>
  <c r="O1168" i="103"/>
  <c r="J1168" i="103"/>
  <c r="E1168" i="103"/>
  <c r="O1167" i="103"/>
  <c r="J1167" i="103"/>
  <c r="E1167" i="103"/>
  <c r="O1166" i="103"/>
  <c r="J1166" i="103"/>
  <c r="E1166" i="103"/>
  <c r="O1165" i="103"/>
  <c r="J1165" i="103"/>
  <c r="E1165" i="103"/>
  <c r="O1163" i="103"/>
  <c r="J1163" i="103"/>
  <c r="E1163" i="103"/>
  <c r="L1162" i="103"/>
  <c r="G1162" i="103"/>
  <c r="B1162" i="103"/>
  <c r="N1158" i="103"/>
  <c r="M1158" i="103"/>
  <c r="L1158" i="103"/>
  <c r="I1158" i="103"/>
  <c r="H1158" i="103"/>
  <c r="G1158" i="103"/>
  <c r="D1158" i="103"/>
  <c r="C1158" i="103"/>
  <c r="B1158" i="103"/>
  <c r="O1156" i="103"/>
  <c r="J1156" i="103"/>
  <c r="E1156" i="103"/>
  <c r="O1155" i="103"/>
  <c r="J1155" i="103"/>
  <c r="E1155" i="103"/>
  <c r="O1154" i="103"/>
  <c r="J1154" i="103"/>
  <c r="E1154" i="103"/>
  <c r="O1153" i="103"/>
  <c r="J1153" i="103"/>
  <c r="E1153" i="103"/>
  <c r="O1152" i="103"/>
  <c r="J1152" i="103"/>
  <c r="E1152" i="103"/>
  <c r="O1151" i="103"/>
  <c r="J1151" i="103"/>
  <c r="E1151" i="103"/>
  <c r="O1150" i="103"/>
  <c r="J1150" i="103"/>
  <c r="E1150" i="103"/>
  <c r="O1149" i="103"/>
  <c r="J1149" i="103"/>
  <c r="E1149" i="103"/>
  <c r="O1148" i="103"/>
  <c r="J1148" i="103"/>
  <c r="E1148" i="103"/>
  <c r="O1146" i="103"/>
  <c r="J1146" i="103"/>
  <c r="E1146" i="103"/>
  <c r="L1145" i="103"/>
  <c r="G1145" i="103"/>
  <c r="B1145" i="103"/>
  <c r="N1141" i="103"/>
  <c r="M1141" i="103"/>
  <c r="L1141" i="103"/>
  <c r="I1141" i="103"/>
  <c r="H1141" i="103"/>
  <c r="G1141" i="103"/>
  <c r="D1141" i="103"/>
  <c r="C1141" i="103"/>
  <c r="B1141" i="103"/>
  <c r="O1139" i="103"/>
  <c r="J1139" i="103"/>
  <c r="E1139" i="103"/>
  <c r="O1138" i="103"/>
  <c r="J1138" i="103"/>
  <c r="E1138" i="103"/>
  <c r="O1137" i="103"/>
  <c r="J1137" i="103"/>
  <c r="E1137" i="103"/>
  <c r="O1136" i="103"/>
  <c r="J1136" i="103"/>
  <c r="E1136" i="103"/>
  <c r="O1135" i="103"/>
  <c r="J1135" i="103"/>
  <c r="E1135" i="103"/>
  <c r="O1134" i="103"/>
  <c r="J1134" i="103"/>
  <c r="E1134" i="103"/>
  <c r="O1133" i="103"/>
  <c r="J1133" i="103"/>
  <c r="E1133" i="103"/>
  <c r="O1132" i="103"/>
  <c r="J1132" i="103"/>
  <c r="E1132" i="103"/>
  <c r="O1131" i="103"/>
  <c r="J1131" i="103"/>
  <c r="E1131" i="103"/>
  <c r="O1129" i="103"/>
  <c r="J1129" i="103"/>
  <c r="E1129" i="103"/>
  <c r="L1128" i="103"/>
  <c r="G1128" i="103"/>
  <c r="B1128" i="103"/>
  <c r="N1124" i="103"/>
  <c r="M1124" i="103"/>
  <c r="L1124" i="103"/>
  <c r="I1124" i="103"/>
  <c r="H1124" i="103"/>
  <c r="G1124" i="103"/>
  <c r="D1124" i="103"/>
  <c r="C1124" i="103"/>
  <c r="B1124" i="103"/>
  <c r="O1122" i="103"/>
  <c r="J1122" i="103"/>
  <c r="E1122" i="103"/>
  <c r="O1121" i="103"/>
  <c r="J1121" i="103"/>
  <c r="E1121" i="103"/>
  <c r="O1120" i="103"/>
  <c r="J1120" i="103"/>
  <c r="E1120" i="103"/>
  <c r="O1119" i="103"/>
  <c r="J1119" i="103"/>
  <c r="E1119" i="103"/>
  <c r="O1118" i="103"/>
  <c r="J1118" i="103"/>
  <c r="E1118" i="103"/>
  <c r="O1117" i="103"/>
  <c r="J1117" i="103"/>
  <c r="E1117" i="103"/>
  <c r="O1116" i="103"/>
  <c r="J1116" i="103"/>
  <c r="E1116" i="103"/>
  <c r="O1115" i="103"/>
  <c r="J1115" i="103"/>
  <c r="E1115" i="103"/>
  <c r="O1114" i="103"/>
  <c r="J1114" i="103"/>
  <c r="E1114" i="103"/>
  <c r="O1112" i="103"/>
  <c r="J1112" i="103"/>
  <c r="E1112" i="103"/>
  <c r="L1111" i="103"/>
  <c r="G1111" i="103"/>
  <c r="B1111" i="103"/>
  <c r="N1107" i="103"/>
  <c r="M1107" i="103"/>
  <c r="L1107" i="103"/>
  <c r="I1107" i="103"/>
  <c r="H1107" i="103"/>
  <c r="G1107" i="103"/>
  <c r="D1107" i="103"/>
  <c r="C1107" i="103"/>
  <c r="B1107" i="103"/>
  <c r="O1105" i="103"/>
  <c r="J1105" i="103"/>
  <c r="E1105" i="103"/>
  <c r="O1104" i="103"/>
  <c r="J1104" i="103"/>
  <c r="E1104" i="103"/>
  <c r="O1103" i="103"/>
  <c r="J1103" i="103"/>
  <c r="E1103" i="103"/>
  <c r="O1102" i="103"/>
  <c r="J1102" i="103"/>
  <c r="E1102" i="103"/>
  <c r="O1101" i="103"/>
  <c r="J1101" i="103"/>
  <c r="E1101" i="103"/>
  <c r="O1100" i="103"/>
  <c r="J1100" i="103"/>
  <c r="E1100" i="103"/>
  <c r="O1099" i="103"/>
  <c r="J1099" i="103"/>
  <c r="E1099" i="103"/>
  <c r="O1098" i="103"/>
  <c r="J1098" i="103"/>
  <c r="E1098" i="103"/>
  <c r="O1097" i="103"/>
  <c r="J1097" i="103"/>
  <c r="E1097" i="103"/>
  <c r="O1095" i="103"/>
  <c r="J1095" i="103"/>
  <c r="E1095" i="103"/>
  <c r="L1094" i="103"/>
  <c r="G1094" i="103"/>
  <c r="B1094" i="103"/>
  <c r="N1090" i="103"/>
  <c r="M1090" i="103"/>
  <c r="L1090" i="103"/>
  <c r="I1090" i="103"/>
  <c r="H1090" i="103"/>
  <c r="G1090" i="103"/>
  <c r="D1090" i="103"/>
  <c r="C1090" i="103"/>
  <c r="B1090" i="103"/>
  <c r="O1088" i="103"/>
  <c r="J1088" i="103"/>
  <c r="E1088" i="103"/>
  <c r="O1087" i="103"/>
  <c r="J1087" i="103"/>
  <c r="E1087" i="103"/>
  <c r="O1086" i="103"/>
  <c r="J1086" i="103"/>
  <c r="E1086" i="103"/>
  <c r="O1085" i="103"/>
  <c r="J1085" i="103"/>
  <c r="E1085" i="103"/>
  <c r="O1084" i="103"/>
  <c r="J1084" i="103"/>
  <c r="E1084" i="103"/>
  <c r="O1083" i="103"/>
  <c r="J1083" i="103"/>
  <c r="E1083" i="103"/>
  <c r="O1082" i="103"/>
  <c r="J1082" i="103"/>
  <c r="E1082" i="103"/>
  <c r="O1081" i="103"/>
  <c r="J1081" i="103"/>
  <c r="E1081" i="103"/>
  <c r="O1080" i="103"/>
  <c r="J1080" i="103"/>
  <c r="E1080" i="103"/>
  <c r="O1078" i="103"/>
  <c r="J1078" i="103"/>
  <c r="E1078" i="103"/>
  <c r="L1077" i="103"/>
  <c r="G1077" i="103"/>
  <c r="B1077" i="103"/>
  <c r="N1073" i="103"/>
  <c r="M1073" i="103"/>
  <c r="L1073" i="103"/>
  <c r="I1073" i="103"/>
  <c r="H1073" i="103"/>
  <c r="G1073" i="103"/>
  <c r="D1073" i="103"/>
  <c r="C1073" i="103"/>
  <c r="B1073" i="103"/>
  <c r="O1071" i="103"/>
  <c r="J1071" i="103"/>
  <c r="E1071" i="103"/>
  <c r="O1070" i="103"/>
  <c r="J1070" i="103"/>
  <c r="E1070" i="103"/>
  <c r="O1069" i="103"/>
  <c r="J1069" i="103"/>
  <c r="E1069" i="103"/>
  <c r="O1068" i="103"/>
  <c r="J1068" i="103"/>
  <c r="E1068" i="103"/>
  <c r="O1067" i="103"/>
  <c r="J1067" i="103"/>
  <c r="E1067" i="103"/>
  <c r="O1066" i="103"/>
  <c r="J1066" i="103"/>
  <c r="E1066" i="103"/>
  <c r="O1065" i="103"/>
  <c r="J1065" i="103"/>
  <c r="E1065" i="103"/>
  <c r="O1064" i="103"/>
  <c r="J1064" i="103"/>
  <c r="E1064" i="103"/>
  <c r="O1063" i="103"/>
  <c r="J1063" i="103"/>
  <c r="E1063" i="103"/>
  <c r="O1061" i="103"/>
  <c r="J1061" i="103"/>
  <c r="E1061" i="103"/>
  <c r="L1060" i="103"/>
  <c r="G1060" i="103"/>
  <c r="B1060" i="103"/>
  <c r="N1056" i="103"/>
  <c r="M1056" i="103"/>
  <c r="L1056" i="103"/>
  <c r="I1056" i="103"/>
  <c r="H1056" i="103"/>
  <c r="G1056" i="103"/>
  <c r="D1056" i="103"/>
  <c r="C1056" i="103"/>
  <c r="B1056" i="103"/>
  <c r="O1054" i="103"/>
  <c r="J1054" i="103"/>
  <c r="E1054" i="103"/>
  <c r="O1053" i="103"/>
  <c r="J1053" i="103"/>
  <c r="E1053" i="103"/>
  <c r="O1052" i="103"/>
  <c r="J1052" i="103"/>
  <c r="E1052" i="103"/>
  <c r="O1051" i="103"/>
  <c r="J1051" i="103"/>
  <c r="E1051" i="103"/>
  <c r="O1050" i="103"/>
  <c r="J1050" i="103"/>
  <c r="E1050" i="103"/>
  <c r="O1049" i="103"/>
  <c r="J1049" i="103"/>
  <c r="E1049" i="103"/>
  <c r="O1048" i="103"/>
  <c r="J1048" i="103"/>
  <c r="E1048" i="103"/>
  <c r="O1047" i="103"/>
  <c r="J1047" i="103"/>
  <c r="E1047" i="103"/>
  <c r="O1046" i="103"/>
  <c r="J1046" i="103"/>
  <c r="E1046" i="103"/>
  <c r="O1044" i="103"/>
  <c r="J1044" i="103"/>
  <c r="E1044" i="103"/>
  <c r="L1043" i="103"/>
  <c r="G1043" i="103"/>
  <c r="B1043" i="103"/>
  <c r="N1039" i="103"/>
  <c r="M1039" i="103"/>
  <c r="L1039" i="103"/>
  <c r="I1039" i="103"/>
  <c r="H1039" i="103"/>
  <c r="G1039" i="103"/>
  <c r="D1039" i="103"/>
  <c r="C1039" i="103"/>
  <c r="B1039" i="103"/>
  <c r="O1037" i="103"/>
  <c r="J1037" i="103"/>
  <c r="E1037" i="103"/>
  <c r="O1036" i="103"/>
  <c r="J1036" i="103"/>
  <c r="E1036" i="103"/>
  <c r="O1035" i="103"/>
  <c r="J1035" i="103"/>
  <c r="E1035" i="103"/>
  <c r="O1034" i="103"/>
  <c r="J1034" i="103"/>
  <c r="E1034" i="103"/>
  <c r="O1033" i="103"/>
  <c r="J1033" i="103"/>
  <c r="E1033" i="103"/>
  <c r="O1032" i="103"/>
  <c r="J1032" i="103"/>
  <c r="E1032" i="103"/>
  <c r="O1031" i="103"/>
  <c r="J1031" i="103"/>
  <c r="E1031" i="103"/>
  <c r="O1030" i="103"/>
  <c r="J1030" i="103"/>
  <c r="E1030" i="103"/>
  <c r="O1029" i="103"/>
  <c r="J1029" i="103"/>
  <c r="E1029" i="103"/>
  <c r="O1027" i="103"/>
  <c r="J1027" i="103"/>
  <c r="E1027" i="103"/>
  <c r="L1026" i="103"/>
  <c r="G1026" i="103"/>
  <c r="B1026" i="103"/>
  <c r="N1022" i="103"/>
  <c r="M1022" i="103"/>
  <c r="L1022" i="103"/>
  <c r="I1022" i="103"/>
  <c r="H1022" i="103"/>
  <c r="G1022" i="103"/>
  <c r="D1022" i="103"/>
  <c r="C1022" i="103"/>
  <c r="B1022" i="103"/>
  <c r="O1020" i="103"/>
  <c r="J1020" i="103"/>
  <c r="E1020" i="103"/>
  <c r="O1019" i="103"/>
  <c r="J1019" i="103"/>
  <c r="E1019" i="103"/>
  <c r="O1018" i="103"/>
  <c r="J1018" i="103"/>
  <c r="E1018" i="103"/>
  <c r="O1017" i="103"/>
  <c r="J1017" i="103"/>
  <c r="E1017" i="103"/>
  <c r="O1016" i="103"/>
  <c r="J1016" i="103"/>
  <c r="E1016" i="103"/>
  <c r="O1015" i="103"/>
  <c r="J1015" i="103"/>
  <c r="E1015" i="103"/>
  <c r="O1014" i="103"/>
  <c r="J1014" i="103"/>
  <c r="E1014" i="103"/>
  <c r="O1013" i="103"/>
  <c r="J1013" i="103"/>
  <c r="E1013" i="103"/>
  <c r="O1012" i="103"/>
  <c r="J1012" i="103"/>
  <c r="E1012" i="103"/>
  <c r="O1010" i="103"/>
  <c r="J1010" i="103"/>
  <c r="E1010" i="103"/>
  <c r="L1009" i="103"/>
  <c r="G1009" i="103"/>
  <c r="B1009" i="103"/>
  <c r="N1005" i="103"/>
  <c r="M1005" i="103"/>
  <c r="L1005" i="103"/>
  <c r="I1005" i="103"/>
  <c r="H1005" i="103"/>
  <c r="G1005" i="103"/>
  <c r="D1005" i="103"/>
  <c r="C1005" i="103"/>
  <c r="B1005" i="103"/>
  <c r="O1003" i="103"/>
  <c r="J1003" i="103"/>
  <c r="E1003" i="103"/>
  <c r="O1002" i="103"/>
  <c r="J1002" i="103"/>
  <c r="E1002" i="103"/>
  <c r="O1001" i="103"/>
  <c r="J1001" i="103"/>
  <c r="E1001" i="103"/>
  <c r="O1000" i="103"/>
  <c r="J1000" i="103"/>
  <c r="E1000" i="103"/>
  <c r="O999" i="103"/>
  <c r="J999" i="103"/>
  <c r="E999" i="103"/>
  <c r="O998" i="103"/>
  <c r="J998" i="103"/>
  <c r="E998" i="103"/>
  <c r="O997" i="103"/>
  <c r="J997" i="103"/>
  <c r="E997" i="103"/>
  <c r="O996" i="103"/>
  <c r="J996" i="103"/>
  <c r="E996" i="103"/>
  <c r="O995" i="103"/>
  <c r="J995" i="103"/>
  <c r="E995" i="103"/>
  <c r="O993" i="103"/>
  <c r="J993" i="103"/>
  <c r="E993" i="103"/>
  <c r="L992" i="103"/>
  <c r="G992" i="103"/>
  <c r="B992" i="103"/>
  <c r="N988" i="103"/>
  <c r="M988" i="103"/>
  <c r="L988" i="103"/>
  <c r="I988" i="103"/>
  <c r="H988" i="103"/>
  <c r="G988" i="103"/>
  <c r="D988" i="103"/>
  <c r="C988" i="103"/>
  <c r="B988" i="103"/>
  <c r="O986" i="103"/>
  <c r="J986" i="103"/>
  <c r="E986" i="103"/>
  <c r="O985" i="103"/>
  <c r="J985" i="103"/>
  <c r="E985" i="103"/>
  <c r="O984" i="103"/>
  <c r="J984" i="103"/>
  <c r="E984" i="103"/>
  <c r="O983" i="103"/>
  <c r="J983" i="103"/>
  <c r="E983" i="103"/>
  <c r="O982" i="103"/>
  <c r="J982" i="103"/>
  <c r="E982" i="103"/>
  <c r="O981" i="103"/>
  <c r="J981" i="103"/>
  <c r="E981" i="103"/>
  <c r="O980" i="103"/>
  <c r="J980" i="103"/>
  <c r="E980" i="103"/>
  <c r="O979" i="103"/>
  <c r="J979" i="103"/>
  <c r="E979" i="103"/>
  <c r="O978" i="103"/>
  <c r="J978" i="103"/>
  <c r="E978" i="103"/>
  <c r="O976" i="103"/>
  <c r="J976" i="103"/>
  <c r="E976" i="103"/>
  <c r="L975" i="103"/>
  <c r="G975" i="103"/>
  <c r="B975" i="103"/>
  <c r="N971" i="103"/>
  <c r="M971" i="103"/>
  <c r="L971" i="103"/>
  <c r="I971" i="103"/>
  <c r="H971" i="103"/>
  <c r="G971" i="103"/>
  <c r="D971" i="103"/>
  <c r="C971" i="103"/>
  <c r="B971" i="103"/>
  <c r="O969" i="103"/>
  <c r="J969" i="103"/>
  <c r="E969" i="103"/>
  <c r="O968" i="103"/>
  <c r="J968" i="103"/>
  <c r="E968" i="103"/>
  <c r="O967" i="103"/>
  <c r="J967" i="103"/>
  <c r="E967" i="103"/>
  <c r="O966" i="103"/>
  <c r="J966" i="103"/>
  <c r="E966" i="103"/>
  <c r="O965" i="103"/>
  <c r="J965" i="103"/>
  <c r="E965" i="103"/>
  <c r="O964" i="103"/>
  <c r="J964" i="103"/>
  <c r="E964" i="103"/>
  <c r="O963" i="103"/>
  <c r="J963" i="103"/>
  <c r="E963" i="103"/>
  <c r="O962" i="103"/>
  <c r="J962" i="103"/>
  <c r="E962" i="103"/>
  <c r="O961" i="103"/>
  <c r="J961" i="103"/>
  <c r="E961" i="103"/>
  <c r="O959" i="103"/>
  <c r="J959" i="103"/>
  <c r="E959" i="103"/>
  <c r="L958" i="103"/>
  <c r="G958" i="103"/>
  <c r="B958" i="103"/>
  <c r="N954" i="103"/>
  <c r="M954" i="103"/>
  <c r="L954" i="103"/>
  <c r="I954" i="103"/>
  <c r="H954" i="103"/>
  <c r="G954" i="103"/>
  <c r="D954" i="103"/>
  <c r="C954" i="103"/>
  <c r="B954" i="103"/>
  <c r="O952" i="103"/>
  <c r="J952" i="103"/>
  <c r="E952" i="103"/>
  <c r="O951" i="103"/>
  <c r="J951" i="103"/>
  <c r="E951" i="103"/>
  <c r="O950" i="103"/>
  <c r="J950" i="103"/>
  <c r="E950" i="103"/>
  <c r="O949" i="103"/>
  <c r="J949" i="103"/>
  <c r="E949" i="103"/>
  <c r="O948" i="103"/>
  <c r="J948" i="103"/>
  <c r="E948" i="103"/>
  <c r="O947" i="103"/>
  <c r="J947" i="103"/>
  <c r="E947" i="103"/>
  <c r="O946" i="103"/>
  <c r="J946" i="103"/>
  <c r="E946" i="103"/>
  <c r="O945" i="103"/>
  <c r="J945" i="103"/>
  <c r="E945" i="103"/>
  <c r="O944" i="103"/>
  <c r="J944" i="103"/>
  <c r="E944" i="103"/>
  <c r="O942" i="103"/>
  <c r="J942" i="103"/>
  <c r="E942" i="103"/>
  <c r="L941" i="103"/>
  <c r="G941" i="103"/>
  <c r="B941" i="103"/>
  <c r="N937" i="103"/>
  <c r="M937" i="103"/>
  <c r="L937" i="103"/>
  <c r="I937" i="103"/>
  <c r="H937" i="103"/>
  <c r="G937" i="103"/>
  <c r="D937" i="103"/>
  <c r="C937" i="103"/>
  <c r="B937" i="103"/>
  <c r="O935" i="103"/>
  <c r="J935" i="103"/>
  <c r="E935" i="103"/>
  <c r="O934" i="103"/>
  <c r="J934" i="103"/>
  <c r="E934" i="103"/>
  <c r="O933" i="103"/>
  <c r="J933" i="103"/>
  <c r="E933" i="103"/>
  <c r="O932" i="103"/>
  <c r="J932" i="103"/>
  <c r="E932" i="103"/>
  <c r="O931" i="103"/>
  <c r="J931" i="103"/>
  <c r="E931" i="103"/>
  <c r="O930" i="103"/>
  <c r="J930" i="103"/>
  <c r="E930" i="103"/>
  <c r="O929" i="103"/>
  <c r="J929" i="103"/>
  <c r="E929" i="103"/>
  <c r="O928" i="103"/>
  <c r="J928" i="103"/>
  <c r="E928" i="103"/>
  <c r="O927" i="103"/>
  <c r="J927" i="103"/>
  <c r="E927" i="103"/>
  <c r="O925" i="103"/>
  <c r="J925" i="103"/>
  <c r="E925" i="103"/>
  <c r="L924" i="103"/>
  <c r="G924" i="103"/>
  <c r="B924" i="103"/>
  <c r="N920" i="103"/>
  <c r="M920" i="103"/>
  <c r="L920" i="103"/>
  <c r="I920" i="103"/>
  <c r="H920" i="103"/>
  <c r="G920" i="103"/>
  <c r="D920" i="103"/>
  <c r="C920" i="103"/>
  <c r="B920" i="103"/>
  <c r="O918" i="103"/>
  <c r="J918" i="103"/>
  <c r="E918" i="103"/>
  <c r="O917" i="103"/>
  <c r="J917" i="103"/>
  <c r="E917" i="103"/>
  <c r="O916" i="103"/>
  <c r="J916" i="103"/>
  <c r="E916" i="103"/>
  <c r="O915" i="103"/>
  <c r="J915" i="103"/>
  <c r="E915" i="103"/>
  <c r="O914" i="103"/>
  <c r="J914" i="103"/>
  <c r="E914" i="103"/>
  <c r="O913" i="103"/>
  <c r="J913" i="103"/>
  <c r="E913" i="103"/>
  <c r="O912" i="103"/>
  <c r="J912" i="103"/>
  <c r="E912" i="103"/>
  <c r="O911" i="103"/>
  <c r="J911" i="103"/>
  <c r="E911" i="103"/>
  <c r="O910" i="103"/>
  <c r="J910" i="103"/>
  <c r="E910" i="103"/>
  <c r="O908" i="103"/>
  <c r="J908" i="103"/>
  <c r="E908" i="103"/>
  <c r="L907" i="103"/>
  <c r="G907" i="103"/>
  <c r="B907" i="103"/>
  <c r="N903" i="103"/>
  <c r="M903" i="103"/>
  <c r="L903" i="103"/>
  <c r="I903" i="103"/>
  <c r="H903" i="103"/>
  <c r="G903" i="103"/>
  <c r="D903" i="103"/>
  <c r="C903" i="103"/>
  <c r="B903" i="103"/>
  <c r="O901" i="103"/>
  <c r="J901" i="103"/>
  <c r="E901" i="103"/>
  <c r="O900" i="103"/>
  <c r="J900" i="103"/>
  <c r="E900" i="103"/>
  <c r="O899" i="103"/>
  <c r="J899" i="103"/>
  <c r="E899" i="103"/>
  <c r="O898" i="103"/>
  <c r="J898" i="103"/>
  <c r="E898" i="103"/>
  <c r="O897" i="103"/>
  <c r="J897" i="103"/>
  <c r="E897" i="103"/>
  <c r="O896" i="103"/>
  <c r="J896" i="103"/>
  <c r="E896" i="103"/>
  <c r="O895" i="103"/>
  <c r="J895" i="103"/>
  <c r="E895" i="103"/>
  <c r="O894" i="103"/>
  <c r="J894" i="103"/>
  <c r="E894" i="103"/>
  <c r="O893" i="103"/>
  <c r="J893" i="103"/>
  <c r="E893" i="103"/>
  <c r="O891" i="103"/>
  <c r="J891" i="103"/>
  <c r="E891" i="103"/>
  <c r="L890" i="103"/>
  <c r="G890" i="103"/>
  <c r="B890" i="103"/>
  <c r="N886" i="103"/>
  <c r="M886" i="103"/>
  <c r="L886" i="103"/>
  <c r="I886" i="103"/>
  <c r="H886" i="103"/>
  <c r="G886" i="103"/>
  <c r="D886" i="103"/>
  <c r="C886" i="103"/>
  <c r="B886" i="103"/>
  <c r="O884" i="103"/>
  <c r="J884" i="103"/>
  <c r="E884" i="103"/>
  <c r="O883" i="103"/>
  <c r="J883" i="103"/>
  <c r="E883" i="103"/>
  <c r="O882" i="103"/>
  <c r="J882" i="103"/>
  <c r="E882" i="103"/>
  <c r="O881" i="103"/>
  <c r="J881" i="103"/>
  <c r="E881" i="103"/>
  <c r="O880" i="103"/>
  <c r="J880" i="103"/>
  <c r="E880" i="103"/>
  <c r="O879" i="103"/>
  <c r="J879" i="103"/>
  <c r="E879" i="103"/>
  <c r="O878" i="103"/>
  <c r="J878" i="103"/>
  <c r="E878" i="103"/>
  <c r="O877" i="103"/>
  <c r="J877" i="103"/>
  <c r="E877" i="103"/>
  <c r="O876" i="103"/>
  <c r="J876" i="103"/>
  <c r="E876" i="103"/>
  <c r="O874" i="103"/>
  <c r="J874" i="103"/>
  <c r="E874" i="103"/>
  <c r="L873" i="103"/>
  <c r="G873" i="103"/>
  <c r="B873" i="103"/>
  <c r="N869" i="103"/>
  <c r="M869" i="103"/>
  <c r="L869" i="103"/>
  <c r="I869" i="103"/>
  <c r="H869" i="103"/>
  <c r="G869" i="103"/>
  <c r="D869" i="103"/>
  <c r="C869" i="103"/>
  <c r="B869" i="103"/>
  <c r="O867" i="103"/>
  <c r="J867" i="103"/>
  <c r="E867" i="103"/>
  <c r="O866" i="103"/>
  <c r="J866" i="103"/>
  <c r="E866" i="103"/>
  <c r="O865" i="103"/>
  <c r="J865" i="103"/>
  <c r="E865" i="103"/>
  <c r="O864" i="103"/>
  <c r="J864" i="103"/>
  <c r="E864" i="103"/>
  <c r="O863" i="103"/>
  <c r="J863" i="103"/>
  <c r="E863" i="103"/>
  <c r="O862" i="103"/>
  <c r="J862" i="103"/>
  <c r="E862" i="103"/>
  <c r="O861" i="103"/>
  <c r="J861" i="103"/>
  <c r="E861" i="103"/>
  <c r="O860" i="103"/>
  <c r="J860" i="103"/>
  <c r="E860" i="103"/>
  <c r="O859" i="103"/>
  <c r="J859" i="103"/>
  <c r="E859" i="103"/>
  <c r="O857" i="103"/>
  <c r="J857" i="103"/>
  <c r="E857" i="103"/>
  <c r="L856" i="103"/>
  <c r="G856" i="103"/>
  <c r="B856" i="103"/>
  <c r="N852" i="103"/>
  <c r="M852" i="103"/>
  <c r="L852" i="103"/>
  <c r="I852" i="103"/>
  <c r="H852" i="103"/>
  <c r="G852" i="103"/>
  <c r="D852" i="103"/>
  <c r="C852" i="103"/>
  <c r="B852" i="103"/>
  <c r="O850" i="103"/>
  <c r="J850" i="103"/>
  <c r="E850" i="103"/>
  <c r="O849" i="103"/>
  <c r="J849" i="103"/>
  <c r="E849" i="103"/>
  <c r="O848" i="103"/>
  <c r="J848" i="103"/>
  <c r="E848" i="103"/>
  <c r="O847" i="103"/>
  <c r="J847" i="103"/>
  <c r="E847" i="103"/>
  <c r="O846" i="103"/>
  <c r="J846" i="103"/>
  <c r="E846" i="103"/>
  <c r="O845" i="103"/>
  <c r="J845" i="103"/>
  <c r="E845" i="103"/>
  <c r="O844" i="103"/>
  <c r="J844" i="103"/>
  <c r="E844" i="103"/>
  <c r="O843" i="103"/>
  <c r="J843" i="103"/>
  <c r="E843" i="103"/>
  <c r="O842" i="103"/>
  <c r="J842" i="103"/>
  <c r="E842" i="103"/>
  <c r="O840" i="103"/>
  <c r="J840" i="103"/>
  <c r="E840" i="103"/>
  <c r="L839" i="103"/>
  <c r="G839" i="103"/>
  <c r="B839" i="103"/>
  <c r="N835" i="103"/>
  <c r="M835" i="103"/>
  <c r="L835" i="103"/>
  <c r="I835" i="103"/>
  <c r="H835" i="103"/>
  <c r="G835" i="103"/>
  <c r="D835" i="103"/>
  <c r="C835" i="103"/>
  <c r="B835" i="103"/>
  <c r="O833" i="103"/>
  <c r="J833" i="103"/>
  <c r="E833" i="103"/>
  <c r="O832" i="103"/>
  <c r="J832" i="103"/>
  <c r="E832" i="103"/>
  <c r="O831" i="103"/>
  <c r="J831" i="103"/>
  <c r="E831" i="103"/>
  <c r="O830" i="103"/>
  <c r="J830" i="103"/>
  <c r="E830" i="103"/>
  <c r="O829" i="103"/>
  <c r="J829" i="103"/>
  <c r="E829" i="103"/>
  <c r="O828" i="103"/>
  <c r="J828" i="103"/>
  <c r="E828" i="103"/>
  <c r="O827" i="103"/>
  <c r="J827" i="103"/>
  <c r="E827" i="103"/>
  <c r="O826" i="103"/>
  <c r="J826" i="103"/>
  <c r="E826" i="103"/>
  <c r="O825" i="103"/>
  <c r="J825" i="103"/>
  <c r="E825" i="103"/>
  <c r="O823" i="103"/>
  <c r="J823" i="103"/>
  <c r="E823" i="103"/>
  <c r="L822" i="103"/>
  <c r="G822" i="103"/>
  <c r="B822" i="103"/>
  <c r="N818" i="103"/>
  <c r="M818" i="103"/>
  <c r="L818" i="103"/>
  <c r="I818" i="103"/>
  <c r="H818" i="103"/>
  <c r="G818" i="103"/>
  <c r="D818" i="103"/>
  <c r="C818" i="103"/>
  <c r="B818" i="103"/>
  <c r="O816" i="103"/>
  <c r="J816" i="103"/>
  <c r="E816" i="103"/>
  <c r="O815" i="103"/>
  <c r="J815" i="103"/>
  <c r="E815" i="103"/>
  <c r="O814" i="103"/>
  <c r="J814" i="103"/>
  <c r="E814" i="103"/>
  <c r="O813" i="103"/>
  <c r="J813" i="103"/>
  <c r="E813" i="103"/>
  <c r="O812" i="103"/>
  <c r="J812" i="103"/>
  <c r="E812" i="103"/>
  <c r="O811" i="103"/>
  <c r="J811" i="103"/>
  <c r="E811" i="103"/>
  <c r="O810" i="103"/>
  <c r="J810" i="103"/>
  <c r="E810" i="103"/>
  <c r="O809" i="103"/>
  <c r="J809" i="103"/>
  <c r="E809" i="103"/>
  <c r="O808" i="103"/>
  <c r="J808" i="103"/>
  <c r="E808" i="103"/>
  <c r="O806" i="103"/>
  <c r="J806" i="103"/>
  <c r="E806" i="103"/>
  <c r="L805" i="103"/>
  <c r="G805" i="103"/>
  <c r="B805" i="103"/>
  <c r="N801" i="103"/>
  <c r="M801" i="103"/>
  <c r="L801" i="103"/>
  <c r="I801" i="103"/>
  <c r="H801" i="103"/>
  <c r="G801" i="103"/>
  <c r="D801" i="103"/>
  <c r="C801" i="103"/>
  <c r="B801" i="103"/>
  <c r="O799" i="103"/>
  <c r="J799" i="103"/>
  <c r="E799" i="103"/>
  <c r="O798" i="103"/>
  <c r="J798" i="103"/>
  <c r="E798" i="103"/>
  <c r="O797" i="103"/>
  <c r="J797" i="103"/>
  <c r="E797" i="103"/>
  <c r="O796" i="103"/>
  <c r="J796" i="103"/>
  <c r="E796" i="103"/>
  <c r="O795" i="103"/>
  <c r="J795" i="103"/>
  <c r="E795" i="103"/>
  <c r="O794" i="103"/>
  <c r="J794" i="103"/>
  <c r="E794" i="103"/>
  <c r="O793" i="103"/>
  <c r="J793" i="103"/>
  <c r="E793" i="103"/>
  <c r="O792" i="103"/>
  <c r="J792" i="103"/>
  <c r="E792" i="103"/>
  <c r="O791" i="103"/>
  <c r="J791" i="103"/>
  <c r="E791" i="103"/>
  <c r="O789" i="103"/>
  <c r="J789" i="103"/>
  <c r="E789" i="103"/>
  <c r="L788" i="103"/>
  <c r="G788" i="103"/>
  <c r="B788" i="103"/>
  <c r="N784" i="103"/>
  <c r="M784" i="103"/>
  <c r="L784" i="103"/>
  <c r="I784" i="103"/>
  <c r="H784" i="103"/>
  <c r="G784" i="103"/>
  <c r="D784" i="103"/>
  <c r="C784" i="103"/>
  <c r="B784" i="103"/>
  <c r="O782" i="103"/>
  <c r="J782" i="103"/>
  <c r="E782" i="103"/>
  <c r="O781" i="103"/>
  <c r="J781" i="103"/>
  <c r="E781" i="103"/>
  <c r="O780" i="103"/>
  <c r="J780" i="103"/>
  <c r="E780" i="103"/>
  <c r="O779" i="103"/>
  <c r="J779" i="103"/>
  <c r="E779" i="103"/>
  <c r="O778" i="103"/>
  <c r="J778" i="103"/>
  <c r="E778" i="103"/>
  <c r="O777" i="103"/>
  <c r="J777" i="103"/>
  <c r="E777" i="103"/>
  <c r="O776" i="103"/>
  <c r="J776" i="103"/>
  <c r="E776" i="103"/>
  <c r="O775" i="103"/>
  <c r="J775" i="103"/>
  <c r="E775" i="103"/>
  <c r="O774" i="103"/>
  <c r="J774" i="103"/>
  <c r="E774" i="103"/>
  <c r="O772" i="103"/>
  <c r="J772" i="103"/>
  <c r="E772" i="103"/>
  <c r="L771" i="103"/>
  <c r="G771" i="103"/>
  <c r="B771" i="103"/>
  <c r="N767" i="103"/>
  <c r="M767" i="103"/>
  <c r="L767" i="103"/>
  <c r="I767" i="103"/>
  <c r="H767" i="103"/>
  <c r="G767" i="103"/>
  <c r="D767" i="103"/>
  <c r="C767" i="103"/>
  <c r="B767" i="103"/>
  <c r="O765" i="103"/>
  <c r="J765" i="103"/>
  <c r="E765" i="103"/>
  <c r="O764" i="103"/>
  <c r="J764" i="103"/>
  <c r="E764" i="103"/>
  <c r="O763" i="103"/>
  <c r="J763" i="103"/>
  <c r="E763" i="103"/>
  <c r="O762" i="103"/>
  <c r="J762" i="103"/>
  <c r="E762" i="103"/>
  <c r="O761" i="103"/>
  <c r="J761" i="103"/>
  <c r="E761" i="103"/>
  <c r="O760" i="103"/>
  <c r="J760" i="103"/>
  <c r="E760" i="103"/>
  <c r="O759" i="103"/>
  <c r="J759" i="103"/>
  <c r="E759" i="103"/>
  <c r="O758" i="103"/>
  <c r="J758" i="103"/>
  <c r="E758" i="103"/>
  <c r="O757" i="103"/>
  <c r="J757" i="103"/>
  <c r="E757" i="103"/>
  <c r="O755" i="103"/>
  <c r="J755" i="103"/>
  <c r="E755" i="103"/>
  <c r="L754" i="103"/>
  <c r="G754" i="103"/>
  <c r="B754" i="103"/>
  <c r="N750" i="103"/>
  <c r="M750" i="103"/>
  <c r="L750" i="103"/>
  <c r="I750" i="103"/>
  <c r="H750" i="103"/>
  <c r="G750" i="103"/>
  <c r="D750" i="103"/>
  <c r="C750" i="103"/>
  <c r="B750" i="103"/>
  <c r="O748" i="103"/>
  <c r="J748" i="103"/>
  <c r="E748" i="103"/>
  <c r="O747" i="103"/>
  <c r="J747" i="103"/>
  <c r="E747" i="103"/>
  <c r="O746" i="103"/>
  <c r="J746" i="103"/>
  <c r="E746" i="103"/>
  <c r="O745" i="103"/>
  <c r="J745" i="103"/>
  <c r="E745" i="103"/>
  <c r="O744" i="103"/>
  <c r="J744" i="103"/>
  <c r="E744" i="103"/>
  <c r="O743" i="103"/>
  <c r="J743" i="103"/>
  <c r="E743" i="103"/>
  <c r="O742" i="103"/>
  <c r="J742" i="103"/>
  <c r="E742" i="103"/>
  <c r="O741" i="103"/>
  <c r="J741" i="103"/>
  <c r="E741" i="103"/>
  <c r="O740" i="103"/>
  <c r="J740" i="103"/>
  <c r="E740" i="103"/>
  <c r="O738" i="103"/>
  <c r="J738" i="103"/>
  <c r="E738" i="103"/>
  <c r="L737" i="103"/>
  <c r="G737" i="103"/>
  <c r="B737" i="103"/>
  <c r="N733" i="103"/>
  <c r="M733" i="103"/>
  <c r="L733" i="103"/>
  <c r="I733" i="103"/>
  <c r="H733" i="103"/>
  <c r="G733" i="103"/>
  <c r="D733" i="103"/>
  <c r="C733" i="103"/>
  <c r="B733" i="103"/>
  <c r="O731" i="103"/>
  <c r="J731" i="103"/>
  <c r="E731" i="103"/>
  <c r="O730" i="103"/>
  <c r="J730" i="103"/>
  <c r="E730" i="103"/>
  <c r="O729" i="103"/>
  <c r="J729" i="103"/>
  <c r="E729" i="103"/>
  <c r="O728" i="103"/>
  <c r="J728" i="103"/>
  <c r="E728" i="103"/>
  <c r="O727" i="103"/>
  <c r="J727" i="103"/>
  <c r="E727" i="103"/>
  <c r="O726" i="103"/>
  <c r="J726" i="103"/>
  <c r="E726" i="103"/>
  <c r="O725" i="103"/>
  <c r="J725" i="103"/>
  <c r="E725" i="103"/>
  <c r="O724" i="103"/>
  <c r="J724" i="103"/>
  <c r="E724" i="103"/>
  <c r="O723" i="103"/>
  <c r="J723" i="103"/>
  <c r="E723" i="103"/>
  <c r="O721" i="103"/>
  <c r="J721" i="103"/>
  <c r="E721" i="103"/>
  <c r="L720" i="103"/>
  <c r="G720" i="103"/>
  <c r="B720" i="103"/>
  <c r="N716" i="103"/>
  <c r="M716" i="103"/>
  <c r="L716" i="103"/>
  <c r="I716" i="103"/>
  <c r="H716" i="103"/>
  <c r="G716" i="103"/>
  <c r="D716" i="103"/>
  <c r="C716" i="103"/>
  <c r="B716" i="103"/>
  <c r="O714" i="103"/>
  <c r="J714" i="103"/>
  <c r="E714" i="103"/>
  <c r="O713" i="103"/>
  <c r="J713" i="103"/>
  <c r="E713" i="103"/>
  <c r="O712" i="103"/>
  <c r="J712" i="103"/>
  <c r="E712" i="103"/>
  <c r="O711" i="103"/>
  <c r="J711" i="103"/>
  <c r="E711" i="103"/>
  <c r="O710" i="103"/>
  <c r="J710" i="103"/>
  <c r="E710" i="103"/>
  <c r="O709" i="103"/>
  <c r="J709" i="103"/>
  <c r="E709" i="103"/>
  <c r="O708" i="103"/>
  <c r="J708" i="103"/>
  <c r="E708" i="103"/>
  <c r="O707" i="103"/>
  <c r="J707" i="103"/>
  <c r="E707" i="103"/>
  <c r="O706" i="103"/>
  <c r="J706" i="103"/>
  <c r="E706" i="103"/>
  <c r="O704" i="103"/>
  <c r="J704" i="103"/>
  <c r="E704" i="103"/>
  <c r="L703" i="103"/>
  <c r="G703" i="103"/>
  <c r="B703" i="103"/>
  <c r="N699" i="103"/>
  <c r="M699" i="103"/>
  <c r="L699" i="103"/>
  <c r="I699" i="103"/>
  <c r="H699" i="103"/>
  <c r="G699" i="103"/>
  <c r="D699" i="103"/>
  <c r="C699" i="103"/>
  <c r="B699" i="103"/>
  <c r="O697" i="103"/>
  <c r="J697" i="103"/>
  <c r="E697" i="103"/>
  <c r="O696" i="103"/>
  <c r="J696" i="103"/>
  <c r="E696" i="103"/>
  <c r="O695" i="103"/>
  <c r="J695" i="103"/>
  <c r="E695" i="103"/>
  <c r="O694" i="103"/>
  <c r="J694" i="103"/>
  <c r="E694" i="103"/>
  <c r="O693" i="103"/>
  <c r="J693" i="103"/>
  <c r="E693" i="103"/>
  <c r="O692" i="103"/>
  <c r="J692" i="103"/>
  <c r="E692" i="103"/>
  <c r="O691" i="103"/>
  <c r="J691" i="103"/>
  <c r="E691" i="103"/>
  <c r="O690" i="103"/>
  <c r="J690" i="103"/>
  <c r="E690" i="103"/>
  <c r="O689" i="103"/>
  <c r="J689" i="103"/>
  <c r="E689" i="103"/>
  <c r="O687" i="103"/>
  <c r="J687" i="103"/>
  <c r="E687" i="103"/>
  <c r="L686" i="103"/>
  <c r="G686" i="103"/>
  <c r="B686" i="103"/>
  <c r="N682" i="103"/>
  <c r="M682" i="103"/>
  <c r="L682" i="103"/>
  <c r="I682" i="103"/>
  <c r="H682" i="103"/>
  <c r="G682" i="103"/>
  <c r="D682" i="103"/>
  <c r="C682" i="103"/>
  <c r="B682" i="103"/>
  <c r="O680" i="103"/>
  <c r="J680" i="103"/>
  <c r="E680" i="103"/>
  <c r="O679" i="103"/>
  <c r="J679" i="103"/>
  <c r="E679" i="103"/>
  <c r="O678" i="103"/>
  <c r="J678" i="103"/>
  <c r="E678" i="103"/>
  <c r="O677" i="103"/>
  <c r="J677" i="103"/>
  <c r="E677" i="103"/>
  <c r="O676" i="103"/>
  <c r="J676" i="103"/>
  <c r="E676" i="103"/>
  <c r="O675" i="103"/>
  <c r="J675" i="103"/>
  <c r="E675" i="103"/>
  <c r="O674" i="103"/>
  <c r="J674" i="103"/>
  <c r="E674" i="103"/>
  <c r="O673" i="103"/>
  <c r="J673" i="103"/>
  <c r="E673" i="103"/>
  <c r="O672" i="103"/>
  <c r="J672" i="103"/>
  <c r="E672" i="103"/>
  <c r="O670" i="103"/>
  <c r="J670" i="103"/>
  <c r="E670" i="103"/>
  <c r="L669" i="103"/>
  <c r="G669" i="103"/>
  <c r="B669" i="103"/>
  <c r="N665" i="103"/>
  <c r="M665" i="103"/>
  <c r="L665" i="103"/>
  <c r="I665" i="103"/>
  <c r="H665" i="103"/>
  <c r="G665" i="103"/>
  <c r="D665" i="103"/>
  <c r="C665" i="103"/>
  <c r="B665" i="103"/>
  <c r="O663" i="103"/>
  <c r="J663" i="103"/>
  <c r="E663" i="103"/>
  <c r="O662" i="103"/>
  <c r="J662" i="103"/>
  <c r="E662" i="103"/>
  <c r="O661" i="103"/>
  <c r="J661" i="103"/>
  <c r="E661" i="103"/>
  <c r="O660" i="103"/>
  <c r="J660" i="103"/>
  <c r="E660" i="103"/>
  <c r="O659" i="103"/>
  <c r="J659" i="103"/>
  <c r="E659" i="103"/>
  <c r="O658" i="103"/>
  <c r="J658" i="103"/>
  <c r="E658" i="103"/>
  <c r="O657" i="103"/>
  <c r="J657" i="103"/>
  <c r="E657" i="103"/>
  <c r="O656" i="103"/>
  <c r="J656" i="103"/>
  <c r="E656" i="103"/>
  <c r="O655" i="103"/>
  <c r="J655" i="103"/>
  <c r="E655" i="103"/>
  <c r="O653" i="103"/>
  <c r="J653" i="103"/>
  <c r="E653" i="103"/>
  <c r="L652" i="103"/>
  <c r="G652" i="103"/>
  <c r="B652" i="103"/>
  <c r="N648" i="103"/>
  <c r="M648" i="103"/>
  <c r="L648" i="103"/>
  <c r="I648" i="103"/>
  <c r="H648" i="103"/>
  <c r="G648" i="103"/>
  <c r="D648" i="103"/>
  <c r="C648" i="103"/>
  <c r="B648" i="103"/>
  <c r="O646" i="103"/>
  <c r="J646" i="103"/>
  <c r="E646" i="103"/>
  <c r="O645" i="103"/>
  <c r="J645" i="103"/>
  <c r="E645" i="103"/>
  <c r="O644" i="103"/>
  <c r="J644" i="103"/>
  <c r="E644" i="103"/>
  <c r="O643" i="103"/>
  <c r="J643" i="103"/>
  <c r="E643" i="103"/>
  <c r="O642" i="103"/>
  <c r="J642" i="103"/>
  <c r="E642" i="103"/>
  <c r="O641" i="103"/>
  <c r="J641" i="103"/>
  <c r="E641" i="103"/>
  <c r="O640" i="103"/>
  <c r="J640" i="103"/>
  <c r="E640" i="103"/>
  <c r="O639" i="103"/>
  <c r="J639" i="103"/>
  <c r="E639" i="103"/>
  <c r="O638" i="103"/>
  <c r="J638" i="103"/>
  <c r="E638" i="103"/>
  <c r="O636" i="103"/>
  <c r="J636" i="103"/>
  <c r="E636" i="103"/>
  <c r="L635" i="103"/>
  <c r="G635" i="103"/>
  <c r="B635" i="103"/>
  <c r="N631" i="103"/>
  <c r="M631" i="103"/>
  <c r="L631" i="103"/>
  <c r="I631" i="103"/>
  <c r="H631" i="103"/>
  <c r="G631" i="103"/>
  <c r="D631" i="103"/>
  <c r="C631" i="103"/>
  <c r="B631" i="103"/>
  <c r="O629" i="103"/>
  <c r="J629" i="103"/>
  <c r="E629" i="103"/>
  <c r="O628" i="103"/>
  <c r="J628" i="103"/>
  <c r="E628" i="103"/>
  <c r="O627" i="103"/>
  <c r="J627" i="103"/>
  <c r="E627" i="103"/>
  <c r="O626" i="103"/>
  <c r="J626" i="103"/>
  <c r="E626" i="103"/>
  <c r="O625" i="103"/>
  <c r="J625" i="103"/>
  <c r="E625" i="103"/>
  <c r="O624" i="103"/>
  <c r="J624" i="103"/>
  <c r="E624" i="103"/>
  <c r="O623" i="103"/>
  <c r="J623" i="103"/>
  <c r="E623" i="103"/>
  <c r="O622" i="103"/>
  <c r="J622" i="103"/>
  <c r="E622" i="103"/>
  <c r="O621" i="103"/>
  <c r="J621" i="103"/>
  <c r="E621" i="103"/>
  <c r="O619" i="103"/>
  <c r="J619" i="103"/>
  <c r="E619" i="103"/>
  <c r="L618" i="103"/>
  <c r="G618" i="103"/>
  <c r="B618" i="103"/>
  <c r="N614" i="103"/>
  <c r="M614" i="103"/>
  <c r="L614" i="103"/>
  <c r="I614" i="103"/>
  <c r="H614" i="103"/>
  <c r="G614" i="103"/>
  <c r="D614" i="103"/>
  <c r="C614" i="103"/>
  <c r="B614" i="103"/>
  <c r="O612" i="103"/>
  <c r="J612" i="103"/>
  <c r="E612" i="103"/>
  <c r="O611" i="103"/>
  <c r="J611" i="103"/>
  <c r="E611" i="103"/>
  <c r="O610" i="103"/>
  <c r="J610" i="103"/>
  <c r="E610" i="103"/>
  <c r="O609" i="103"/>
  <c r="J609" i="103"/>
  <c r="E609" i="103"/>
  <c r="O608" i="103"/>
  <c r="J608" i="103"/>
  <c r="E608" i="103"/>
  <c r="O607" i="103"/>
  <c r="J607" i="103"/>
  <c r="E607" i="103"/>
  <c r="O606" i="103"/>
  <c r="J606" i="103"/>
  <c r="E606" i="103"/>
  <c r="O605" i="103"/>
  <c r="J605" i="103"/>
  <c r="E605" i="103"/>
  <c r="O604" i="103"/>
  <c r="J604" i="103"/>
  <c r="E604" i="103"/>
  <c r="O602" i="103"/>
  <c r="J602" i="103"/>
  <c r="E602" i="103"/>
  <c r="L601" i="103"/>
  <c r="G601" i="103"/>
  <c r="B601" i="103"/>
  <c r="N597" i="103"/>
  <c r="M597" i="103"/>
  <c r="L597" i="103"/>
  <c r="I597" i="103"/>
  <c r="H597" i="103"/>
  <c r="G597" i="103"/>
  <c r="D597" i="103"/>
  <c r="C597" i="103"/>
  <c r="B597" i="103"/>
  <c r="O595" i="103"/>
  <c r="J595" i="103"/>
  <c r="E595" i="103"/>
  <c r="O594" i="103"/>
  <c r="J594" i="103"/>
  <c r="E594" i="103"/>
  <c r="O593" i="103"/>
  <c r="J593" i="103"/>
  <c r="E593" i="103"/>
  <c r="O592" i="103"/>
  <c r="J592" i="103"/>
  <c r="E592" i="103"/>
  <c r="O591" i="103"/>
  <c r="J591" i="103"/>
  <c r="E591" i="103"/>
  <c r="O590" i="103"/>
  <c r="J590" i="103"/>
  <c r="E590" i="103"/>
  <c r="O589" i="103"/>
  <c r="J589" i="103"/>
  <c r="E589" i="103"/>
  <c r="O588" i="103"/>
  <c r="J588" i="103"/>
  <c r="E588" i="103"/>
  <c r="O587" i="103"/>
  <c r="J587" i="103"/>
  <c r="E587" i="103"/>
  <c r="O585" i="103"/>
  <c r="J585" i="103"/>
  <c r="E585" i="103"/>
  <c r="L584" i="103"/>
  <c r="G584" i="103"/>
  <c r="B584" i="103"/>
  <c r="N580" i="103"/>
  <c r="M580" i="103"/>
  <c r="L580" i="103"/>
  <c r="I580" i="103"/>
  <c r="H580" i="103"/>
  <c r="G580" i="103"/>
  <c r="D580" i="103"/>
  <c r="C580" i="103"/>
  <c r="B580" i="103"/>
  <c r="O578" i="103"/>
  <c r="J578" i="103"/>
  <c r="E578" i="103"/>
  <c r="O577" i="103"/>
  <c r="J577" i="103"/>
  <c r="E577" i="103"/>
  <c r="O576" i="103"/>
  <c r="J576" i="103"/>
  <c r="E576" i="103"/>
  <c r="O575" i="103"/>
  <c r="J575" i="103"/>
  <c r="E575" i="103"/>
  <c r="O574" i="103"/>
  <c r="J574" i="103"/>
  <c r="E574" i="103"/>
  <c r="O573" i="103"/>
  <c r="J573" i="103"/>
  <c r="E573" i="103"/>
  <c r="O572" i="103"/>
  <c r="J572" i="103"/>
  <c r="E572" i="103"/>
  <c r="O571" i="103"/>
  <c r="J571" i="103"/>
  <c r="E571" i="103"/>
  <c r="O570" i="103"/>
  <c r="J570" i="103"/>
  <c r="E570" i="103"/>
  <c r="O568" i="103"/>
  <c r="J568" i="103"/>
  <c r="E568" i="103"/>
  <c r="L567" i="103"/>
  <c r="G567" i="103"/>
  <c r="B567" i="103"/>
  <c r="N563" i="103"/>
  <c r="M563" i="103"/>
  <c r="L563" i="103"/>
  <c r="I563" i="103"/>
  <c r="H563" i="103"/>
  <c r="G563" i="103"/>
  <c r="D563" i="103"/>
  <c r="C563" i="103"/>
  <c r="B563" i="103"/>
  <c r="O561" i="103"/>
  <c r="J561" i="103"/>
  <c r="E561" i="103"/>
  <c r="O560" i="103"/>
  <c r="J560" i="103"/>
  <c r="E560" i="103"/>
  <c r="O559" i="103"/>
  <c r="J559" i="103"/>
  <c r="E559" i="103"/>
  <c r="O558" i="103"/>
  <c r="J558" i="103"/>
  <c r="E558" i="103"/>
  <c r="O557" i="103"/>
  <c r="J557" i="103"/>
  <c r="E557" i="103"/>
  <c r="O556" i="103"/>
  <c r="J556" i="103"/>
  <c r="E556" i="103"/>
  <c r="O555" i="103"/>
  <c r="J555" i="103"/>
  <c r="E555" i="103"/>
  <c r="O554" i="103"/>
  <c r="J554" i="103"/>
  <c r="E554" i="103"/>
  <c r="O553" i="103"/>
  <c r="J553" i="103"/>
  <c r="E553" i="103"/>
  <c r="O551" i="103"/>
  <c r="J551" i="103"/>
  <c r="E551" i="103"/>
  <c r="L550" i="103"/>
  <c r="G550" i="103"/>
  <c r="B550" i="103"/>
  <c r="N546" i="103"/>
  <c r="M546" i="103"/>
  <c r="L546" i="103"/>
  <c r="I546" i="103"/>
  <c r="H546" i="103"/>
  <c r="G546" i="103"/>
  <c r="D546" i="103"/>
  <c r="C546" i="103"/>
  <c r="B546" i="103"/>
  <c r="O544" i="103"/>
  <c r="J544" i="103"/>
  <c r="E544" i="103"/>
  <c r="O543" i="103"/>
  <c r="J543" i="103"/>
  <c r="E543" i="103"/>
  <c r="O542" i="103"/>
  <c r="J542" i="103"/>
  <c r="E542" i="103"/>
  <c r="O541" i="103"/>
  <c r="J541" i="103"/>
  <c r="E541" i="103"/>
  <c r="O540" i="103"/>
  <c r="J540" i="103"/>
  <c r="E540" i="103"/>
  <c r="O539" i="103"/>
  <c r="J539" i="103"/>
  <c r="E539" i="103"/>
  <c r="O538" i="103"/>
  <c r="J538" i="103"/>
  <c r="E538" i="103"/>
  <c r="O537" i="103"/>
  <c r="J537" i="103"/>
  <c r="E537" i="103"/>
  <c r="O536" i="103"/>
  <c r="J536" i="103"/>
  <c r="E536" i="103"/>
  <c r="O534" i="103"/>
  <c r="J534" i="103"/>
  <c r="E534" i="103"/>
  <c r="L533" i="103"/>
  <c r="G533" i="103"/>
  <c r="B533" i="103"/>
  <c r="N529" i="103"/>
  <c r="M529" i="103"/>
  <c r="L529" i="103"/>
  <c r="I529" i="103"/>
  <c r="H529" i="103"/>
  <c r="G529" i="103"/>
  <c r="D529" i="103"/>
  <c r="C529" i="103"/>
  <c r="B529" i="103"/>
  <c r="O527" i="103"/>
  <c r="J527" i="103"/>
  <c r="E527" i="103"/>
  <c r="O526" i="103"/>
  <c r="J526" i="103"/>
  <c r="E526" i="103"/>
  <c r="O525" i="103"/>
  <c r="J525" i="103"/>
  <c r="E525" i="103"/>
  <c r="O524" i="103"/>
  <c r="J524" i="103"/>
  <c r="E524" i="103"/>
  <c r="O523" i="103"/>
  <c r="J523" i="103"/>
  <c r="E523" i="103"/>
  <c r="O522" i="103"/>
  <c r="J522" i="103"/>
  <c r="E522" i="103"/>
  <c r="O521" i="103"/>
  <c r="J521" i="103"/>
  <c r="E521" i="103"/>
  <c r="O520" i="103"/>
  <c r="J520" i="103"/>
  <c r="E520" i="103"/>
  <c r="O519" i="103"/>
  <c r="J519" i="103"/>
  <c r="E519" i="103"/>
  <c r="O517" i="103"/>
  <c r="J517" i="103"/>
  <c r="E517" i="103"/>
  <c r="L516" i="103"/>
  <c r="G516" i="103"/>
  <c r="B516" i="103"/>
  <c r="N512" i="103"/>
  <c r="M512" i="103"/>
  <c r="L512" i="103"/>
  <c r="I512" i="103"/>
  <c r="H512" i="103"/>
  <c r="G512" i="103"/>
  <c r="D512" i="103"/>
  <c r="C512" i="103"/>
  <c r="B512" i="103"/>
  <c r="O510" i="103"/>
  <c r="J510" i="103"/>
  <c r="E510" i="103"/>
  <c r="O509" i="103"/>
  <c r="J509" i="103"/>
  <c r="E509" i="103"/>
  <c r="O508" i="103"/>
  <c r="J508" i="103"/>
  <c r="E508" i="103"/>
  <c r="O507" i="103"/>
  <c r="J507" i="103"/>
  <c r="E507" i="103"/>
  <c r="O506" i="103"/>
  <c r="J506" i="103"/>
  <c r="E506" i="103"/>
  <c r="O505" i="103"/>
  <c r="J505" i="103"/>
  <c r="E505" i="103"/>
  <c r="O504" i="103"/>
  <c r="J504" i="103"/>
  <c r="E504" i="103"/>
  <c r="O503" i="103"/>
  <c r="J503" i="103"/>
  <c r="E503" i="103"/>
  <c r="O502" i="103"/>
  <c r="J502" i="103"/>
  <c r="E502" i="103"/>
  <c r="O500" i="103"/>
  <c r="J500" i="103"/>
  <c r="E500" i="103"/>
  <c r="L499" i="103"/>
  <c r="G499" i="103"/>
  <c r="B499" i="103"/>
  <c r="N495" i="103"/>
  <c r="M495" i="103"/>
  <c r="L495" i="103"/>
  <c r="I495" i="103"/>
  <c r="H495" i="103"/>
  <c r="G495" i="103"/>
  <c r="D495" i="103"/>
  <c r="C495" i="103"/>
  <c r="B495" i="103"/>
  <c r="O493" i="103"/>
  <c r="J493" i="103"/>
  <c r="E493" i="103"/>
  <c r="O492" i="103"/>
  <c r="J492" i="103"/>
  <c r="E492" i="103"/>
  <c r="O491" i="103"/>
  <c r="J491" i="103"/>
  <c r="E491" i="103"/>
  <c r="O490" i="103"/>
  <c r="J490" i="103"/>
  <c r="E490" i="103"/>
  <c r="O489" i="103"/>
  <c r="J489" i="103"/>
  <c r="E489" i="103"/>
  <c r="O488" i="103"/>
  <c r="J488" i="103"/>
  <c r="E488" i="103"/>
  <c r="O487" i="103"/>
  <c r="J487" i="103"/>
  <c r="E487" i="103"/>
  <c r="O486" i="103"/>
  <c r="J486" i="103"/>
  <c r="E486" i="103"/>
  <c r="O485" i="103"/>
  <c r="J485" i="103"/>
  <c r="E485" i="103"/>
  <c r="O483" i="103"/>
  <c r="J483" i="103"/>
  <c r="E483" i="103"/>
  <c r="L482" i="103"/>
  <c r="G482" i="103"/>
  <c r="B482" i="103"/>
  <c r="N478" i="103"/>
  <c r="M478" i="103"/>
  <c r="L478" i="103"/>
  <c r="I478" i="103"/>
  <c r="H478" i="103"/>
  <c r="G478" i="103"/>
  <c r="D478" i="103"/>
  <c r="C478" i="103"/>
  <c r="B478" i="103"/>
  <c r="O476" i="103"/>
  <c r="J476" i="103"/>
  <c r="E476" i="103"/>
  <c r="O475" i="103"/>
  <c r="J475" i="103"/>
  <c r="E475" i="103"/>
  <c r="O474" i="103"/>
  <c r="J474" i="103"/>
  <c r="E474" i="103"/>
  <c r="O473" i="103"/>
  <c r="J473" i="103"/>
  <c r="E473" i="103"/>
  <c r="O472" i="103"/>
  <c r="J472" i="103"/>
  <c r="E472" i="103"/>
  <c r="O471" i="103"/>
  <c r="J471" i="103"/>
  <c r="E471" i="103"/>
  <c r="O470" i="103"/>
  <c r="J470" i="103"/>
  <c r="E470" i="103"/>
  <c r="O469" i="103"/>
  <c r="J469" i="103"/>
  <c r="E469" i="103"/>
  <c r="O468" i="103"/>
  <c r="J468" i="103"/>
  <c r="E468" i="103"/>
  <c r="O466" i="103"/>
  <c r="J466" i="103"/>
  <c r="E466" i="103"/>
  <c r="L465" i="103"/>
  <c r="G465" i="103"/>
  <c r="B465" i="103"/>
  <c r="N461" i="103"/>
  <c r="M461" i="103"/>
  <c r="L461" i="103"/>
  <c r="I461" i="103"/>
  <c r="H461" i="103"/>
  <c r="G461" i="103"/>
  <c r="D461" i="103"/>
  <c r="C461" i="103"/>
  <c r="B461" i="103"/>
  <c r="O459" i="103"/>
  <c r="J459" i="103"/>
  <c r="E459" i="103"/>
  <c r="O458" i="103"/>
  <c r="J458" i="103"/>
  <c r="E458" i="103"/>
  <c r="O457" i="103"/>
  <c r="J457" i="103"/>
  <c r="E457" i="103"/>
  <c r="O456" i="103"/>
  <c r="J456" i="103"/>
  <c r="E456" i="103"/>
  <c r="O455" i="103"/>
  <c r="J455" i="103"/>
  <c r="E455" i="103"/>
  <c r="O454" i="103"/>
  <c r="J454" i="103"/>
  <c r="E454" i="103"/>
  <c r="O453" i="103"/>
  <c r="J453" i="103"/>
  <c r="E453" i="103"/>
  <c r="O452" i="103"/>
  <c r="J452" i="103"/>
  <c r="E452" i="103"/>
  <c r="O451" i="103"/>
  <c r="J451" i="103"/>
  <c r="E451" i="103"/>
  <c r="O449" i="103"/>
  <c r="J449" i="103"/>
  <c r="E449" i="103"/>
  <c r="L448" i="103"/>
  <c r="G448" i="103"/>
  <c r="B448" i="103"/>
  <c r="N444" i="103"/>
  <c r="M444" i="103"/>
  <c r="L444" i="103"/>
  <c r="I444" i="103"/>
  <c r="H444" i="103"/>
  <c r="G444" i="103"/>
  <c r="D444" i="103"/>
  <c r="C444" i="103"/>
  <c r="B444" i="103"/>
  <c r="O442" i="103"/>
  <c r="J442" i="103"/>
  <c r="E442" i="103"/>
  <c r="O441" i="103"/>
  <c r="J441" i="103"/>
  <c r="E441" i="103"/>
  <c r="O440" i="103"/>
  <c r="J440" i="103"/>
  <c r="E440" i="103"/>
  <c r="O439" i="103"/>
  <c r="J439" i="103"/>
  <c r="E439" i="103"/>
  <c r="O438" i="103"/>
  <c r="J438" i="103"/>
  <c r="E438" i="103"/>
  <c r="O437" i="103"/>
  <c r="J437" i="103"/>
  <c r="E437" i="103"/>
  <c r="O436" i="103"/>
  <c r="J436" i="103"/>
  <c r="E436" i="103"/>
  <c r="O435" i="103"/>
  <c r="J435" i="103"/>
  <c r="E435" i="103"/>
  <c r="O434" i="103"/>
  <c r="J434" i="103"/>
  <c r="E434" i="103"/>
  <c r="O432" i="103"/>
  <c r="J432" i="103"/>
  <c r="E432" i="103"/>
  <c r="L431" i="103"/>
  <c r="G431" i="103"/>
  <c r="B431" i="103"/>
  <c r="N427" i="103"/>
  <c r="M427" i="103"/>
  <c r="L427" i="103"/>
  <c r="I427" i="103"/>
  <c r="H427" i="103"/>
  <c r="G427" i="103"/>
  <c r="D427" i="103"/>
  <c r="C427" i="103"/>
  <c r="B427" i="103"/>
  <c r="O425" i="103"/>
  <c r="J425" i="103"/>
  <c r="E425" i="103"/>
  <c r="O424" i="103"/>
  <c r="J424" i="103"/>
  <c r="E424" i="103"/>
  <c r="O423" i="103"/>
  <c r="J423" i="103"/>
  <c r="E423" i="103"/>
  <c r="O422" i="103"/>
  <c r="J422" i="103"/>
  <c r="E422" i="103"/>
  <c r="O421" i="103"/>
  <c r="J421" i="103"/>
  <c r="E421" i="103"/>
  <c r="O420" i="103"/>
  <c r="J420" i="103"/>
  <c r="E420" i="103"/>
  <c r="O419" i="103"/>
  <c r="J419" i="103"/>
  <c r="E419" i="103"/>
  <c r="O418" i="103"/>
  <c r="J418" i="103"/>
  <c r="E418" i="103"/>
  <c r="O417" i="103"/>
  <c r="J417" i="103"/>
  <c r="E417" i="103"/>
  <c r="O415" i="103"/>
  <c r="J415" i="103"/>
  <c r="E415" i="103"/>
  <c r="L414" i="103"/>
  <c r="G414" i="103"/>
  <c r="B414" i="103"/>
  <c r="N410" i="103"/>
  <c r="M410" i="103"/>
  <c r="L410" i="103"/>
  <c r="I410" i="103"/>
  <c r="H410" i="103"/>
  <c r="G410" i="103"/>
  <c r="D410" i="103"/>
  <c r="C410" i="103"/>
  <c r="B410" i="103"/>
  <c r="O408" i="103"/>
  <c r="J408" i="103"/>
  <c r="E408" i="103"/>
  <c r="O407" i="103"/>
  <c r="J407" i="103"/>
  <c r="E407" i="103"/>
  <c r="O406" i="103"/>
  <c r="J406" i="103"/>
  <c r="E406" i="103"/>
  <c r="O405" i="103"/>
  <c r="J405" i="103"/>
  <c r="E405" i="103"/>
  <c r="O404" i="103"/>
  <c r="J404" i="103"/>
  <c r="E404" i="103"/>
  <c r="O403" i="103"/>
  <c r="J403" i="103"/>
  <c r="E403" i="103"/>
  <c r="O402" i="103"/>
  <c r="J402" i="103"/>
  <c r="E402" i="103"/>
  <c r="O401" i="103"/>
  <c r="J401" i="103"/>
  <c r="E401" i="103"/>
  <c r="O400" i="103"/>
  <c r="J400" i="103"/>
  <c r="E400" i="103"/>
  <c r="O398" i="103"/>
  <c r="J398" i="103"/>
  <c r="E398" i="103"/>
  <c r="L397" i="103"/>
  <c r="G397" i="103"/>
  <c r="B397" i="103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566" i="102" l="1"/>
  <c r="E276" i="102"/>
  <c r="Y156" i="102"/>
  <c r="E41" i="102"/>
  <c r="E321" i="102"/>
  <c r="E241" i="102"/>
  <c r="J466" i="102"/>
  <c r="T156" i="102"/>
  <c r="J321" i="102"/>
  <c r="E296" i="102"/>
  <c r="Y41" i="102"/>
  <c r="E156" i="102"/>
  <c r="T216" i="102"/>
  <c r="O541" i="102"/>
  <c r="J66" i="102"/>
  <c r="E426" i="102"/>
  <c r="T321" i="102"/>
  <c r="J426" i="102"/>
  <c r="J276" i="102"/>
  <c r="E511" i="102"/>
  <c r="T371" i="102"/>
  <c r="J511" i="102"/>
  <c r="T41" i="102"/>
  <c r="O276" i="102"/>
  <c r="J156" i="102"/>
  <c r="J41" i="102"/>
  <c r="J216" i="102"/>
  <c r="O511" i="102"/>
  <c r="T296" i="102"/>
  <c r="O156" i="102"/>
  <c r="J541" i="102"/>
  <c r="Y191" i="102"/>
  <c r="Y276" i="102"/>
  <c r="O566" i="102"/>
  <c r="J296" i="102"/>
  <c r="O296" i="102"/>
  <c r="E346" i="102"/>
  <c r="E371" i="102"/>
  <c r="O191" i="102"/>
  <c r="O41" i="102"/>
  <c r="O426" i="102"/>
  <c r="J241" i="102"/>
  <c r="O371" i="102"/>
  <c r="Y371" i="102"/>
  <c r="T241" i="102"/>
  <c r="Y296" i="102"/>
  <c r="O321" i="102"/>
  <c r="T346" i="102"/>
  <c r="T511" i="102"/>
  <c r="E566" i="102"/>
  <c r="E466" i="102"/>
  <c r="Y66" i="102"/>
  <c r="E191" i="102"/>
  <c r="Y241" i="102"/>
  <c r="T426" i="102"/>
  <c r="Y346" i="102"/>
  <c r="E66" i="102"/>
  <c r="O346" i="102"/>
  <c r="Y426" i="102"/>
  <c r="T466" i="102"/>
  <c r="T541" i="102"/>
  <c r="J346" i="102"/>
  <c r="O66" i="102"/>
  <c r="Y216" i="102"/>
  <c r="Y566" i="102"/>
  <c r="T276" i="102"/>
  <c r="J371" i="102"/>
  <c r="T66" i="102"/>
  <c r="T191" i="102"/>
  <c r="Y321" i="102"/>
  <c r="O241" i="102"/>
  <c r="Y511" i="102"/>
  <c r="Y466" i="102"/>
  <c r="O216" i="102"/>
  <c r="O466" i="102"/>
  <c r="Y541" i="102"/>
  <c r="T566" i="102"/>
  <c r="J191" i="102"/>
  <c r="E216" i="102"/>
  <c r="E541" i="102"/>
  <c r="E546" i="103"/>
  <c r="O580" i="103"/>
  <c r="J631" i="103"/>
  <c r="E682" i="103"/>
  <c r="O682" i="103"/>
  <c r="O716" i="103"/>
  <c r="J767" i="103"/>
  <c r="E818" i="103"/>
  <c r="O818" i="103"/>
  <c r="O852" i="103"/>
  <c r="J903" i="103"/>
  <c r="E954" i="103"/>
  <c r="O988" i="103"/>
  <c r="E1090" i="103"/>
  <c r="J1175" i="103"/>
  <c r="E1226" i="103"/>
  <c r="O1260" i="103"/>
  <c r="E53" i="103"/>
  <c r="O70" i="103"/>
  <c r="J410" i="103"/>
  <c r="O359" i="103"/>
  <c r="E529" i="103"/>
  <c r="O87" i="103"/>
  <c r="E461" i="103"/>
  <c r="J138" i="103"/>
  <c r="E189" i="103"/>
  <c r="E325" i="103"/>
  <c r="E240" i="103"/>
  <c r="E376" i="103"/>
  <c r="J546" i="103"/>
  <c r="J818" i="103"/>
  <c r="J1090" i="103"/>
  <c r="O1243" i="103"/>
  <c r="E1277" i="103"/>
  <c r="O53" i="103"/>
  <c r="J376" i="103"/>
  <c r="O461" i="103"/>
  <c r="O886" i="103"/>
  <c r="E1192" i="103"/>
  <c r="O1226" i="103"/>
  <c r="J240" i="103"/>
  <c r="J291" i="103"/>
  <c r="J427" i="103"/>
  <c r="J648" i="103"/>
  <c r="O733" i="103"/>
  <c r="O869" i="103"/>
  <c r="E1107" i="103"/>
  <c r="O1277" i="103"/>
  <c r="J70" i="103"/>
  <c r="E121" i="103"/>
  <c r="J206" i="103"/>
  <c r="E257" i="103"/>
  <c r="O291" i="103"/>
  <c r="J342" i="103"/>
  <c r="E393" i="103"/>
  <c r="O427" i="103"/>
  <c r="J478" i="103"/>
  <c r="J563" i="103"/>
  <c r="E614" i="103"/>
  <c r="O648" i="103"/>
  <c r="J699" i="103"/>
  <c r="E750" i="103"/>
  <c r="O784" i="103"/>
  <c r="J835" i="103"/>
  <c r="O920" i="103"/>
  <c r="J971" i="103"/>
  <c r="E1022" i="103"/>
  <c r="O1056" i="103"/>
  <c r="J1107" i="103"/>
  <c r="E1124" i="103"/>
  <c r="O1124" i="103"/>
  <c r="E1158" i="103"/>
  <c r="O1192" i="103"/>
  <c r="J1243" i="103"/>
  <c r="E1294" i="103"/>
  <c r="J53" i="103"/>
  <c r="E70" i="103"/>
  <c r="J325" i="103"/>
  <c r="E869" i="103"/>
  <c r="O1022" i="103"/>
  <c r="E1243" i="103"/>
  <c r="E155" i="103"/>
  <c r="E291" i="103"/>
  <c r="J512" i="103"/>
  <c r="E648" i="103"/>
  <c r="J733" i="103"/>
  <c r="E886" i="103"/>
  <c r="E1056" i="103"/>
  <c r="E206" i="103"/>
  <c r="O240" i="103"/>
  <c r="O376" i="103"/>
  <c r="E478" i="103"/>
  <c r="O495" i="103"/>
  <c r="J614" i="103"/>
  <c r="J920" i="103"/>
  <c r="E971" i="103"/>
  <c r="O1141" i="103"/>
  <c r="J121" i="103"/>
  <c r="E172" i="103"/>
  <c r="O206" i="103"/>
  <c r="J257" i="103"/>
  <c r="E308" i="103"/>
  <c r="O342" i="103"/>
  <c r="J393" i="103"/>
  <c r="E444" i="103"/>
  <c r="O478" i="103"/>
  <c r="J529" i="103"/>
  <c r="O563" i="103"/>
  <c r="E665" i="103"/>
  <c r="O699" i="103"/>
  <c r="J750" i="103"/>
  <c r="E801" i="103"/>
  <c r="O835" i="103"/>
  <c r="J869" i="103"/>
  <c r="J886" i="103"/>
  <c r="E937" i="103"/>
  <c r="O971" i="103"/>
  <c r="J1022" i="103"/>
  <c r="E1073" i="103"/>
  <c r="O1107" i="103"/>
  <c r="E1209" i="103"/>
  <c r="J1294" i="103"/>
  <c r="O138" i="103"/>
  <c r="O274" i="103"/>
  <c r="J461" i="103"/>
  <c r="E512" i="103"/>
  <c r="E733" i="103"/>
  <c r="J1039" i="103"/>
  <c r="J1226" i="103"/>
  <c r="E427" i="103"/>
  <c r="O1090" i="103"/>
  <c r="J1277" i="103"/>
  <c r="E563" i="103"/>
  <c r="J1005" i="103"/>
  <c r="J1192" i="103"/>
  <c r="O121" i="103"/>
  <c r="J172" i="103"/>
  <c r="E223" i="103"/>
  <c r="O223" i="103"/>
  <c r="J274" i="103"/>
  <c r="J308" i="103"/>
  <c r="E359" i="103"/>
  <c r="J444" i="103"/>
  <c r="E495" i="103"/>
  <c r="O512" i="103"/>
  <c r="E580" i="103"/>
  <c r="O597" i="103"/>
  <c r="O614" i="103"/>
  <c r="J665" i="103"/>
  <c r="E716" i="103"/>
  <c r="O750" i="103"/>
  <c r="J801" i="103"/>
  <c r="E852" i="103"/>
  <c r="J937" i="103"/>
  <c r="E988" i="103"/>
  <c r="J1073" i="103"/>
  <c r="O1158" i="103"/>
  <c r="J1158" i="103"/>
  <c r="J1209" i="103"/>
  <c r="E1260" i="103"/>
  <c r="O1294" i="103"/>
  <c r="J189" i="103"/>
  <c r="O257" i="103"/>
  <c r="O393" i="103"/>
  <c r="O410" i="103"/>
  <c r="E597" i="103"/>
  <c r="O631" i="103"/>
  <c r="J682" i="103"/>
  <c r="O767" i="103"/>
  <c r="O903" i="103"/>
  <c r="J954" i="103"/>
  <c r="E1005" i="103"/>
  <c r="O1039" i="103"/>
  <c r="E1141" i="103"/>
  <c r="O1175" i="103"/>
  <c r="J104" i="103"/>
  <c r="O189" i="103"/>
  <c r="O325" i="103"/>
  <c r="O529" i="103"/>
  <c r="O546" i="103"/>
  <c r="J597" i="103"/>
  <c r="E784" i="103"/>
  <c r="E920" i="103"/>
  <c r="O954" i="103"/>
  <c r="J1141" i="103"/>
  <c r="J155" i="103"/>
  <c r="E342" i="103"/>
  <c r="E699" i="103"/>
  <c r="J784" i="103"/>
  <c r="E835" i="103"/>
  <c r="O1005" i="103"/>
  <c r="J1056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E410" i="103"/>
  <c r="O444" i="103"/>
  <c r="J495" i="103"/>
  <c r="J580" i="103"/>
  <c r="E631" i="103"/>
  <c r="O665" i="103"/>
  <c r="J716" i="103"/>
  <c r="E767" i="103"/>
  <c r="O801" i="103"/>
  <c r="J852" i="103"/>
  <c r="E903" i="103"/>
  <c r="O937" i="103"/>
  <c r="J988" i="103"/>
  <c r="E1039" i="103"/>
  <c r="O1073" i="103"/>
  <c r="J1124" i="103"/>
  <c r="E1175" i="103"/>
  <c r="O1209" i="103"/>
  <c r="J1260" i="103"/>
  <c r="D134" i="101"/>
  <c r="H47" i="101" l="1"/>
  <c r="L706" i="101"/>
  <c r="B716" i="101"/>
  <c r="K699" i="101"/>
  <c r="J699" i="101"/>
  <c r="G699" i="101"/>
  <c r="F699" i="101"/>
  <c r="C699" i="101"/>
  <c r="B699" i="101"/>
  <c r="L697" i="101"/>
  <c r="H697" i="101"/>
  <c r="D697" i="101"/>
  <c r="L696" i="101"/>
  <c r="H696" i="101"/>
  <c r="D696" i="101"/>
  <c r="L695" i="101"/>
  <c r="H695" i="101"/>
  <c r="D695" i="101"/>
  <c r="L694" i="101"/>
  <c r="H694" i="101"/>
  <c r="D694" i="101"/>
  <c r="L693" i="101"/>
  <c r="H693" i="101"/>
  <c r="D693" i="101"/>
  <c r="L692" i="101"/>
  <c r="H692" i="101"/>
  <c r="D692" i="101"/>
  <c r="L691" i="101"/>
  <c r="H691" i="101"/>
  <c r="D691" i="101"/>
  <c r="L690" i="101"/>
  <c r="H690" i="101"/>
  <c r="D690" i="101"/>
  <c r="L689" i="101"/>
  <c r="H689" i="101"/>
  <c r="D689" i="101"/>
  <c r="K682" i="101"/>
  <c r="J682" i="101"/>
  <c r="G682" i="101"/>
  <c r="F682" i="101"/>
  <c r="C682" i="101"/>
  <c r="B682" i="101"/>
  <c r="L680" i="101"/>
  <c r="H680" i="101"/>
  <c r="D680" i="101"/>
  <c r="L679" i="101"/>
  <c r="H679" i="101"/>
  <c r="D679" i="101"/>
  <c r="L678" i="101"/>
  <c r="H678" i="101"/>
  <c r="D678" i="101"/>
  <c r="L677" i="101"/>
  <c r="H677" i="101"/>
  <c r="D677" i="101"/>
  <c r="L676" i="101"/>
  <c r="H676" i="101"/>
  <c r="D676" i="101"/>
  <c r="L675" i="101"/>
  <c r="H675" i="101"/>
  <c r="D675" i="101"/>
  <c r="L674" i="101"/>
  <c r="H674" i="101"/>
  <c r="D674" i="101"/>
  <c r="L673" i="101"/>
  <c r="H673" i="101"/>
  <c r="D673" i="101"/>
  <c r="L672" i="101"/>
  <c r="H672" i="101"/>
  <c r="D672" i="101"/>
  <c r="K665" i="101"/>
  <c r="J665" i="101"/>
  <c r="G665" i="101"/>
  <c r="F665" i="101"/>
  <c r="C665" i="101"/>
  <c r="B665" i="101"/>
  <c r="L663" i="101"/>
  <c r="H663" i="101"/>
  <c r="D663" i="101"/>
  <c r="L662" i="101"/>
  <c r="H662" i="101"/>
  <c r="D662" i="101"/>
  <c r="L661" i="101"/>
  <c r="H661" i="101"/>
  <c r="D661" i="101"/>
  <c r="L660" i="101"/>
  <c r="H660" i="101"/>
  <c r="D660" i="101"/>
  <c r="L659" i="101"/>
  <c r="H659" i="101"/>
  <c r="D659" i="101"/>
  <c r="L658" i="101"/>
  <c r="H658" i="101"/>
  <c r="D658" i="101"/>
  <c r="L657" i="101"/>
  <c r="H657" i="101"/>
  <c r="D657" i="101"/>
  <c r="L656" i="101"/>
  <c r="H656" i="101"/>
  <c r="D656" i="101"/>
  <c r="L655" i="101"/>
  <c r="H655" i="101"/>
  <c r="D655" i="101"/>
  <c r="K648" i="101"/>
  <c r="J648" i="101"/>
  <c r="G648" i="101"/>
  <c r="F648" i="101"/>
  <c r="C648" i="101"/>
  <c r="B648" i="101"/>
  <c r="L646" i="101"/>
  <c r="H646" i="101"/>
  <c r="D646" i="101"/>
  <c r="L645" i="101"/>
  <c r="H645" i="101"/>
  <c r="D645" i="101"/>
  <c r="L644" i="101"/>
  <c r="H644" i="101"/>
  <c r="D644" i="101"/>
  <c r="L643" i="101"/>
  <c r="H643" i="101"/>
  <c r="D643" i="101"/>
  <c r="L642" i="101"/>
  <c r="H642" i="101"/>
  <c r="D642" i="101"/>
  <c r="L641" i="101"/>
  <c r="H641" i="101"/>
  <c r="D641" i="101"/>
  <c r="L640" i="101"/>
  <c r="H640" i="101"/>
  <c r="D640" i="101"/>
  <c r="L639" i="101"/>
  <c r="H639" i="101"/>
  <c r="D639" i="101"/>
  <c r="L638" i="101"/>
  <c r="H638" i="101"/>
  <c r="D638" i="101"/>
  <c r="K631" i="101"/>
  <c r="J631" i="101"/>
  <c r="G631" i="101"/>
  <c r="F631" i="101"/>
  <c r="C631" i="101"/>
  <c r="B631" i="101"/>
  <c r="L629" i="101"/>
  <c r="H629" i="101"/>
  <c r="D629" i="101"/>
  <c r="L628" i="101"/>
  <c r="H628" i="101"/>
  <c r="D628" i="101"/>
  <c r="L627" i="101"/>
  <c r="H627" i="101"/>
  <c r="D627" i="101"/>
  <c r="L626" i="101"/>
  <c r="H626" i="101"/>
  <c r="D626" i="101"/>
  <c r="L625" i="101"/>
  <c r="H625" i="101"/>
  <c r="D625" i="101"/>
  <c r="L624" i="101"/>
  <c r="H624" i="101"/>
  <c r="D624" i="101"/>
  <c r="L623" i="101"/>
  <c r="H623" i="101"/>
  <c r="D623" i="101"/>
  <c r="L622" i="101"/>
  <c r="H622" i="101"/>
  <c r="D622" i="101"/>
  <c r="L621" i="101"/>
  <c r="H621" i="101"/>
  <c r="D621" i="101"/>
  <c r="K614" i="101"/>
  <c r="J614" i="101"/>
  <c r="G614" i="101"/>
  <c r="F614" i="101"/>
  <c r="C614" i="101"/>
  <c r="B614" i="101"/>
  <c r="L612" i="101"/>
  <c r="H612" i="101"/>
  <c r="D612" i="101"/>
  <c r="L611" i="101"/>
  <c r="H611" i="101"/>
  <c r="D611" i="101"/>
  <c r="L610" i="101"/>
  <c r="H610" i="101"/>
  <c r="D610" i="101"/>
  <c r="L609" i="101"/>
  <c r="H609" i="101"/>
  <c r="D609" i="101"/>
  <c r="L608" i="101"/>
  <c r="H608" i="101"/>
  <c r="D608" i="101"/>
  <c r="L607" i="101"/>
  <c r="H607" i="101"/>
  <c r="D607" i="101"/>
  <c r="L606" i="101"/>
  <c r="H606" i="101"/>
  <c r="D606" i="101"/>
  <c r="L605" i="101"/>
  <c r="H605" i="101"/>
  <c r="D605" i="101"/>
  <c r="L604" i="101"/>
  <c r="H604" i="101"/>
  <c r="D604" i="101"/>
  <c r="K597" i="101"/>
  <c r="J597" i="101"/>
  <c r="G597" i="101"/>
  <c r="F597" i="101"/>
  <c r="C597" i="101"/>
  <c r="B597" i="101"/>
  <c r="L595" i="101"/>
  <c r="H595" i="101"/>
  <c r="D595" i="101"/>
  <c r="L594" i="101"/>
  <c r="H594" i="101"/>
  <c r="D594" i="101"/>
  <c r="L593" i="101"/>
  <c r="H593" i="101"/>
  <c r="D593" i="101"/>
  <c r="L592" i="101"/>
  <c r="H592" i="101"/>
  <c r="D592" i="101"/>
  <c r="L591" i="101"/>
  <c r="H591" i="101"/>
  <c r="D591" i="101"/>
  <c r="L590" i="101"/>
  <c r="H590" i="101"/>
  <c r="D590" i="101"/>
  <c r="L589" i="101"/>
  <c r="H589" i="101"/>
  <c r="D589" i="101"/>
  <c r="L588" i="101"/>
  <c r="H588" i="101"/>
  <c r="D588" i="101"/>
  <c r="L587" i="101"/>
  <c r="H587" i="101"/>
  <c r="D587" i="101"/>
  <c r="K580" i="101"/>
  <c r="J580" i="101"/>
  <c r="G580" i="101"/>
  <c r="F580" i="101"/>
  <c r="C580" i="101"/>
  <c r="B580" i="101"/>
  <c r="L578" i="101"/>
  <c r="H578" i="101"/>
  <c r="D578" i="101"/>
  <c r="L577" i="101"/>
  <c r="H577" i="101"/>
  <c r="D577" i="101"/>
  <c r="L576" i="101"/>
  <c r="H576" i="101"/>
  <c r="D576" i="101"/>
  <c r="L575" i="101"/>
  <c r="H575" i="101"/>
  <c r="D575" i="101"/>
  <c r="L574" i="101"/>
  <c r="H574" i="101"/>
  <c r="D574" i="101"/>
  <c r="L573" i="101"/>
  <c r="H573" i="101"/>
  <c r="D573" i="101"/>
  <c r="L572" i="101"/>
  <c r="H572" i="101"/>
  <c r="D572" i="101"/>
  <c r="L571" i="101"/>
  <c r="H571" i="101"/>
  <c r="D571" i="101"/>
  <c r="L570" i="101"/>
  <c r="H570" i="101"/>
  <c r="D570" i="101"/>
  <c r="K563" i="101"/>
  <c r="J563" i="101"/>
  <c r="G563" i="101"/>
  <c r="F563" i="101"/>
  <c r="C563" i="101"/>
  <c r="B563" i="101"/>
  <c r="L561" i="101"/>
  <c r="H561" i="101"/>
  <c r="D561" i="101"/>
  <c r="L560" i="101"/>
  <c r="H560" i="101"/>
  <c r="D560" i="101"/>
  <c r="L559" i="101"/>
  <c r="H559" i="101"/>
  <c r="D559" i="101"/>
  <c r="L558" i="101"/>
  <c r="H558" i="101"/>
  <c r="D558" i="101"/>
  <c r="L557" i="101"/>
  <c r="H557" i="101"/>
  <c r="D557" i="101"/>
  <c r="L556" i="101"/>
  <c r="H556" i="101"/>
  <c r="D556" i="101"/>
  <c r="L555" i="101"/>
  <c r="H555" i="101"/>
  <c r="D555" i="101"/>
  <c r="L554" i="101"/>
  <c r="H554" i="101"/>
  <c r="D554" i="101"/>
  <c r="L553" i="101"/>
  <c r="H553" i="101"/>
  <c r="D553" i="101"/>
  <c r="K546" i="101"/>
  <c r="J546" i="101"/>
  <c r="G546" i="101"/>
  <c r="F546" i="101"/>
  <c r="C546" i="101"/>
  <c r="B546" i="101"/>
  <c r="L544" i="101"/>
  <c r="H544" i="101"/>
  <c r="D544" i="101"/>
  <c r="L543" i="101"/>
  <c r="H543" i="101"/>
  <c r="D543" i="101"/>
  <c r="L542" i="101"/>
  <c r="H542" i="101"/>
  <c r="D542" i="101"/>
  <c r="L541" i="101"/>
  <c r="H541" i="101"/>
  <c r="D541" i="101"/>
  <c r="L540" i="101"/>
  <c r="H540" i="101"/>
  <c r="D540" i="101"/>
  <c r="L539" i="101"/>
  <c r="H539" i="101"/>
  <c r="D539" i="101"/>
  <c r="L538" i="101"/>
  <c r="H538" i="101"/>
  <c r="D538" i="101"/>
  <c r="L537" i="101"/>
  <c r="H537" i="101"/>
  <c r="D537" i="101"/>
  <c r="L536" i="101"/>
  <c r="H536" i="101"/>
  <c r="D536" i="101"/>
  <c r="K529" i="101"/>
  <c r="J529" i="101"/>
  <c r="G529" i="101"/>
  <c r="F529" i="101"/>
  <c r="C529" i="101"/>
  <c r="B529" i="101"/>
  <c r="L527" i="101"/>
  <c r="H527" i="101"/>
  <c r="D527" i="101"/>
  <c r="L526" i="101"/>
  <c r="H526" i="101"/>
  <c r="D526" i="101"/>
  <c r="L525" i="101"/>
  <c r="H525" i="101"/>
  <c r="D525" i="101"/>
  <c r="L524" i="101"/>
  <c r="H524" i="101"/>
  <c r="D524" i="101"/>
  <c r="L523" i="101"/>
  <c r="H523" i="101"/>
  <c r="D523" i="101"/>
  <c r="L522" i="101"/>
  <c r="H522" i="101"/>
  <c r="D522" i="101"/>
  <c r="L521" i="101"/>
  <c r="H521" i="101"/>
  <c r="D521" i="101"/>
  <c r="L520" i="101"/>
  <c r="H520" i="101"/>
  <c r="D520" i="101"/>
  <c r="L519" i="101"/>
  <c r="H519" i="101"/>
  <c r="D519" i="101"/>
  <c r="K512" i="101"/>
  <c r="J512" i="101"/>
  <c r="G512" i="101"/>
  <c r="F512" i="101"/>
  <c r="C512" i="101"/>
  <c r="B512" i="101"/>
  <c r="L510" i="101"/>
  <c r="H510" i="101"/>
  <c r="D510" i="101"/>
  <c r="L509" i="101"/>
  <c r="H509" i="101"/>
  <c r="D509" i="101"/>
  <c r="L508" i="101"/>
  <c r="H508" i="101"/>
  <c r="D508" i="101"/>
  <c r="L507" i="101"/>
  <c r="H507" i="101"/>
  <c r="D507" i="101"/>
  <c r="L506" i="101"/>
  <c r="H506" i="101"/>
  <c r="D506" i="101"/>
  <c r="L505" i="101"/>
  <c r="H505" i="101"/>
  <c r="D505" i="101"/>
  <c r="L504" i="101"/>
  <c r="H504" i="101"/>
  <c r="D504" i="101"/>
  <c r="L503" i="101"/>
  <c r="H503" i="101"/>
  <c r="D503" i="101"/>
  <c r="L502" i="101"/>
  <c r="H502" i="101"/>
  <c r="D502" i="101"/>
  <c r="K495" i="101"/>
  <c r="J495" i="101"/>
  <c r="G495" i="101"/>
  <c r="F495" i="101"/>
  <c r="C495" i="101"/>
  <c r="B495" i="101"/>
  <c r="L493" i="101"/>
  <c r="H493" i="101"/>
  <c r="D493" i="101"/>
  <c r="L492" i="101"/>
  <c r="H492" i="101"/>
  <c r="D492" i="101"/>
  <c r="L491" i="101"/>
  <c r="H491" i="101"/>
  <c r="D491" i="101"/>
  <c r="L490" i="101"/>
  <c r="H490" i="101"/>
  <c r="D490" i="101"/>
  <c r="L489" i="101"/>
  <c r="H489" i="101"/>
  <c r="D489" i="101"/>
  <c r="L488" i="101"/>
  <c r="H488" i="101"/>
  <c r="D488" i="101"/>
  <c r="L487" i="101"/>
  <c r="H487" i="101"/>
  <c r="D487" i="101"/>
  <c r="L486" i="101"/>
  <c r="H486" i="101"/>
  <c r="D486" i="101"/>
  <c r="L485" i="101"/>
  <c r="H485" i="101"/>
  <c r="D485" i="101"/>
  <c r="K478" i="101"/>
  <c r="J478" i="101"/>
  <c r="G478" i="101"/>
  <c r="F478" i="101"/>
  <c r="C478" i="101"/>
  <c r="B478" i="101"/>
  <c r="L476" i="101"/>
  <c r="H476" i="101"/>
  <c r="D476" i="101"/>
  <c r="L475" i="101"/>
  <c r="H475" i="101"/>
  <c r="D475" i="101"/>
  <c r="L474" i="101"/>
  <c r="H474" i="101"/>
  <c r="D474" i="101"/>
  <c r="L473" i="101"/>
  <c r="H473" i="101"/>
  <c r="D473" i="101"/>
  <c r="L472" i="101"/>
  <c r="H472" i="101"/>
  <c r="D472" i="101"/>
  <c r="L471" i="101"/>
  <c r="H471" i="101"/>
  <c r="D471" i="101"/>
  <c r="L470" i="101"/>
  <c r="H470" i="101"/>
  <c r="D470" i="101"/>
  <c r="L469" i="101"/>
  <c r="H469" i="101"/>
  <c r="D469" i="101"/>
  <c r="L468" i="101"/>
  <c r="H468" i="101"/>
  <c r="D468" i="101"/>
  <c r="K461" i="101"/>
  <c r="J461" i="101"/>
  <c r="G461" i="101"/>
  <c r="F461" i="101"/>
  <c r="C461" i="101"/>
  <c r="B461" i="101"/>
  <c r="L459" i="101"/>
  <c r="H459" i="101"/>
  <c r="D459" i="101"/>
  <c r="L458" i="101"/>
  <c r="H458" i="101"/>
  <c r="D458" i="101"/>
  <c r="L457" i="101"/>
  <c r="H457" i="101"/>
  <c r="D457" i="101"/>
  <c r="L456" i="101"/>
  <c r="H456" i="101"/>
  <c r="D456" i="101"/>
  <c r="L455" i="101"/>
  <c r="H455" i="101"/>
  <c r="D455" i="101"/>
  <c r="L454" i="101"/>
  <c r="H454" i="101"/>
  <c r="D454" i="101"/>
  <c r="L453" i="101"/>
  <c r="H453" i="101"/>
  <c r="D453" i="101"/>
  <c r="L452" i="101"/>
  <c r="H452" i="101"/>
  <c r="D452" i="101"/>
  <c r="L451" i="101"/>
  <c r="H451" i="101"/>
  <c r="D451" i="101"/>
  <c r="K444" i="101"/>
  <c r="J444" i="101"/>
  <c r="G444" i="101"/>
  <c r="F444" i="101"/>
  <c r="C444" i="101"/>
  <c r="B444" i="101"/>
  <c r="L442" i="101"/>
  <c r="H442" i="101"/>
  <c r="D442" i="101"/>
  <c r="L441" i="101"/>
  <c r="H441" i="101"/>
  <c r="D441" i="101"/>
  <c r="L440" i="101"/>
  <c r="H440" i="101"/>
  <c r="D440" i="101"/>
  <c r="L439" i="101"/>
  <c r="H439" i="101"/>
  <c r="D439" i="101"/>
  <c r="L438" i="101"/>
  <c r="H438" i="101"/>
  <c r="D438" i="101"/>
  <c r="L437" i="101"/>
  <c r="H437" i="101"/>
  <c r="D437" i="101"/>
  <c r="L436" i="101"/>
  <c r="H436" i="101"/>
  <c r="D436" i="101"/>
  <c r="L435" i="101"/>
  <c r="H435" i="101"/>
  <c r="D435" i="101"/>
  <c r="L434" i="101"/>
  <c r="H434" i="101"/>
  <c r="D434" i="101"/>
  <c r="K427" i="101"/>
  <c r="J427" i="101"/>
  <c r="G427" i="101"/>
  <c r="F427" i="101"/>
  <c r="C427" i="101"/>
  <c r="B427" i="101"/>
  <c r="L425" i="101"/>
  <c r="H425" i="101"/>
  <c r="D425" i="101"/>
  <c r="L424" i="101"/>
  <c r="H424" i="101"/>
  <c r="D424" i="101"/>
  <c r="L423" i="101"/>
  <c r="H423" i="101"/>
  <c r="D423" i="101"/>
  <c r="L422" i="101"/>
  <c r="H422" i="101"/>
  <c r="D422" i="101"/>
  <c r="L421" i="101"/>
  <c r="H421" i="101"/>
  <c r="D421" i="101"/>
  <c r="L420" i="101"/>
  <c r="H420" i="101"/>
  <c r="D420" i="101"/>
  <c r="L419" i="101"/>
  <c r="H419" i="101"/>
  <c r="D419" i="101"/>
  <c r="L418" i="101"/>
  <c r="H418" i="101"/>
  <c r="D418" i="101"/>
  <c r="L417" i="101"/>
  <c r="H417" i="101"/>
  <c r="D417" i="101"/>
  <c r="K410" i="101"/>
  <c r="J410" i="101"/>
  <c r="G410" i="101"/>
  <c r="F410" i="101"/>
  <c r="C410" i="101"/>
  <c r="B410" i="101"/>
  <c r="L408" i="101"/>
  <c r="H408" i="101"/>
  <c r="D408" i="101"/>
  <c r="L407" i="101"/>
  <c r="H407" i="101"/>
  <c r="D407" i="101"/>
  <c r="L406" i="101"/>
  <c r="H406" i="101"/>
  <c r="D406" i="101"/>
  <c r="L405" i="101"/>
  <c r="H405" i="101"/>
  <c r="D405" i="101"/>
  <c r="L404" i="101"/>
  <c r="H404" i="101"/>
  <c r="D404" i="101"/>
  <c r="L403" i="101"/>
  <c r="H403" i="101"/>
  <c r="D403" i="101"/>
  <c r="L402" i="101"/>
  <c r="H402" i="101"/>
  <c r="D402" i="101"/>
  <c r="L401" i="101"/>
  <c r="H401" i="101"/>
  <c r="D401" i="101"/>
  <c r="L400" i="101"/>
  <c r="H400" i="101"/>
  <c r="D400" i="10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754" i="101"/>
  <c r="B737" i="101"/>
  <c r="B720" i="101"/>
  <c r="B703" i="101"/>
  <c r="B686" i="101"/>
  <c r="B669" i="101"/>
  <c r="B652" i="101"/>
  <c r="B635" i="101"/>
  <c r="B618" i="101"/>
  <c r="B601" i="101"/>
  <c r="B584" i="101"/>
  <c r="B567" i="101"/>
  <c r="B550" i="101"/>
  <c r="B533" i="101"/>
  <c r="B516" i="101"/>
  <c r="B499" i="101"/>
  <c r="B482" i="101"/>
  <c r="B465" i="101"/>
  <c r="B448" i="101"/>
  <c r="B431" i="101"/>
  <c r="B414" i="101"/>
  <c r="B397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M15" i="76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AD18" i="21"/>
  <c r="AD11" i="21"/>
  <c r="N5" i="21"/>
  <c r="O5" i="21"/>
  <c r="P5" i="21"/>
  <c r="Q5" i="2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H563" i="101" l="1"/>
  <c r="L597" i="101"/>
  <c r="H614" i="101"/>
  <c r="H699" i="101"/>
  <c r="D699" i="101"/>
  <c r="D138" i="101"/>
  <c r="D444" i="101"/>
  <c r="D410" i="101"/>
  <c r="L342" i="101"/>
  <c r="L308" i="101"/>
  <c r="H240" i="101"/>
  <c r="L223" i="101"/>
  <c r="D189" i="101"/>
  <c r="H189" i="101"/>
  <c r="D172" i="101"/>
  <c r="L87" i="101"/>
  <c r="L104" i="101"/>
  <c r="H257" i="101"/>
  <c r="L478" i="101"/>
  <c r="L121" i="101"/>
  <c r="H172" i="101"/>
  <c r="H223" i="101"/>
  <c r="D223" i="101"/>
  <c r="L257" i="101"/>
  <c r="D291" i="101"/>
  <c r="H342" i="101"/>
  <c r="D342" i="101"/>
  <c r="L376" i="101"/>
  <c r="H461" i="101"/>
  <c r="L495" i="101"/>
  <c r="D580" i="101"/>
  <c r="H597" i="101"/>
  <c r="D597" i="101"/>
  <c r="L631" i="101"/>
  <c r="H104" i="101"/>
  <c r="D104" i="101"/>
  <c r="L138" i="101"/>
  <c r="L274" i="101"/>
  <c r="H359" i="101"/>
  <c r="D359" i="101"/>
  <c r="L393" i="101"/>
  <c r="D427" i="101"/>
  <c r="H444" i="101"/>
  <c r="L461" i="101"/>
  <c r="H478" i="101"/>
  <c r="L512" i="101"/>
  <c r="H529" i="101"/>
  <c r="D614" i="101"/>
  <c r="L648" i="101"/>
  <c r="D682" i="101"/>
  <c r="D206" i="101"/>
  <c r="D274" i="101"/>
  <c r="H410" i="101"/>
  <c r="L614" i="101"/>
  <c r="H665" i="101"/>
  <c r="D121" i="101"/>
  <c r="L155" i="101"/>
  <c r="D240" i="101"/>
  <c r="D376" i="101"/>
  <c r="H495" i="101"/>
  <c r="D563" i="101"/>
  <c r="L665" i="101"/>
  <c r="L172" i="101"/>
  <c r="H393" i="101"/>
  <c r="L427" i="101"/>
  <c r="H512" i="101"/>
  <c r="D512" i="101"/>
  <c r="L546" i="101"/>
  <c r="H648" i="101"/>
  <c r="D648" i="101"/>
  <c r="L682" i="101"/>
  <c r="H206" i="101"/>
  <c r="H274" i="101"/>
  <c r="D325" i="101"/>
  <c r="L359" i="101"/>
  <c r="D257" i="101"/>
  <c r="H376" i="101"/>
  <c r="D495" i="101"/>
  <c r="L529" i="101"/>
  <c r="H631" i="101"/>
  <c r="D87" i="101"/>
  <c r="H87" i="101"/>
  <c r="H155" i="101"/>
  <c r="D155" i="101"/>
  <c r="L189" i="101"/>
  <c r="H291" i="101"/>
  <c r="D308" i="101"/>
  <c r="D461" i="101"/>
  <c r="D529" i="101"/>
  <c r="L563" i="101"/>
  <c r="L699" i="101"/>
  <c r="H138" i="101"/>
  <c r="H325" i="101"/>
  <c r="D393" i="101"/>
  <c r="L444" i="101"/>
  <c r="H121" i="101"/>
  <c r="L240" i="101"/>
  <c r="L291" i="101"/>
  <c r="L410" i="101"/>
  <c r="H580" i="101"/>
  <c r="D631" i="101"/>
  <c r="L206" i="101"/>
  <c r="H308" i="101"/>
  <c r="L325" i="101"/>
  <c r="H427" i="101"/>
  <c r="D478" i="101"/>
  <c r="H546" i="101"/>
  <c r="D546" i="101"/>
  <c r="L580" i="101"/>
  <c r="D665" i="101"/>
  <c r="H682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K9" i="79"/>
  <c r="B119" i="78"/>
  <c r="B21" i="52" l="1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B10" i="103"/>
  <c r="C10" i="103"/>
  <c r="D10" i="103"/>
  <c r="B11" i="103"/>
  <c r="C11" i="103"/>
  <c r="D11" i="103"/>
  <c r="B12" i="103"/>
  <c r="C12" i="103"/>
  <c r="D12" i="103"/>
  <c r="B13" i="103"/>
  <c r="C13" i="103"/>
  <c r="D13" i="103"/>
  <c r="B14" i="103"/>
  <c r="C14" i="103"/>
  <c r="D14" i="103"/>
  <c r="B15" i="103"/>
  <c r="C15" i="103"/>
  <c r="D15" i="103"/>
  <c r="B16" i="103"/>
  <c r="C16" i="103"/>
  <c r="D16" i="103"/>
  <c r="B17" i="103"/>
  <c r="C17" i="103"/>
  <c r="D17" i="103"/>
  <c r="C9" i="103"/>
  <c r="D9" i="103"/>
  <c r="B9" i="101"/>
  <c r="K1294" i="101"/>
  <c r="J1294" i="101"/>
  <c r="G1294" i="101"/>
  <c r="F1294" i="101"/>
  <c r="C1294" i="101"/>
  <c r="B1294" i="101"/>
  <c r="L1292" i="101"/>
  <c r="H1292" i="101"/>
  <c r="D1292" i="101"/>
  <c r="L1291" i="101"/>
  <c r="H1291" i="101"/>
  <c r="D1291" i="101"/>
  <c r="L1290" i="101"/>
  <c r="H1290" i="101"/>
  <c r="D1290" i="101"/>
  <c r="L1289" i="101"/>
  <c r="H1289" i="101"/>
  <c r="D1289" i="101"/>
  <c r="L1288" i="101"/>
  <c r="H1288" i="101"/>
  <c r="D1288" i="101"/>
  <c r="L1287" i="101"/>
  <c r="H1287" i="101"/>
  <c r="D1287" i="101"/>
  <c r="L1286" i="101"/>
  <c r="H1286" i="101"/>
  <c r="D1286" i="101"/>
  <c r="L1285" i="101"/>
  <c r="H1285" i="101"/>
  <c r="D1285" i="101"/>
  <c r="L1284" i="101"/>
  <c r="H1284" i="101"/>
  <c r="D1284" i="101"/>
  <c r="K1277" i="101"/>
  <c r="J1277" i="101"/>
  <c r="G1277" i="101"/>
  <c r="F1277" i="101"/>
  <c r="C1277" i="101"/>
  <c r="B1277" i="101"/>
  <c r="L1275" i="101"/>
  <c r="H1275" i="101"/>
  <c r="D1275" i="101"/>
  <c r="L1274" i="101"/>
  <c r="H1274" i="101"/>
  <c r="D1274" i="101"/>
  <c r="L1273" i="101"/>
  <c r="H1273" i="101"/>
  <c r="D1273" i="101"/>
  <c r="L1272" i="101"/>
  <c r="H1272" i="101"/>
  <c r="D1272" i="101"/>
  <c r="L1271" i="101"/>
  <c r="H1271" i="101"/>
  <c r="D1271" i="101"/>
  <c r="L1270" i="101"/>
  <c r="H1270" i="101"/>
  <c r="D1270" i="101"/>
  <c r="L1269" i="101"/>
  <c r="H1269" i="101"/>
  <c r="D1269" i="101"/>
  <c r="L1268" i="101"/>
  <c r="H1268" i="101"/>
  <c r="D1268" i="101"/>
  <c r="L1267" i="101"/>
  <c r="H1267" i="101"/>
  <c r="D1267" i="101"/>
  <c r="K1260" i="101"/>
  <c r="J1260" i="101"/>
  <c r="G1260" i="101"/>
  <c r="F1260" i="101"/>
  <c r="C1260" i="101"/>
  <c r="B1260" i="101"/>
  <c r="L1258" i="101"/>
  <c r="H1258" i="101"/>
  <c r="D1258" i="101"/>
  <c r="L1257" i="101"/>
  <c r="H1257" i="101"/>
  <c r="D1257" i="101"/>
  <c r="L1256" i="101"/>
  <c r="H1256" i="101"/>
  <c r="D1256" i="101"/>
  <c r="L1255" i="101"/>
  <c r="H1255" i="101"/>
  <c r="D1255" i="101"/>
  <c r="L1254" i="101"/>
  <c r="H1254" i="101"/>
  <c r="D1254" i="101"/>
  <c r="L1253" i="101"/>
  <c r="H1253" i="101"/>
  <c r="D1253" i="101"/>
  <c r="L1252" i="101"/>
  <c r="H1252" i="101"/>
  <c r="D1252" i="101"/>
  <c r="L1251" i="101"/>
  <c r="H1251" i="101"/>
  <c r="D1251" i="101"/>
  <c r="L1250" i="101"/>
  <c r="H1250" i="101"/>
  <c r="D1250" i="101"/>
  <c r="K1243" i="101"/>
  <c r="J1243" i="101"/>
  <c r="G1243" i="101"/>
  <c r="F1243" i="101"/>
  <c r="C1243" i="101"/>
  <c r="B1243" i="101"/>
  <c r="L1241" i="101"/>
  <c r="H1241" i="101"/>
  <c r="D1241" i="101"/>
  <c r="L1240" i="101"/>
  <c r="H1240" i="101"/>
  <c r="D1240" i="101"/>
  <c r="L1239" i="101"/>
  <c r="H1239" i="101"/>
  <c r="D1239" i="101"/>
  <c r="L1238" i="101"/>
  <c r="H1238" i="101"/>
  <c r="D1238" i="101"/>
  <c r="L1237" i="101"/>
  <c r="H1237" i="101"/>
  <c r="D1237" i="101"/>
  <c r="L1236" i="101"/>
  <c r="H1236" i="101"/>
  <c r="D1236" i="101"/>
  <c r="L1235" i="101"/>
  <c r="H1235" i="101"/>
  <c r="D1235" i="101"/>
  <c r="L1234" i="101"/>
  <c r="H1234" i="101"/>
  <c r="D1234" i="101"/>
  <c r="L1233" i="101"/>
  <c r="H1233" i="101"/>
  <c r="D1233" i="101"/>
  <c r="K1226" i="101"/>
  <c r="J1226" i="101"/>
  <c r="G1226" i="101"/>
  <c r="F1226" i="101"/>
  <c r="C1226" i="101"/>
  <c r="B1226" i="101"/>
  <c r="L1224" i="101"/>
  <c r="H1224" i="101"/>
  <c r="D1224" i="101"/>
  <c r="L1223" i="101"/>
  <c r="H1223" i="101"/>
  <c r="D1223" i="101"/>
  <c r="L1222" i="101"/>
  <c r="H1222" i="101"/>
  <c r="D1222" i="101"/>
  <c r="L1221" i="101"/>
  <c r="H1221" i="101"/>
  <c r="D1221" i="101"/>
  <c r="L1220" i="101"/>
  <c r="H1220" i="101"/>
  <c r="D1220" i="101"/>
  <c r="L1219" i="101"/>
  <c r="H1219" i="101"/>
  <c r="D1219" i="101"/>
  <c r="L1218" i="101"/>
  <c r="H1218" i="101"/>
  <c r="D1218" i="101"/>
  <c r="L1217" i="101"/>
  <c r="H1217" i="101"/>
  <c r="D1217" i="101"/>
  <c r="L1216" i="101"/>
  <c r="H1216" i="101"/>
  <c r="D1216" i="101"/>
  <c r="K1209" i="101"/>
  <c r="J1209" i="101"/>
  <c r="G1209" i="101"/>
  <c r="F1209" i="101"/>
  <c r="C1209" i="101"/>
  <c r="B1209" i="101"/>
  <c r="L1207" i="101"/>
  <c r="H1207" i="101"/>
  <c r="D1207" i="101"/>
  <c r="L1206" i="101"/>
  <c r="H1206" i="101"/>
  <c r="D1206" i="101"/>
  <c r="L1205" i="101"/>
  <c r="H1205" i="101"/>
  <c r="D1205" i="101"/>
  <c r="L1204" i="101"/>
  <c r="H1204" i="101"/>
  <c r="D1204" i="101"/>
  <c r="L1203" i="101"/>
  <c r="H1203" i="101"/>
  <c r="D1203" i="101"/>
  <c r="L1202" i="101"/>
  <c r="H1202" i="101"/>
  <c r="D1202" i="101"/>
  <c r="L1201" i="101"/>
  <c r="H1201" i="101"/>
  <c r="D1201" i="101"/>
  <c r="L1200" i="101"/>
  <c r="H1200" i="101"/>
  <c r="D1200" i="101"/>
  <c r="L1199" i="101"/>
  <c r="H1199" i="101"/>
  <c r="D1199" i="101"/>
  <c r="K1192" i="101"/>
  <c r="J1192" i="101"/>
  <c r="G1192" i="101"/>
  <c r="F1192" i="101"/>
  <c r="C1192" i="101"/>
  <c r="B1192" i="101"/>
  <c r="L1190" i="101"/>
  <c r="H1190" i="101"/>
  <c r="D1190" i="101"/>
  <c r="L1189" i="101"/>
  <c r="H1189" i="101"/>
  <c r="D1189" i="101"/>
  <c r="L1188" i="101"/>
  <c r="H1188" i="101"/>
  <c r="D1188" i="101"/>
  <c r="L1187" i="101"/>
  <c r="H1187" i="101"/>
  <c r="D1187" i="101"/>
  <c r="L1186" i="101"/>
  <c r="H1186" i="101"/>
  <c r="D1186" i="101"/>
  <c r="L1185" i="101"/>
  <c r="H1185" i="101"/>
  <c r="D1185" i="101"/>
  <c r="L1184" i="101"/>
  <c r="H1184" i="101"/>
  <c r="D1184" i="101"/>
  <c r="L1183" i="101"/>
  <c r="H1183" i="101"/>
  <c r="D1183" i="101"/>
  <c r="L1182" i="101"/>
  <c r="H1182" i="101"/>
  <c r="D1182" i="101"/>
  <c r="K1175" i="101"/>
  <c r="J1175" i="101"/>
  <c r="G1175" i="101"/>
  <c r="F1175" i="101"/>
  <c r="C1175" i="101"/>
  <c r="B1175" i="101"/>
  <c r="L1173" i="101"/>
  <c r="H1173" i="101"/>
  <c r="D1173" i="101"/>
  <c r="L1172" i="101"/>
  <c r="H1172" i="101"/>
  <c r="D1172" i="101"/>
  <c r="L1171" i="101"/>
  <c r="H1171" i="101"/>
  <c r="D1171" i="101"/>
  <c r="L1170" i="101"/>
  <c r="H1170" i="101"/>
  <c r="D1170" i="101"/>
  <c r="L1169" i="101"/>
  <c r="H1169" i="101"/>
  <c r="D1169" i="101"/>
  <c r="L1168" i="101"/>
  <c r="H1168" i="101"/>
  <c r="D1168" i="101"/>
  <c r="L1167" i="101"/>
  <c r="H1167" i="101"/>
  <c r="D1167" i="101"/>
  <c r="L1166" i="101"/>
  <c r="H1166" i="101"/>
  <c r="D1166" i="101"/>
  <c r="L1165" i="101"/>
  <c r="H1165" i="101"/>
  <c r="D1165" i="101"/>
  <c r="K1158" i="101"/>
  <c r="J1158" i="101"/>
  <c r="G1158" i="101"/>
  <c r="F1158" i="101"/>
  <c r="C1158" i="101"/>
  <c r="B1158" i="101"/>
  <c r="L1156" i="101"/>
  <c r="H1156" i="101"/>
  <c r="D1156" i="101"/>
  <c r="L1155" i="101"/>
  <c r="H1155" i="101"/>
  <c r="D1155" i="101"/>
  <c r="L1154" i="101"/>
  <c r="H1154" i="101"/>
  <c r="D1154" i="101"/>
  <c r="L1153" i="101"/>
  <c r="H1153" i="101"/>
  <c r="D1153" i="101"/>
  <c r="L1152" i="101"/>
  <c r="H1152" i="101"/>
  <c r="D1152" i="101"/>
  <c r="L1151" i="101"/>
  <c r="H1151" i="101"/>
  <c r="D1151" i="101"/>
  <c r="L1150" i="101"/>
  <c r="H1150" i="101"/>
  <c r="D1150" i="101"/>
  <c r="L1149" i="101"/>
  <c r="H1149" i="101"/>
  <c r="D1149" i="101"/>
  <c r="L1148" i="101"/>
  <c r="H1148" i="101"/>
  <c r="D1148" i="101"/>
  <c r="K1141" i="101"/>
  <c r="J1141" i="101"/>
  <c r="G1141" i="101"/>
  <c r="F1141" i="101"/>
  <c r="C1141" i="101"/>
  <c r="B1141" i="101"/>
  <c r="L1139" i="101"/>
  <c r="H1139" i="101"/>
  <c r="D1139" i="101"/>
  <c r="L1138" i="101"/>
  <c r="H1138" i="101"/>
  <c r="D1138" i="101"/>
  <c r="L1137" i="101"/>
  <c r="H1137" i="101"/>
  <c r="D1137" i="101"/>
  <c r="L1136" i="101"/>
  <c r="H1136" i="101"/>
  <c r="D1136" i="101"/>
  <c r="L1135" i="101"/>
  <c r="H1135" i="101"/>
  <c r="D1135" i="101"/>
  <c r="L1134" i="101"/>
  <c r="H1134" i="101"/>
  <c r="D1134" i="101"/>
  <c r="L1133" i="101"/>
  <c r="H1133" i="101"/>
  <c r="D1133" i="101"/>
  <c r="L1132" i="101"/>
  <c r="H1132" i="101"/>
  <c r="D1132" i="101"/>
  <c r="L1131" i="101"/>
  <c r="H1131" i="101"/>
  <c r="D1131" i="101"/>
  <c r="K1124" i="101"/>
  <c r="J1124" i="101"/>
  <c r="G1124" i="101"/>
  <c r="F1124" i="101"/>
  <c r="C1124" i="101"/>
  <c r="B1124" i="101"/>
  <c r="L1122" i="101"/>
  <c r="H1122" i="101"/>
  <c r="D1122" i="101"/>
  <c r="L1121" i="101"/>
  <c r="H1121" i="101"/>
  <c r="D1121" i="101"/>
  <c r="L1120" i="101"/>
  <c r="H1120" i="101"/>
  <c r="D1120" i="101"/>
  <c r="L1119" i="101"/>
  <c r="H1119" i="101"/>
  <c r="D1119" i="101"/>
  <c r="L1118" i="101"/>
  <c r="H1118" i="101"/>
  <c r="D1118" i="101"/>
  <c r="L1117" i="101"/>
  <c r="H1117" i="101"/>
  <c r="D1117" i="101"/>
  <c r="L1116" i="101"/>
  <c r="H1116" i="101"/>
  <c r="D1116" i="101"/>
  <c r="L1115" i="101"/>
  <c r="H1115" i="101"/>
  <c r="D1115" i="101"/>
  <c r="L1114" i="101"/>
  <c r="H1114" i="101"/>
  <c r="D1114" i="101"/>
  <c r="K1107" i="101"/>
  <c r="J1107" i="101"/>
  <c r="G1107" i="101"/>
  <c r="F1107" i="101"/>
  <c r="C1107" i="101"/>
  <c r="B1107" i="101"/>
  <c r="L1105" i="101"/>
  <c r="H1105" i="101"/>
  <c r="D1105" i="101"/>
  <c r="L1104" i="101"/>
  <c r="H1104" i="101"/>
  <c r="D1104" i="101"/>
  <c r="L1103" i="101"/>
  <c r="H1103" i="101"/>
  <c r="D1103" i="101"/>
  <c r="L1102" i="101"/>
  <c r="H1102" i="101"/>
  <c r="D1102" i="101"/>
  <c r="L1101" i="101"/>
  <c r="H1101" i="101"/>
  <c r="D1101" i="101"/>
  <c r="L1100" i="101"/>
  <c r="H1100" i="101"/>
  <c r="D1100" i="101"/>
  <c r="L1099" i="101"/>
  <c r="H1099" i="101"/>
  <c r="D1099" i="101"/>
  <c r="L1098" i="101"/>
  <c r="H1098" i="101"/>
  <c r="D1098" i="101"/>
  <c r="L1097" i="101"/>
  <c r="H1097" i="101"/>
  <c r="D1097" i="101"/>
  <c r="K1090" i="101"/>
  <c r="J1090" i="101"/>
  <c r="G1090" i="101"/>
  <c r="F1090" i="101"/>
  <c r="C1090" i="101"/>
  <c r="B1090" i="101"/>
  <c r="L1088" i="101"/>
  <c r="H1088" i="101"/>
  <c r="D1088" i="101"/>
  <c r="L1087" i="101"/>
  <c r="H1087" i="101"/>
  <c r="D1087" i="101"/>
  <c r="L1086" i="101"/>
  <c r="H1086" i="101"/>
  <c r="D1086" i="101"/>
  <c r="L1085" i="101"/>
  <c r="H1085" i="101"/>
  <c r="D1085" i="101"/>
  <c r="L1084" i="101"/>
  <c r="H1084" i="101"/>
  <c r="D1084" i="101"/>
  <c r="L1083" i="101"/>
  <c r="H1083" i="101"/>
  <c r="D1083" i="101"/>
  <c r="L1082" i="101"/>
  <c r="H1082" i="101"/>
  <c r="D1082" i="101"/>
  <c r="L1081" i="101"/>
  <c r="H1081" i="101"/>
  <c r="D1081" i="101"/>
  <c r="L1080" i="101"/>
  <c r="H1080" i="101"/>
  <c r="D1080" i="101"/>
  <c r="K1073" i="101"/>
  <c r="J1073" i="101"/>
  <c r="G1073" i="101"/>
  <c r="F1073" i="101"/>
  <c r="C1073" i="101"/>
  <c r="B1073" i="101"/>
  <c r="L1071" i="101"/>
  <c r="H1071" i="101"/>
  <c r="D1071" i="101"/>
  <c r="L1070" i="101"/>
  <c r="H1070" i="101"/>
  <c r="D1070" i="101"/>
  <c r="L1069" i="101"/>
  <c r="H1069" i="101"/>
  <c r="D1069" i="101"/>
  <c r="L1068" i="101"/>
  <c r="H1068" i="101"/>
  <c r="D1068" i="101"/>
  <c r="L1067" i="101"/>
  <c r="H1067" i="101"/>
  <c r="D1067" i="101"/>
  <c r="L1066" i="101"/>
  <c r="H1066" i="101"/>
  <c r="D1066" i="101"/>
  <c r="L1065" i="101"/>
  <c r="H1065" i="101"/>
  <c r="D1065" i="101"/>
  <c r="L1064" i="101"/>
  <c r="H1064" i="101"/>
  <c r="D1064" i="101"/>
  <c r="L1063" i="101"/>
  <c r="H1063" i="101"/>
  <c r="D1063" i="101"/>
  <c r="K1056" i="101"/>
  <c r="J1056" i="101"/>
  <c r="G1056" i="101"/>
  <c r="F1056" i="101"/>
  <c r="C1056" i="101"/>
  <c r="B1056" i="101"/>
  <c r="L1054" i="101"/>
  <c r="H1054" i="101"/>
  <c r="D1054" i="101"/>
  <c r="L1053" i="101"/>
  <c r="H1053" i="101"/>
  <c r="D1053" i="101"/>
  <c r="L1052" i="101"/>
  <c r="H1052" i="101"/>
  <c r="D1052" i="101"/>
  <c r="L1051" i="101"/>
  <c r="H1051" i="101"/>
  <c r="D1051" i="101"/>
  <c r="L1050" i="101"/>
  <c r="H1050" i="101"/>
  <c r="D1050" i="101"/>
  <c r="L1049" i="101"/>
  <c r="H1049" i="101"/>
  <c r="D1049" i="101"/>
  <c r="L1048" i="101"/>
  <c r="H1048" i="101"/>
  <c r="D1048" i="101"/>
  <c r="L1047" i="101"/>
  <c r="H1047" i="101"/>
  <c r="D1047" i="101"/>
  <c r="L1046" i="101"/>
  <c r="H1046" i="101"/>
  <c r="D1046" i="101"/>
  <c r="K1039" i="101"/>
  <c r="J1039" i="101"/>
  <c r="G1039" i="101"/>
  <c r="F1039" i="101"/>
  <c r="C1039" i="101"/>
  <c r="B1039" i="101"/>
  <c r="L1037" i="101"/>
  <c r="H1037" i="101"/>
  <c r="D1037" i="101"/>
  <c r="L1036" i="101"/>
  <c r="H1036" i="101"/>
  <c r="D1036" i="101"/>
  <c r="L1035" i="101"/>
  <c r="H1035" i="101"/>
  <c r="D1035" i="101"/>
  <c r="L1034" i="101"/>
  <c r="H1034" i="101"/>
  <c r="D1034" i="101"/>
  <c r="L1033" i="101"/>
  <c r="H1033" i="101"/>
  <c r="D1033" i="101"/>
  <c r="L1032" i="101"/>
  <c r="H1032" i="101"/>
  <c r="D1032" i="101"/>
  <c r="L1031" i="101"/>
  <c r="H1031" i="101"/>
  <c r="D1031" i="101"/>
  <c r="L1030" i="101"/>
  <c r="H1030" i="101"/>
  <c r="D1030" i="101"/>
  <c r="L1029" i="101"/>
  <c r="H1029" i="101"/>
  <c r="D1029" i="101"/>
  <c r="K1022" i="101"/>
  <c r="J1022" i="101"/>
  <c r="G1022" i="101"/>
  <c r="F1022" i="101"/>
  <c r="C1022" i="101"/>
  <c r="B1022" i="101"/>
  <c r="L1020" i="101"/>
  <c r="H1020" i="101"/>
  <c r="D1020" i="101"/>
  <c r="L1019" i="101"/>
  <c r="H1019" i="101"/>
  <c r="D1019" i="101"/>
  <c r="L1018" i="101"/>
  <c r="H1018" i="101"/>
  <c r="D1018" i="101"/>
  <c r="L1017" i="101"/>
  <c r="H1017" i="101"/>
  <c r="D1017" i="101"/>
  <c r="L1016" i="101"/>
  <c r="H1016" i="101"/>
  <c r="D1016" i="101"/>
  <c r="L1015" i="101"/>
  <c r="H1015" i="101"/>
  <c r="D1015" i="101"/>
  <c r="L1014" i="101"/>
  <c r="H1014" i="101"/>
  <c r="D1014" i="101"/>
  <c r="L1013" i="101"/>
  <c r="H1013" i="101"/>
  <c r="D1013" i="101"/>
  <c r="L1012" i="101"/>
  <c r="H1012" i="101"/>
  <c r="D1012" i="101"/>
  <c r="K1005" i="101"/>
  <c r="J1005" i="101"/>
  <c r="G1005" i="101"/>
  <c r="F1005" i="101"/>
  <c r="C1005" i="101"/>
  <c r="B1005" i="101"/>
  <c r="L1003" i="101"/>
  <c r="H1003" i="101"/>
  <c r="D1003" i="101"/>
  <c r="L1002" i="101"/>
  <c r="H1002" i="101"/>
  <c r="D1002" i="101"/>
  <c r="L1001" i="101"/>
  <c r="H1001" i="101"/>
  <c r="D1001" i="101"/>
  <c r="L1000" i="101"/>
  <c r="H1000" i="101"/>
  <c r="D1000" i="101"/>
  <c r="L999" i="101"/>
  <c r="H999" i="101"/>
  <c r="D999" i="101"/>
  <c r="L998" i="101"/>
  <c r="H998" i="101"/>
  <c r="D998" i="101"/>
  <c r="L997" i="101"/>
  <c r="H997" i="101"/>
  <c r="D997" i="101"/>
  <c r="L996" i="101"/>
  <c r="H996" i="101"/>
  <c r="D996" i="101"/>
  <c r="L995" i="101"/>
  <c r="H995" i="101"/>
  <c r="D995" i="101"/>
  <c r="K988" i="101"/>
  <c r="J988" i="101"/>
  <c r="G988" i="101"/>
  <c r="F988" i="101"/>
  <c r="C988" i="101"/>
  <c r="B988" i="101"/>
  <c r="L986" i="101"/>
  <c r="H986" i="101"/>
  <c r="D986" i="101"/>
  <c r="L985" i="101"/>
  <c r="H985" i="101"/>
  <c r="D985" i="101"/>
  <c r="L984" i="101"/>
  <c r="H984" i="101"/>
  <c r="D984" i="101"/>
  <c r="L983" i="101"/>
  <c r="H983" i="101"/>
  <c r="D983" i="101"/>
  <c r="L982" i="101"/>
  <c r="H982" i="101"/>
  <c r="D982" i="101"/>
  <c r="L981" i="101"/>
  <c r="H981" i="101"/>
  <c r="D981" i="101"/>
  <c r="L980" i="101"/>
  <c r="H980" i="101"/>
  <c r="D980" i="101"/>
  <c r="L979" i="101"/>
  <c r="H979" i="101"/>
  <c r="D979" i="101"/>
  <c r="L978" i="101"/>
  <c r="H978" i="101"/>
  <c r="D978" i="101"/>
  <c r="K971" i="101"/>
  <c r="J971" i="101"/>
  <c r="G971" i="101"/>
  <c r="F971" i="101"/>
  <c r="C971" i="101"/>
  <c r="B971" i="101"/>
  <c r="L969" i="101"/>
  <c r="H969" i="101"/>
  <c r="D969" i="101"/>
  <c r="L968" i="101"/>
  <c r="H968" i="101"/>
  <c r="D968" i="101"/>
  <c r="L967" i="101"/>
  <c r="H967" i="101"/>
  <c r="D967" i="101"/>
  <c r="L966" i="101"/>
  <c r="H966" i="101"/>
  <c r="D966" i="101"/>
  <c r="L965" i="101"/>
  <c r="H965" i="101"/>
  <c r="D965" i="101"/>
  <c r="L964" i="101"/>
  <c r="H964" i="101"/>
  <c r="D964" i="101"/>
  <c r="L963" i="101"/>
  <c r="H963" i="101"/>
  <c r="D963" i="101"/>
  <c r="L962" i="101"/>
  <c r="H962" i="101"/>
  <c r="D962" i="101"/>
  <c r="L961" i="101"/>
  <c r="H961" i="101"/>
  <c r="D961" i="101"/>
  <c r="K954" i="101"/>
  <c r="J954" i="101"/>
  <c r="G954" i="101"/>
  <c r="F954" i="101"/>
  <c r="C954" i="101"/>
  <c r="B954" i="101"/>
  <c r="L952" i="101"/>
  <c r="H952" i="101"/>
  <c r="D952" i="101"/>
  <c r="L951" i="101"/>
  <c r="H951" i="101"/>
  <c r="D951" i="101"/>
  <c r="L950" i="101"/>
  <c r="H950" i="101"/>
  <c r="D950" i="101"/>
  <c r="L949" i="101"/>
  <c r="H949" i="101"/>
  <c r="D949" i="101"/>
  <c r="L948" i="101"/>
  <c r="H948" i="101"/>
  <c r="D948" i="101"/>
  <c r="L947" i="101"/>
  <c r="H947" i="101"/>
  <c r="D947" i="101"/>
  <c r="L946" i="101"/>
  <c r="H946" i="101"/>
  <c r="D946" i="101"/>
  <c r="L945" i="101"/>
  <c r="H945" i="101"/>
  <c r="D945" i="101"/>
  <c r="L944" i="101"/>
  <c r="H944" i="101"/>
  <c r="D944" i="101"/>
  <c r="K937" i="101"/>
  <c r="J937" i="101"/>
  <c r="G937" i="101"/>
  <c r="F937" i="101"/>
  <c r="C937" i="101"/>
  <c r="B937" i="101"/>
  <c r="L935" i="101"/>
  <c r="H935" i="101"/>
  <c r="D935" i="101"/>
  <c r="L934" i="101"/>
  <c r="H934" i="101"/>
  <c r="D934" i="101"/>
  <c r="L933" i="101"/>
  <c r="H933" i="101"/>
  <c r="D933" i="101"/>
  <c r="L932" i="101"/>
  <c r="H932" i="101"/>
  <c r="D932" i="101"/>
  <c r="L931" i="101"/>
  <c r="H931" i="101"/>
  <c r="D931" i="101"/>
  <c r="L930" i="101"/>
  <c r="H930" i="101"/>
  <c r="D930" i="101"/>
  <c r="L929" i="101"/>
  <c r="H929" i="101"/>
  <c r="D929" i="101"/>
  <c r="L928" i="101"/>
  <c r="H928" i="101"/>
  <c r="D928" i="101"/>
  <c r="L927" i="101"/>
  <c r="H927" i="101"/>
  <c r="D927" i="101"/>
  <c r="K920" i="101"/>
  <c r="J920" i="101"/>
  <c r="G920" i="101"/>
  <c r="F920" i="101"/>
  <c r="C920" i="101"/>
  <c r="B920" i="101"/>
  <c r="L918" i="101"/>
  <c r="H918" i="101"/>
  <c r="D918" i="101"/>
  <c r="L917" i="101"/>
  <c r="H917" i="101"/>
  <c r="D917" i="101"/>
  <c r="L916" i="101"/>
  <c r="H916" i="101"/>
  <c r="D916" i="101"/>
  <c r="L915" i="101"/>
  <c r="H915" i="101"/>
  <c r="D915" i="101"/>
  <c r="L914" i="101"/>
  <c r="H914" i="101"/>
  <c r="D914" i="101"/>
  <c r="L913" i="101"/>
  <c r="H913" i="101"/>
  <c r="D913" i="101"/>
  <c r="L912" i="101"/>
  <c r="H912" i="101"/>
  <c r="D912" i="101"/>
  <c r="L911" i="101"/>
  <c r="H911" i="101"/>
  <c r="D911" i="101"/>
  <c r="L910" i="101"/>
  <c r="H910" i="101"/>
  <c r="D910" i="101"/>
  <c r="K903" i="101"/>
  <c r="J903" i="101"/>
  <c r="G903" i="101"/>
  <c r="F903" i="101"/>
  <c r="C903" i="101"/>
  <c r="B903" i="101"/>
  <c r="L901" i="101"/>
  <c r="H901" i="101"/>
  <c r="D901" i="101"/>
  <c r="L900" i="101"/>
  <c r="H900" i="101"/>
  <c r="D900" i="101"/>
  <c r="L899" i="101"/>
  <c r="H899" i="101"/>
  <c r="D899" i="101"/>
  <c r="L898" i="101"/>
  <c r="H898" i="101"/>
  <c r="D898" i="101"/>
  <c r="L897" i="101"/>
  <c r="H897" i="101"/>
  <c r="D897" i="101"/>
  <c r="L896" i="101"/>
  <c r="H896" i="101"/>
  <c r="D896" i="101"/>
  <c r="L895" i="101"/>
  <c r="H895" i="101"/>
  <c r="D895" i="101"/>
  <c r="L894" i="101"/>
  <c r="H894" i="101"/>
  <c r="D894" i="101"/>
  <c r="L893" i="101"/>
  <c r="H893" i="101"/>
  <c r="D893" i="101"/>
  <c r="K886" i="101"/>
  <c r="J886" i="101"/>
  <c r="G886" i="101"/>
  <c r="F886" i="101"/>
  <c r="C886" i="101"/>
  <c r="B886" i="101"/>
  <c r="L884" i="101"/>
  <c r="H884" i="101"/>
  <c r="D884" i="101"/>
  <c r="L883" i="101"/>
  <c r="H883" i="101"/>
  <c r="D883" i="101"/>
  <c r="L882" i="101"/>
  <c r="H882" i="101"/>
  <c r="D882" i="101"/>
  <c r="L881" i="101"/>
  <c r="H881" i="101"/>
  <c r="D881" i="101"/>
  <c r="L880" i="101"/>
  <c r="H880" i="101"/>
  <c r="D880" i="101"/>
  <c r="L879" i="101"/>
  <c r="H879" i="101"/>
  <c r="D879" i="101"/>
  <c r="L878" i="101"/>
  <c r="H878" i="101"/>
  <c r="D878" i="101"/>
  <c r="L877" i="101"/>
  <c r="H877" i="101"/>
  <c r="D877" i="101"/>
  <c r="L876" i="101"/>
  <c r="H876" i="101"/>
  <c r="D876" i="101"/>
  <c r="K869" i="101"/>
  <c r="J869" i="101"/>
  <c r="G869" i="101"/>
  <c r="F869" i="101"/>
  <c r="C869" i="101"/>
  <c r="B869" i="101"/>
  <c r="L867" i="101"/>
  <c r="H867" i="101"/>
  <c r="D867" i="101"/>
  <c r="L866" i="101"/>
  <c r="H866" i="101"/>
  <c r="D866" i="101"/>
  <c r="L865" i="101"/>
  <c r="H865" i="101"/>
  <c r="D865" i="101"/>
  <c r="L864" i="101"/>
  <c r="H864" i="101"/>
  <c r="D864" i="101"/>
  <c r="L863" i="101"/>
  <c r="H863" i="101"/>
  <c r="D863" i="101"/>
  <c r="L862" i="101"/>
  <c r="H862" i="101"/>
  <c r="D862" i="101"/>
  <c r="L861" i="101"/>
  <c r="H861" i="101"/>
  <c r="D861" i="101"/>
  <c r="L860" i="101"/>
  <c r="H860" i="101"/>
  <c r="D860" i="101"/>
  <c r="L859" i="101"/>
  <c r="H859" i="101"/>
  <c r="D859" i="101"/>
  <c r="K852" i="101"/>
  <c r="J852" i="101"/>
  <c r="G852" i="101"/>
  <c r="F852" i="101"/>
  <c r="C852" i="101"/>
  <c r="B852" i="101"/>
  <c r="L850" i="101"/>
  <c r="H850" i="101"/>
  <c r="D850" i="101"/>
  <c r="L849" i="101"/>
  <c r="H849" i="101"/>
  <c r="D849" i="101"/>
  <c r="L848" i="101"/>
  <c r="H848" i="101"/>
  <c r="D848" i="101"/>
  <c r="L847" i="101"/>
  <c r="H847" i="101"/>
  <c r="D847" i="101"/>
  <c r="L846" i="101"/>
  <c r="H846" i="101"/>
  <c r="D846" i="101"/>
  <c r="L845" i="101"/>
  <c r="H845" i="101"/>
  <c r="D845" i="101"/>
  <c r="L844" i="101"/>
  <c r="H844" i="101"/>
  <c r="D844" i="101"/>
  <c r="L843" i="101"/>
  <c r="H843" i="101"/>
  <c r="D843" i="101"/>
  <c r="L842" i="101"/>
  <c r="H842" i="101"/>
  <c r="D842" i="101"/>
  <c r="K835" i="101"/>
  <c r="J835" i="101"/>
  <c r="G835" i="101"/>
  <c r="F835" i="101"/>
  <c r="C835" i="101"/>
  <c r="B835" i="101"/>
  <c r="L833" i="101"/>
  <c r="H833" i="101"/>
  <c r="D833" i="101"/>
  <c r="L832" i="101"/>
  <c r="H832" i="101"/>
  <c r="D832" i="101"/>
  <c r="L831" i="101"/>
  <c r="H831" i="101"/>
  <c r="D831" i="101"/>
  <c r="L830" i="101"/>
  <c r="H830" i="101"/>
  <c r="D830" i="101"/>
  <c r="L829" i="101"/>
  <c r="H829" i="101"/>
  <c r="D829" i="101"/>
  <c r="L828" i="101"/>
  <c r="H828" i="101"/>
  <c r="D828" i="101"/>
  <c r="L827" i="101"/>
  <c r="H827" i="101"/>
  <c r="D827" i="101"/>
  <c r="L826" i="101"/>
  <c r="H826" i="101"/>
  <c r="D826" i="101"/>
  <c r="L825" i="101"/>
  <c r="H825" i="101"/>
  <c r="D825" i="101"/>
  <c r="K818" i="101"/>
  <c r="J818" i="101"/>
  <c r="G818" i="101"/>
  <c r="F818" i="101"/>
  <c r="C818" i="101"/>
  <c r="B818" i="101"/>
  <c r="L816" i="101"/>
  <c r="H816" i="101"/>
  <c r="D816" i="101"/>
  <c r="L815" i="101"/>
  <c r="H815" i="101"/>
  <c r="D815" i="101"/>
  <c r="L814" i="101"/>
  <c r="H814" i="101"/>
  <c r="D814" i="101"/>
  <c r="L813" i="101"/>
  <c r="H813" i="101"/>
  <c r="D813" i="101"/>
  <c r="L812" i="101"/>
  <c r="H812" i="101"/>
  <c r="D812" i="101"/>
  <c r="L811" i="101"/>
  <c r="H811" i="101"/>
  <c r="D811" i="101"/>
  <c r="L810" i="101"/>
  <c r="H810" i="101"/>
  <c r="D810" i="101"/>
  <c r="L809" i="101"/>
  <c r="H809" i="101"/>
  <c r="D809" i="101"/>
  <c r="L808" i="101"/>
  <c r="H808" i="101"/>
  <c r="D808" i="101"/>
  <c r="K801" i="101"/>
  <c r="J801" i="101"/>
  <c r="G801" i="101"/>
  <c r="F801" i="101"/>
  <c r="C801" i="101"/>
  <c r="B801" i="101"/>
  <c r="L799" i="101"/>
  <c r="H799" i="101"/>
  <c r="D799" i="101"/>
  <c r="L798" i="101"/>
  <c r="H798" i="101"/>
  <c r="D798" i="101"/>
  <c r="L797" i="101"/>
  <c r="H797" i="101"/>
  <c r="D797" i="101"/>
  <c r="L796" i="101"/>
  <c r="H796" i="101"/>
  <c r="D796" i="101"/>
  <c r="L795" i="101"/>
  <c r="H795" i="101"/>
  <c r="D795" i="101"/>
  <c r="L794" i="101"/>
  <c r="H794" i="101"/>
  <c r="D794" i="101"/>
  <c r="L793" i="101"/>
  <c r="H793" i="101"/>
  <c r="D793" i="101"/>
  <c r="L792" i="101"/>
  <c r="H792" i="101"/>
  <c r="D792" i="101"/>
  <c r="L791" i="101"/>
  <c r="H791" i="101"/>
  <c r="D791" i="101"/>
  <c r="K784" i="101"/>
  <c r="J784" i="101"/>
  <c r="G784" i="101"/>
  <c r="F784" i="101"/>
  <c r="C784" i="101"/>
  <c r="B784" i="101"/>
  <c r="L782" i="101"/>
  <c r="H782" i="101"/>
  <c r="D782" i="101"/>
  <c r="L781" i="101"/>
  <c r="H781" i="101"/>
  <c r="D781" i="101"/>
  <c r="L780" i="101"/>
  <c r="H780" i="101"/>
  <c r="D780" i="101"/>
  <c r="L779" i="101"/>
  <c r="H779" i="101"/>
  <c r="D779" i="101"/>
  <c r="L778" i="101"/>
  <c r="H778" i="101"/>
  <c r="D778" i="101"/>
  <c r="L777" i="101"/>
  <c r="H777" i="101"/>
  <c r="D777" i="101"/>
  <c r="L776" i="101"/>
  <c r="H776" i="101"/>
  <c r="D776" i="101"/>
  <c r="L775" i="101"/>
  <c r="H775" i="101"/>
  <c r="D775" i="101"/>
  <c r="L774" i="101"/>
  <c r="H774" i="101"/>
  <c r="D774" i="101"/>
  <c r="K767" i="101"/>
  <c r="J767" i="101"/>
  <c r="G767" i="101"/>
  <c r="F767" i="101"/>
  <c r="C767" i="101"/>
  <c r="B767" i="101"/>
  <c r="L765" i="101"/>
  <c r="H765" i="101"/>
  <c r="D765" i="101"/>
  <c r="L764" i="101"/>
  <c r="H764" i="101"/>
  <c r="D764" i="101"/>
  <c r="L763" i="101"/>
  <c r="H763" i="101"/>
  <c r="D763" i="101"/>
  <c r="L762" i="101"/>
  <c r="H762" i="101"/>
  <c r="D762" i="101"/>
  <c r="L761" i="101"/>
  <c r="H761" i="101"/>
  <c r="D761" i="101"/>
  <c r="L760" i="101"/>
  <c r="H760" i="101"/>
  <c r="D760" i="101"/>
  <c r="L759" i="101"/>
  <c r="H759" i="101"/>
  <c r="D759" i="101"/>
  <c r="L758" i="101"/>
  <c r="H758" i="101"/>
  <c r="D758" i="101"/>
  <c r="L757" i="101"/>
  <c r="H757" i="101"/>
  <c r="D757" i="101"/>
  <c r="K750" i="101"/>
  <c r="J750" i="101"/>
  <c r="G750" i="101"/>
  <c r="F750" i="101"/>
  <c r="C750" i="101"/>
  <c r="B750" i="101"/>
  <c r="L748" i="101"/>
  <c r="H748" i="101"/>
  <c r="D748" i="101"/>
  <c r="L747" i="101"/>
  <c r="H747" i="101"/>
  <c r="D747" i="101"/>
  <c r="L746" i="101"/>
  <c r="H746" i="101"/>
  <c r="D746" i="101"/>
  <c r="L745" i="101"/>
  <c r="H745" i="101"/>
  <c r="D745" i="101"/>
  <c r="L744" i="101"/>
  <c r="H744" i="101"/>
  <c r="D744" i="101"/>
  <c r="L743" i="101"/>
  <c r="H743" i="101"/>
  <c r="D743" i="101"/>
  <c r="L742" i="101"/>
  <c r="H742" i="101"/>
  <c r="D742" i="101"/>
  <c r="L741" i="101"/>
  <c r="H741" i="101"/>
  <c r="D741" i="101"/>
  <c r="L740" i="101"/>
  <c r="H740" i="101"/>
  <c r="D740" i="101"/>
  <c r="K733" i="101"/>
  <c r="J733" i="101"/>
  <c r="G733" i="101"/>
  <c r="F733" i="101"/>
  <c r="C733" i="101"/>
  <c r="B733" i="101"/>
  <c r="L731" i="101"/>
  <c r="H731" i="101"/>
  <c r="D731" i="101"/>
  <c r="L730" i="101"/>
  <c r="H730" i="101"/>
  <c r="D730" i="101"/>
  <c r="L729" i="101"/>
  <c r="H729" i="101"/>
  <c r="D729" i="101"/>
  <c r="L728" i="101"/>
  <c r="H728" i="101"/>
  <c r="D728" i="101"/>
  <c r="L727" i="101"/>
  <c r="H727" i="101"/>
  <c r="D727" i="101"/>
  <c r="L726" i="101"/>
  <c r="H726" i="101"/>
  <c r="D726" i="101"/>
  <c r="L725" i="101"/>
  <c r="H725" i="101"/>
  <c r="D725" i="101"/>
  <c r="L724" i="101"/>
  <c r="H724" i="101"/>
  <c r="D724" i="101"/>
  <c r="L723" i="101"/>
  <c r="H723" i="101"/>
  <c r="D723" i="101"/>
  <c r="K716" i="101"/>
  <c r="J716" i="101"/>
  <c r="G716" i="101"/>
  <c r="F716" i="101"/>
  <c r="C716" i="101"/>
  <c r="L714" i="101"/>
  <c r="H714" i="101"/>
  <c r="D714" i="101"/>
  <c r="L713" i="101"/>
  <c r="H713" i="101"/>
  <c r="D713" i="101"/>
  <c r="L712" i="101"/>
  <c r="H712" i="101"/>
  <c r="D712" i="101"/>
  <c r="L711" i="101"/>
  <c r="H711" i="101"/>
  <c r="D711" i="101"/>
  <c r="L710" i="101"/>
  <c r="H710" i="101"/>
  <c r="D710" i="101"/>
  <c r="L709" i="101"/>
  <c r="H709" i="101"/>
  <c r="D709" i="101"/>
  <c r="L708" i="101"/>
  <c r="H708" i="101"/>
  <c r="D708" i="101"/>
  <c r="L707" i="101"/>
  <c r="H707" i="101"/>
  <c r="D707" i="101"/>
  <c r="H706" i="101"/>
  <c r="D706" i="101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K17" i="101"/>
  <c r="J17" i="101"/>
  <c r="K16" i="101"/>
  <c r="J16" i="101"/>
  <c r="K15" i="101"/>
  <c r="J15" i="101"/>
  <c r="K14" i="101"/>
  <c r="J14" i="101"/>
  <c r="K13" i="101"/>
  <c r="J13" i="101"/>
  <c r="K12" i="101"/>
  <c r="J12" i="101"/>
  <c r="K11" i="101"/>
  <c r="J11" i="101"/>
  <c r="K10" i="101"/>
  <c r="J10" i="101"/>
  <c r="K9" i="101"/>
  <c r="J9" i="101"/>
  <c r="G17" i="101"/>
  <c r="F17" i="101"/>
  <c r="G16" i="101"/>
  <c r="F16" i="101"/>
  <c r="G15" i="101"/>
  <c r="F15" i="101"/>
  <c r="G14" i="101"/>
  <c r="F14" i="101"/>
  <c r="G13" i="101"/>
  <c r="F13" i="101"/>
  <c r="G12" i="101"/>
  <c r="F12" i="101"/>
  <c r="G11" i="101"/>
  <c r="F11" i="101"/>
  <c r="G10" i="101"/>
  <c r="F10" i="101"/>
  <c r="G9" i="101"/>
  <c r="F9" i="101"/>
  <c r="B10" i="101"/>
  <c r="C10" i="101"/>
  <c r="B11" i="101"/>
  <c r="C11" i="101"/>
  <c r="B12" i="101"/>
  <c r="C12" i="101"/>
  <c r="B13" i="101"/>
  <c r="C13" i="101"/>
  <c r="B14" i="101"/>
  <c r="C14" i="101"/>
  <c r="B15" i="101"/>
  <c r="C15" i="101"/>
  <c r="B16" i="101"/>
  <c r="C16" i="101"/>
  <c r="B17" i="101"/>
  <c r="C17" i="101"/>
  <c r="C9" i="101"/>
  <c r="B19" i="103" l="1"/>
  <c r="E36" i="103"/>
  <c r="J36" i="103"/>
  <c r="O36" i="103"/>
  <c r="L36" i="101"/>
  <c r="D801" i="101"/>
  <c r="D818" i="101"/>
  <c r="L818" i="101"/>
  <c r="D1073" i="101"/>
  <c r="L1107" i="101"/>
  <c r="H1209" i="101"/>
  <c r="D1209" i="101"/>
  <c r="D36" i="101"/>
  <c r="L1243" i="101"/>
  <c r="L971" i="101"/>
  <c r="H937" i="101"/>
  <c r="D937" i="101"/>
  <c r="L716" i="101"/>
  <c r="L852" i="101"/>
  <c r="H1090" i="101"/>
  <c r="L1124" i="101"/>
  <c r="H1226" i="101"/>
  <c r="L733" i="101"/>
  <c r="H835" i="101"/>
  <c r="L869" i="101"/>
  <c r="H971" i="101"/>
  <c r="D971" i="101"/>
  <c r="L1005" i="101"/>
  <c r="H1107" i="101"/>
  <c r="D1107" i="101"/>
  <c r="L1141" i="101"/>
  <c r="H1158" i="101"/>
  <c r="H1243" i="101"/>
  <c r="D1243" i="101"/>
  <c r="L1277" i="101"/>
  <c r="H1294" i="101"/>
  <c r="D53" i="101"/>
  <c r="L750" i="101"/>
  <c r="H767" i="101"/>
  <c r="H852" i="101"/>
  <c r="D852" i="101"/>
  <c r="L886" i="101"/>
  <c r="H988" i="101"/>
  <c r="D988" i="101"/>
  <c r="L1022" i="101"/>
  <c r="H1124" i="101"/>
  <c r="D1124" i="101"/>
  <c r="L1158" i="101"/>
  <c r="H1260" i="101"/>
  <c r="D1260" i="101"/>
  <c r="L1294" i="101"/>
  <c r="H818" i="101"/>
  <c r="L835" i="101"/>
  <c r="H954" i="101"/>
  <c r="D1090" i="101"/>
  <c r="H36" i="101"/>
  <c r="D716" i="101"/>
  <c r="H869" i="101"/>
  <c r="H1005" i="101"/>
  <c r="H1056" i="101"/>
  <c r="D1141" i="101"/>
  <c r="H1277" i="101"/>
  <c r="L53" i="101"/>
  <c r="D70" i="101"/>
  <c r="H750" i="101"/>
  <c r="D750" i="101"/>
  <c r="L784" i="101"/>
  <c r="H801" i="101"/>
  <c r="H886" i="101"/>
  <c r="D886" i="101"/>
  <c r="D954" i="101"/>
  <c r="H1022" i="101"/>
  <c r="D1022" i="101"/>
  <c r="L1056" i="101"/>
  <c r="H1073" i="101"/>
  <c r="D1158" i="101"/>
  <c r="L1192" i="101"/>
  <c r="D1226" i="101"/>
  <c r="D1294" i="101"/>
  <c r="D835" i="101"/>
  <c r="L988" i="101"/>
  <c r="H53" i="101"/>
  <c r="D733" i="101"/>
  <c r="D869" i="101"/>
  <c r="H1141" i="101"/>
  <c r="L1175" i="101"/>
  <c r="H70" i="101"/>
  <c r="D767" i="101"/>
  <c r="L801" i="101"/>
  <c r="H903" i="101"/>
  <c r="D903" i="101"/>
  <c r="D920" i="101"/>
  <c r="L920" i="101"/>
  <c r="L937" i="101"/>
  <c r="H1039" i="101"/>
  <c r="D1039" i="101"/>
  <c r="L1073" i="101"/>
  <c r="H1175" i="101"/>
  <c r="D1175" i="101"/>
  <c r="L1209" i="101"/>
  <c r="L1260" i="101"/>
  <c r="H716" i="101"/>
  <c r="H733" i="101"/>
  <c r="L903" i="101"/>
  <c r="D1005" i="101"/>
  <c r="D1277" i="101"/>
  <c r="L70" i="101"/>
  <c r="L767" i="101"/>
  <c r="H784" i="101"/>
  <c r="D784" i="101"/>
  <c r="H920" i="101"/>
  <c r="L954" i="101"/>
  <c r="L1039" i="101"/>
  <c r="D1056" i="101"/>
  <c r="L1090" i="101"/>
  <c r="H1192" i="101"/>
  <c r="D1192" i="101"/>
  <c r="L1226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546" i="102"/>
  <c r="T546" i="102"/>
  <c r="O546" i="102"/>
  <c r="J546" i="102"/>
  <c r="E546" i="102"/>
  <c r="V545" i="102"/>
  <c r="Q545" i="102"/>
  <c r="L545" i="102"/>
  <c r="G545" i="102"/>
  <c r="B545" i="102"/>
  <c r="Y516" i="102"/>
  <c r="T516" i="102"/>
  <c r="O516" i="102"/>
  <c r="J516" i="102"/>
  <c r="E516" i="102"/>
  <c r="V515" i="102"/>
  <c r="Q515" i="102"/>
  <c r="L515" i="102"/>
  <c r="G515" i="102"/>
  <c r="B515" i="102"/>
  <c r="Y491" i="102"/>
  <c r="T491" i="102"/>
  <c r="O491" i="102"/>
  <c r="J491" i="102"/>
  <c r="E491" i="102"/>
  <c r="V490" i="102"/>
  <c r="Q490" i="102"/>
  <c r="L490" i="102"/>
  <c r="G490" i="102"/>
  <c r="B490" i="102"/>
  <c r="Y481" i="102"/>
  <c r="T481" i="102"/>
  <c r="O481" i="102"/>
  <c r="J481" i="102"/>
  <c r="E481" i="102"/>
  <c r="V480" i="102"/>
  <c r="Q480" i="102"/>
  <c r="L480" i="102"/>
  <c r="G480" i="102"/>
  <c r="B480" i="102"/>
  <c r="Y471" i="102"/>
  <c r="T471" i="102"/>
  <c r="O471" i="102"/>
  <c r="J471" i="102"/>
  <c r="E471" i="102"/>
  <c r="V470" i="102"/>
  <c r="Q470" i="102"/>
  <c r="L470" i="102"/>
  <c r="G470" i="102"/>
  <c r="B470" i="102"/>
  <c r="Y431" i="102"/>
  <c r="T431" i="102"/>
  <c r="O431" i="102"/>
  <c r="J431" i="102"/>
  <c r="E431" i="102"/>
  <c r="V430" i="102"/>
  <c r="Q430" i="102"/>
  <c r="L430" i="102"/>
  <c r="G430" i="102"/>
  <c r="B430" i="102"/>
  <c r="Y386" i="102"/>
  <c r="T386" i="102"/>
  <c r="O386" i="102"/>
  <c r="J386" i="102"/>
  <c r="E386" i="102"/>
  <c r="V385" i="102"/>
  <c r="Q385" i="102"/>
  <c r="L385" i="102"/>
  <c r="G385" i="102"/>
  <c r="B385" i="102"/>
  <c r="Y376" i="102"/>
  <c r="T376" i="102"/>
  <c r="O376" i="102"/>
  <c r="J376" i="102"/>
  <c r="E376" i="102"/>
  <c r="V375" i="102"/>
  <c r="Q375" i="102"/>
  <c r="L375" i="102"/>
  <c r="G375" i="102"/>
  <c r="B375" i="102"/>
  <c r="Y351" i="102"/>
  <c r="T351" i="102"/>
  <c r="O351" i="102"/>
  <c r="J351" i="102"/>
  <c r="E351" i="102"/>
  <c r="V350" i="102"/>
  <c r="Q350" i="102"/>
  <c r="L350" i="102"/>
  <c r="G350" i="102"/>
  <c r="B350" i="102"/>
  <c r="Y326" i="102"/>
  <c r="T326" i="102"/>
  <c r="O326" i="102"/>
  <c r="J326" i="102"/>
  <c r="E326" i="102"/>
  <c r="V325" i="102"/>
  <c r="Q325" i="102"/>
  <c r="L325" i="102"/>
  <c r="G325" i="102"/>
  <c r="B325" i="102"/>
  <c r="Y301" i="102"/>
  <c r="T301" i="102"/>
  <c r="O301" i="102"/>
  <c r="J301" i="102"/>
  <c r="E301" i="102"/>
  <c r="V300" i="102"/>
  <c r="Q300" i="102"/>
  <c r="L300" i="102"/>
  <c r="G300" i="102"/>
  <c r="B300" i="102"/>
  <c r="Y281" i="102"/>
  <c r="T281" i="102"/>
  <c r="O281" i="102"/>
  <c r="J281" i="102"/>
  <c r="E281" i="102"/>
  <c r="V280" i="102"/>
  <c r="Q280" i="102"/>
  <c r="L280" i="102"/>
  <c r="G280" i="102"/>
  <c r="B280" i="102"/>
  <c r="Y246" i="102"/>
  <c r="T246" i="102"/>
  <c r="O246" i="102"/>
  <c r="J246" i="102"/>
  <c r="E246" i="102"/>
  <c r="V245" i="102"/>
  <c r="Q245" i="102"/>
  <c r="L245" i="102"/>
  <c r="G245" i="102"/>
  <c r="B245" i="102"/>
  <c r="Y221" i="102"/>
  <c r="T221" i="102"/>
  <c r="O221" i="102"/>
  <c r="J221" i="102"/>
  <c r="E221" i="102"/>
  <c r="V220" i="102"/>
  <c r="Q220" i="102"/>
  <c r="L220" i="102"/>
  <c r="G220" i="102"/>
  <c r="B220" i="102"/>
  <c r="Y196" i="102"/>
  <c r="T196" i="102"/>
  <c r="O196" i="102"/>
  <c r="J196" i="102"/>
  <c r="E196" i="102"/>
  <c r="V195" i="102"/>
  <c r="Q195" i="102"/>
  <c r="L195" i="102"/>
  <c r="G195" i="102"/>
  <c r="B195" i="102"/>
  <c r="Y171" i="102"/>
  <c r="T171" i="102"/>
  <c r="O171" i="102"/>
  <c r="J171" i="102"/>
  <c r="E171" i="102"/>
  <c r="V170" i="102"/>
  <c r="Q170" i="102"/>
  <c r="L170" i="102"/>
  <c r="G170" i="102"/>
  <c r="B170" i="102"/>
  <c r="Y161" i="102"/>
  <c r="T161" i="102"/>
  <c r="O161" i="102"/>
  <c r="J161" i="102"/>
  <c r="E161" i="102"/>
  <c r="V160" i="102"/>
  <c r="Q160" i="102"/>
  <c r="L160" i="102"/>
  <c r="G160" i="102"/>
  <c r="B160" i="102"/>
  <c r="Y71" i="102"/>
  <c r="T71" i="102"/>
  <c r="O71" i="102"/>
  <c r="J71" i="102"/>
  <c r="E71" i="102"/>
  <c r="V70" i="102"/>
  <c r="Q70" i="102"/>
  <c r="L70" i="102"/>
  <c r="G70" i="102"/>
  <c r="B70" i="102"/>
  <c r="Y46" i="102"/>
  <c r="T46" i="102"/>
  <c r="O46" i="102"/>
  <c r="J46" i="102"/>
  <c r="E46" i="102"/>
  <c r="V45" i="102"/>
  <c r="Q45" i="102"/>
  <c r="L45" i="102"/>
  <c r="G45" i="102"/>
  <c r="B45" i="102"/>
  <c r="Y26" i="102"/>
  <c r="T26" i="102"/>
  <c r="O26" i="102"/>
  <c r="J26" i="102"/>
  <c r="E26" i="102"/>
  <c r="V25" i="102"/>
  <c r="Q25" i="102"/>
  <c r="L25" i="102"/>
  <c r="G25" i="102"/>
  <c r="B25" i="102"/>
  <c r="Q15" i="102"/>
  <c r="T16" i="102"/>
  <c r="S6" i="102"/>
  <c r="R6" i="102"/>
  <c r="Q6" i="102"/>
  <c r="G15" i="102"/>
  <c r="J16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K99" i="104" l="1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B9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K19" i="104" l="1"/>
  <c r="K14" i="104"/>
  <c r="K9" i="104"/>
  <c r="E119" i="104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N73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E83" i="104" l="1"/>
  <c r="I84" i="104"/>
  <c r="C83" i="104"/>
  <c r="E82" i="104"/>
  <c r="G82" i="104"/>
  <c r="G83" i="104"/>
  <c r="C82" i="104"/>
  <c r="G79" i="104"/>
  <c r="C104" i="104"/>
  <c r="E79" i="104"/>
  <c r="C37" i="104"/>
  <c r="E105" i="104"/>
  <c r="G103" i="104"/>
  <c r="C105" i="104"/>
  <c r="G104" i="104"/>
  <c r="E103" i="104"/>
  <c r="G105" i="104"/>
  <c r="C103" i="104"/>
  <c r="I103" i="104"/>
  <c r="G99" i="104"/>
  <c r="E104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1292" i="103" l="1"/>
  <c r="A1291" i="103"/>
  <c r="A1290" i="103"/>
  <c r="A1289" i="103"/>
  <c r="A1288" i="103"/>
  <c r="A1287" i="103"/>
  <c r="A1286" i="103"/>
  <c r="A1285" i="103"/>
  <c r="A1284" i="103"/>
  <c r="A1281" i="103"/>
  <c r="A1275" i="103"/>
  <c r="A1274" i="103"/>
  <c r="A1273" i="103"/>
  <c r="A1272" i="103"/>
  <c r="A1271" i="103"/>
  <c r="A1270" i="103"/>
  <c r="A1269" i="103"/>
  <c r="A1268" i="103"/>
  <c r="A1267" i="103"/>
  <c r="A1264" i="103"/>
  <c r="A1258" i="103"/>
  <c r="A1257" i="103"/>
  <c r="A1256" i="103"/>
  <c r="A1255" i="103"/>
  <c r="A1254" i="103"/>
  <c r="A1253" i="103"/>
  <c r="A1252" i="103"/>
  <c r="A1251" i="103"/>
  <c r="A1250" i="103"/>
  <c r="A1247" i="103"/>
  <c r="A1241" i="103"/>
  <c r="A1240" i="103"/>
  <c r="A1239" i="103"/>
  <c r="A1238" i="103"/>
  <c r="A1237" i="103"/>
  <c r="A1236" i="103"/>
  <c r="A1235" i="103"/>
  <c r="A1234" i="103"/>
  <c r="A1233" i="103"/>
  <c r="A1230" i="103"/>
  <c r="A1224" i="103"/>
  <c r="A1223" i="103"/>
  <c r="A1222" i="103"/>
  <c r="A1221" i="103"/>
  <c r="A1220" i="103"/>
  <c r="A1219" i="103"/>
  <c r="A1218" i="103"/>
  <c r="A1217" i="103"/>
  <c r="A1216" i="103"/>
  <c r="A1213" i="103"/>
  <c r="A1207" i="103"/>
  <c r="A1206" i="103"/>
  <c r="A1205" i="103"/>
  <c r="A1204" i="103"/>
  <c r="A1203" i="103"/>
  <c r="A1202" i="103"/>
  <c r="A1201" i="103"/>
  <c r="A1200" i="103"/>
  <c r="A1199" i="103"/>
  <c r="A1196" i="103"/>
  <c r="A1190" i="103"/>
  <c r="A1189" i="103"/>
  <c r="A1188" i="103"/>
  <c r="A1187" i="103"/>
  <c r="A1186" i="103"/>
  <c r="A1185" i="103"/>
  <c r="A1184" i="103"/>
  <c r="A1183" i="103"/>
  <c r="A1182" i="103"/>
  <c r="A1179" i="103"/>
  <c r="A1173" i="103"/>
  <c r="A1172" i="103"/>
  <c r="A1171" i="103"/>
  <c r="A1170" i="103"/>
  <c r="A1169" i="103"/>
  <c r="A1168" i="103"/>
  <c r="A1167" i="103"/>
  <c r="A1166" i="103"/>
  <c r="A1165" i="103"/>
  <c r="A1162" i="103"/>
  <c r="A1156" i="103"/>
  <c r="A1155" i="103"/>
  <c r="A1154" i="103"/>
  <c r="A1153" i="103"/>
  <c r="A1152" i="103"/>
  <c r="A1151" i="103"/>
  <c r="A1150" i="103"/>
  <c r="A1149" i="103"/>
  <c r="A1148" i="103"/>
  <c r="A1145" i="103"/>
  <c r="A1139" i="103"/>
  <c r="A1138" i="103"/>
  <c r="A1137" i="103"/>
  <c r="A1136" i="103"/>
  <c r="A1135" i="103"/>
  <c r="A1134" i="103"/>
  <c r="A1133" i="103"/>
  <c r="A1132" i="103"/>
  <c r="A1131" i="103"/>
  <c r="A1128" i="103"/>
  <c r="A1122" i="103"/>
  <c r="A1121" i="103"/>
  <c r="A1120" i="103"/>
  <c r="A1119" i="103"/>
  <c r="A1118" i="103"/>
  <c r="A1117" i="103"/>
  <c r="A1116" i="103"/>
  <c r="A1115" i="103"/>
  <c r="A1114" i="103"/>
  <c r="A1111" i="103"/>
  <c r="A1105" i="103"/>
  <c r="A1104" i="103"/>
  <c r="A1103" i="103"/>
  <c r="A1102" i="103"/>
  <c r="A1101" i="103"/>
  <c r="A1100" i="103"/>
  <c r="A1099" i="103"/>
  <c r="A1098" i="103"/>
  <c r="A1097" i="103"/>
  <c r="A1094" i="103"/>
  <c r="A1088" i="103"/>
  <c r="A1087" i="103"/>
  <c r="A1086" i="103"/>
  <c r="A1085" i="103"/>
  <c r="A1084" i="103"/>
  <c r="A1083" i="103"/>
  <c r="A1082" i="103"/>
  <c r="A1081" i="103"/>
  <c r="A1080" i="103"/>
  <c r="A1077" i="103"/>
  <c r="A1071" i="103"/>
  <c r="A1070" i="103"/>
  <c r="A1069" i="103"/>
  <c r="A1068" i="103"/>
  <c r="A1067" i="103"/>
  <c r="A1066" i="103"/>
  <c r="A1065" i="103"/>
  <c r="A1064" i="103"/>
  <c r="A1063" i="103"/>
  <c r="A1060" i="103"/>
  <c r="A1054" i="103"/>
  <c r="A1053" i="103"/>
  <c r="A1052" i="103"/>
  <c r="A1051" i="103"/>
  <c r="A1050" i="103"/>
  <c r="A1049" i="103"/>
  <c r="A1048" i="103"/>
  <c r="A1047" i="103"/>
  <c r="A1046" i="103"/>
  <c r="A1043" i="103"/>
  <c r="A1037" i="103"/>
  <c r="A1036" i="103"/>
  <c r="A1035" i="103"/>
  <c r="A1034" i="103"/>
  <c r="A1033" i="103"/>
  <c r="A1032" i="103"/>
  <c r="A1031" i="103"/>
  <c r="A1030" i="103"/>
  <c r="A1029" i="103"/>
  <c r="A1026" i="103"/>
  <c r="A1020" i="103"/>
  <c r="A1019" i="103"/>
  <c r="A1018" i="103"/>
  <c r="A1017" i="103"/>
  <c r="A1016" i="103"/>
  <c r="A1015" i="103"/>
  <c r="A1014" i="103"/>
  <c r="A1013" i="103"/>
  <c r="A1012" i="103"/>
  <c r="A1009" i="103"/>
  <c r="A1003" i="103"/>
  <c r="A1002" i="103"/>
  <c r="A1001" i="103"/>
  <c r="A1000" i="103"/>
  <c r="A999" i="103"/>
  <c r="A998" i="103"/>
  <c r="A997" i="103"/>
  <c r="A996" i="103"/>
  <c r="A995" i="103"/>
  <c r="A992" i="103"/>
  <c r="A986" i="103"/>
  <c r="A985" i="103"/>
  <c r="A984" i="103"/>
  <c r="A983" i="103"/>
  <c r="A982" i="103"/>
  <c r="A981" i="103"/>
  <c r="A980" i="103"/>
  <c r="A979" i="103"/>
  <c r="A978" i="103"/>
  <c r="A975" i="103"/>
  <c r="A969" i="103"/>
  <c r="A968" i="103"/>
  <c r="A967" i="103"/>
  <c r="A966" i="103"/>
  <c r="A965" i="103"/>
  <c r="A964" i="103"/>
  <c r="A963" i="103"/>
  <c r="A962" i="103"/>
  <c r="A961" i="103"/>
  <c r="A958" i="103"/>
  <c r="A952" i="103"/>
  <c r="A951" i="103"/>
  <c r="A950" i="103"/>
  <c r="A949" i="103"/>
  <c r="A948" i="103"/>
  <c r="A947" i="103"/>
  <c r="A946" i="103"/>
  <c r="A945" i="103"/>
  <c r="A944" i="103"/>
  <c r="A941" i="103"/>
  <c r="A935" i="103"/>
  <c r="A934" i="103"/>
  <c r="A933" i="103"/>
  <c r="A932" i="103"/>
  <c r="A931" i="103"/>
  <c r="A930" i="103"/>
  <c r="A929" i="103"/>
  <c r="A928" i="103"/>
  <c r="A927" i="103"/>
  <c r="A924" i="103"/>
  <c r="A918" i="103"/>
  <c r="A917" i="103"/>
  <c r="A916" i="103"/>
  <c r="A915" i="103"/>
  <c r="A914" i="103"/>
  <c r="A913" i="103"/>
  <c r="A912" i="103"/>
  <c r="A911" i="103"/>
  <c r="A910" i="103"/>
  <c r="A907" i="103"/>
  <c r="A901" i="103"/>
  <c r="A900" i="103"/>
  <c r="A899" i="103"/>
  <c r="A898" i="103"/>
  <c r="A897" i="103"/>
  <c r="A896" i="103"/>
  <c r="A895" i="103"/>
  <c r="A894" i="103"/>
  <c r="A893" i="103"/>
  <c r="A890" i="103"/>
  <c r="A884" i="103"/>
  <c r="A883" i="103"/>
  <c r="A882" i="103"/>
  <c r="A881" i="103"/>
  <c r="A880" i="103"/>
  <c r="A879" i="103"/>
  <c r="A878" i="103"/>
  <c r="A877" i="103"/>
  <c r="A876" i="103"/>
  <c r="A873" i="103"/>
  <c r="A867" i="103"/>
  <c r="A866" i="103"/>
  <c r="A865" i="103"/>
  <c r="A864" i="103"/>
  <c r="A863" i="103"/>
  <c r="A862" i="103"/>
  <c r="A861" i="103"/>
  <c r="A860" i="103"/>
  <c r="A859" i="103"/>
  <c r="A856" i="103"/>
  <c r="A850" i="103"/>
  <c r="A849" i="103"/>
  <c r="A848" i="103"/>
  <c r="A847" i="103"/>
  <c r="A846" i="103"/>
  <c r="A845" i="103"/>
  <c r="A844" i="103"/>
  <c r="A843" i="103"/>
  <c r="A842" i="103"/>
  <c r="A839" i="103"/>
  <c r="A833" i="103"/>
  <c r="A832" i="103"/>
  <c r="A831" i="103"/>
  <c r="A830" i="103"/>
  <c r="A829" i="103"/>
  <c r="A828" i="103"/>
  <c r="A827" i="103"/>
  <c r="A826" i="103"/>
  <c r="A825" i="103"/>
  <c r="A822" i="103"/>
  <c r="A816" i="103"/>
  <c r="A815" i="103"/>
  <c r="A814" i="103"/>
  <c r="A813" i="103"/>
  <c r="A812" i="103"/>
  <c r="A811" i="103"/>
  <c r="A810" i="103"/>
  <c r="A809" i="103"/>
  <c r="A808" i="103"/>
  <c r="A805" i="103"/>
  <c r="A799" i="103"/>
  <c r="A798" i="103"/>
  <c r="A797" i="103"/>
  <c r="A796" i="103"/>
  <c r="A795" i="103"/>
  <c r="A794" i="103"/>
  <c r="A793" i="103"/>
  <c r="A792" i="103"/>
  <c r="A791" i="103"/>
  <c r="A788" i="103"/>
  <c r="A782" i="103"/>
  <c r="A781" i="103"/>
  <c r="A780" i="103"/>
  <c r="A779" i="103"/>
  <c r="A778" i="103"/>
  <c r="A777" i="103"/>
  <c r="A776" i="103"/>
  <c r="A775" i="103"/>
  <c r="A774" i="103"/>
  <c r="A771" i="103"/>
  <c r="A765" i="103"/>
  <c r="A764" i="103"/>
  <c r="A763" i="103"/>
  <c r="A762" i="103"/>
  <c r="A761" i="103"/>
  <c r="A760" i="103"/>
  <c r="A759" i="103"/>
  <c r="A758" i="103"/>
  <c r="A757" i="103"/>
  <c r="A754" i="103"/>
  <c r="A748" i="103"/>
  <c r="A747" i="103"/>
  <c r="A746" i="103"/>
  <c r="A745" i="103"/>
  <c r="A744" i="103"/>
  <c r="A743" i="103"/>
  <c r="A742" i="103"/>
  <c r="A741" i="103"/>
  <c r="A740" i="103"/>
  <c r="A737" i="103"/>
  <c r="A731" i="103"/>
  <c r="A730" i="103"/>
  <c r="A729" i="103"/>
  <c r="A728" i="103"/>
  <c r="A727" i="103"/>
  <c r="A726" i="103"/>
  <c r="A725" i="103"/>
  <c r="A724" i="103"/>
  <c r="A723" i="103"/>
  <c r="A720" i="103"/>
  <c r="A714" i="103"/>
  <c r="A713" i="103"/>
  <c r="A712" i="103"/>
  <c r="A711" i="103"/>
  <c r="A710" i="103"/>
  <c r="A709" i="103"/>
  <c r="A708" i="103"/>
  <c r="A707" i="103"/>
  <c r="A706" i="103"/>
  <c r="A703" i="103"/>
  <c r="A697" i="103"/>
  <c r="A696" i="103"/>
  <c r="A695" i="103"/>
  <c r="A694" i="103"/>
  <c r="A693" i="103"/>
  <c r="A692" i="103"/>
  <c r="A691" i="103"/>
  <c r="A690" i="103"/>
  <c r="A689" i="103"/>
  <c r="A686" i="103"/>
  <c r="A680" i="103"/>
  <c r="A679" i="103"/>
  <c r="A678" i="103"/>
  <c r="A677" i="103"/>
  <c r="A676" i="103"/>
  <c r="A675" i="103"/>
  <c r="A674" i="103"/>
  <c r="A673" i="103"/>
  <c r="A672" i="103"/>
  <c r="A669" i="103"/>
  <c r="A663" i="103"/>
  <c r="A662" i="103"/>
  <c r="A661" i="103"/>
  <c r="A660" i="103"/>
  <c r="A659" i="103"/>
  <c r="A658" i="103"/>
  <c r="A657" i="103"/>
  <c r="A656" i="103"/>
  <c r="A655" i="103"/>
  <c r="A652" i="103"/>
  <c r="A646" i="103"/>
  <c r="A645" i="103"/>
  <c r="A644" i="103"/>
  <c r="A643" i="103"/>
  <c r="A642" i="103"/>
  <c r="A641" i="103"/>
  <c r="A640" i="103"/>
  <c r="A639" i="103"/>
  <c r="A638" i="103"/>
  <c r="A635" i="103"/>
  <c r="A629" i="103"/>
  <c r="A628" i="103"/>
  <c r="A627" i="103"/>
  <c r="A626" i="103"/>
  <c r="A625" i="103"/>
  <c r="A624" i="103"/>
  <c r="A623" i="103"/>
  <c r="A622" i="103"/>
  <c r="A621" i="103"/>
  <c r="A618" i="103"/>
  <c r="A612" i="103"/>
  <c r="A611" i="103"/>
  <c r="A610" i="103"/>
  <c r="A609" i="103"/>
  <c r="A608" i="103"/>
  <c r="A607" i="103"/>
  <c r="A606" i="103"/>
  <c r="A605" i="103"/>
  <c r="A604" i="103"/>
  <c r="A601" i="103"/>
  <c r="A595" i="103"/>
  <c r="A594" i="103"/>
  <c r="A593" i="103"/>
  <c r="A592" i="103"/>
  <c r="A591" i="103"/>
  <c r="A590" i="103"/>
  <c r="A589" i="103"/>
  <c r="A588" i="103"/>
  <c r="A587" i="103"/>
  <c r="A584" i="103"/>
  <c r="A578" i="103"/>
  <c r="A577" i="103"/>
  <c r="A576" i="103"/>
  <c r="A575" i="103"/>
  <c r="A574" i="103"/>
  <c r="A573" i="103"/>
  <c r="A572" i="103"/>
  <c r="A571" i="103"/>
  <c r="A570" i="103"/>
  <c r="A567" i="103"/>
  <c r="A561" i="103"/>
  <c r="A560" i="103"/>
  <c r="A559" i="103"/>
  <c r="A558" i="103"/>
  <c r="A557" i="103"/>
  <c r="A556" i="103"/>
  <c r="A555" i="103"/>
  <c r="A554" i="103"/>
  <c r="A553" i="103"/>
  <c r="A550" i="103"/>
  <c r="A544" i="103"/>
  <c r="A543" i="103"/>
  <c r="A542" i="103"/>
  <c r="A541" i="103"/>
  <c r="A540" i="103"/>
  <c r="A539" i="103"/>
  <c r="A538" i="103"/>
  <c r="A537" i="103"/>
  <c r="A536" i="103"/>
  <c r="A533" i="103"/>
  <c r="A527" i="103"/>
  <c r="A526" i="103"/>
  <c r="A525" i="103"/>
  <c r="A524" i="103"/>
  <c r="A523" i="103"/>
  <c r="A522" i="103"/>
  <c r="A521" i="103"/>
  <c r="A520" i="103"/>
  <c r="A519" i="103"/>
  <c r="A516" i="103"/>
  <c r="A510" i="103"/>
  <c r="A509" i="103"/>
  <c r="A508" i="103"/>
  <c r="A507" i="103"/>
  <c r="A506" i="103"/>
  <c r="A505" i="103"/>
  <c r="A504" i="103"/>
  <c r="A503" i="103"/>
  <c r="A502" i="103"/>
  <c r="A499" i="103"/>
  <c r="A493" i="103"/>
  <c r="A492" i="103"/>
  <c r="A491" i="103"/>
  <c r="A490" i="103"/>
  <c r="A489" i="103"/>
  <c r="A488" i="103"/>
  <c r="A487" i="103"/>
  <c r="A486" i="103"/>
  <c r="A485" i="103"/>
  <c r="A482" i="103"/>
  <c r="A476" i="103"/>
  <c r="A475" i="103"/>
  <c r="A474" i="103"/>
  <c r="A473" i="103"/>
  <c r="A472" i="103"/>
  <c r="A471" i="103"/>
  <c r="A470" i="103"/>
  <c r="A469" i="103"/>
  <c r="A468" i="103"/>
  <c r="A465" i="103"/>
  <c r="A459" i="103"/>
  <c r="A458" i="103"/>
  <c r="A457" i="103"/>
  <c r="A456" i="103"/>
  <c r="A455" i="103"/>
  <c r="A454" i="103"/>
  <c r="A453" i="103"/>
  <c r="A452" i="103"/>
  <c r="A451" i="103"/>
  <c r="A448" i="103"/>
  <c r="A442" i="103"/>
  <c r="A441" i="103"/>
  <c r="A440" i="103"/>
  <c r="A439" i="103"/>
  <c r="A438" i="103"/>
  <c r="A437" i="103"/>
  <c r="A436" i="103"/>
  <c r="A435" i="103"/>
  <c r="A434" i="103"/>
  <c r="A431" i="103"/>
  <c r="A425" i="103"/>
  <c r="A424" i="103"/>
  <c r="A423" i="103"/>
  <c r="A422" i="103"/>
  <c r="A421" i="103"/>
  <c r="A420" i="103"/>
  <c r="A419" i="103"/>
  <c r="A418" i="103"/>
  <c r="A417" i="103"/>
  <c r="A414" i="103"/>
  <c r="A408" i="103"/>
  <c r="A407" i="103"/>
  <c r="A406" i="103"/>
  <c r="A405" i="103"/>
  <c r="A404" i="103"/>
  <c r="A403" i="103"/>
  <c r="A402" i="103"/>
  <c r="A401" i="103"/>
  <c r="A400" i="103"/>
  <c r="A397" i="103"/>
  <c r="A391" i="103"/>
  <c r="A390" i="103"/>
  <c r="A389" i="103"/>
  <c r="A388" i="103"/>
  <c r="A387" i="103"/>
  <c r="A386" i="103"/>
  <c r="A385" i="103"/>
  <c r="A384" i="103"/>
  <c r="A383" i="103"/>
  <c r="A380" i="103"/>
  <c r="A374" i="103"/>
  <c r="A373" i="103"/>
  <c r="A372" i="103"/>
  <c r="A371" i="103"/>
  <c r="A370" i="103"/>
  <c r="A369" i="103"/>
  <c r="A368" i="103"/>
  <c r="A367" i="103"/>
  <c r="A366" i="103"/>
  <c r="A363" i="103"/>
  <c r="A357" i="103"/>
  <c r="A356" i="103"/>
  <c r="A355" i="103"/>
  <c r="A354" i="103"/>
  <c r="A353" i="103"/>
  <c r="A352" i="103"/>
  <c r="A351" i="103"/>
  <c r="A350" i="103"/>
  <c r="A349" i="103"/>
  <c r="A346" i="103"/>
  <c r="A340" i="103"/>
  <c r="A339" i="103"/>
  <c r="A338" i="103"/>
  <c r="A337" i="103"/>
  <c r="A336" i="103"/>
  <c r="A335" i="103"/>
  <c r="A334" i="103"/>
  <c r="A333" i="103"/>
  <c r="A332" i="103"/>
  <c r="A329" i="103"/>
  <c r="A323" i="103"/>
  <c r="A322" i="103"/>
  <c r="A321" i="103"/>
  <c r="A320" i="103"/>
  <c r="A319" i="103"/>
  <c r="A318" i="103"/>
  <c r="A317" i="103"/>
  <c r="A316" i="103"/>
  <c r="A315" i="103"/>
  <c r="A312" i="103"/>
  <c r="A306" i="103"/>
  <c r="A305" i="103"/>
  <c r="A304" i="103"/>
  <c r="A303" i="103"/>
  <c r="A302" i="103"/>
  <c r="A301" i="103"/>
  <c r="A300" i="103"/>
  <c r="A299" i="103"/>
  <c r="A298" i="103"/>
  <c r="A295" i="103"/>
  <c r="A289" i="103"/>
  <c r="A288" i="103"/>
  <c r="A287" i="103"/>
  <c r="A286" i="103"/>
  <c r="A285" i="103"/>
  <c r="A284" i="103"/>
  <c r="A283" i="103"/>
  <c r="A282" i="103"/>
  <c r="A281" i="103"/>
  <c r="A278" i="103"/>
  <c r="A272" i="103"/>
  <c r="A271" i="103"/>
  <c r="A270" i="103"/>
  <c r="A269" i="103"/>
  <c r="A268" i="103"/>
  <c r="A267" i="103"/>
  <c r="A266" i="103"/>
  <c r="A265" i="103"/>
  <c r="A264" i="103"/>
  <c r="A261" i="103"/>
  <c r="A255" i="103"/>
  <c r="A254" i="103"/>
  <c r="A253" i="103"/>
  <c r="A252" i="103"/>
  <c r="A251" i="103"/>
  <c r="A250" i="103"/>
  <c r="A249" i="103"/>
  <c r="A248" i="103"/>
  <c r="A247" i="103"/>
  <c r="A244" i="103"/>
  <c r="A238" i="103"/>
  <c r="A237" i="103"/>
  <c r="A236" i="103"/>
  <c r="A235" i="103"/>
  <c r="A234" i="103"/>
  <c r="A233" i="103"/>
  <c r="A232" i="103"/>
  <c r="A231" i="103"/>
  <c r="A230" i="103"/>
  <c r="A227" i="103"/>
  <c r="A221" i="103"/>
  <c r="A220" i="103"/>
  <c r="A219" i="103"/>
  <c r="A218" i="103"/>
  <c r="A217" i="103"/>
  <c r="A216" i="103"/>
  <c r="A215" i="103"/>
  <c r="A214" i="103"/>
  <c r="A213" i="103"/>
  <c r="A210" i="103"/>
  <c r="A204" i="103"/>
  <c r="A203" i="103"/>
  <c r="A202" i="103"/>
  <c r="A201" i="103"/>
  <c r="A200" i="103"/>
  <c r="A199" i="103"/>
  <c r="A198" i="103"/>
  <c r="A197" i="103"/>
  <c r="A196" i="103"/>
  <c r="A193" i="103"/>
  <c r="A187" i="103"/>
  <c r="A186" i="103"/>
  <c r="A185" i="103"/>
  <c r="A184" i="103"/>
  <c r="A183" i="103"/>
  <c r="A182" i="103"/>
  <c r="A181" i="103"/>
  <c r="A180" i="103"/>
  <c r="A179" i="103"/>
  <c r="A176" i="103"/>
  <c r="A170" i="103"/>
  <c r="A169" i="103"/>
  <c r="A168" i="103"/>
  <c r="A167" i="103"/>
  <c r="A166" i="103"/>
  <c r="A165" i="103"/>
  <c r="A164" i="103"/>
  <c r="A163" i="103"/>
  <c r="A162" i="103"/>
  <c r="A159" i="103"/>
  <c r="A153" i="103"/>
  <c r="A152" i="103"/>
  <c r="A151" i="103"/>
  <c r="A150" i="103"/>
  <c r="A149" i="103"/>
  <c r="A148" i="103"/>
  <c r="A147" i="103"/>
  <c r="A146" i="103"/>
  <c r="A145" i="103"/>
  <c r="A142" i="103"/>
  <c r="A136" i="103"/>
  <c r="A135" i="103"/>
  <c r="A134" i="103"/>
  <c r="A133" i="103"/>
  <c r="A132" i="103"/>
  <c r="A131" i="103"/>
  <c r="A130" i="103"/>
  <c r="A129" i="103"/>
  <c r="A128" i="103"/>
  <c r="A125" i="103"/>
  <c r="A119" i="103"/>
  <c r="A118" i="103"/>
  <c r="A117" i="103"/>
  <c r="A116" i="103"/>
  <c r="A115" i="103"/>
  <c r="A114" i="103"/>
  <c r="A113" i="103"/>
  <c r="A112" i="103"/>
  <c r="A111" i="103"/>
  <c r="A108" i="103"/>
  <c r="A102" i="103"/>
  <c r="A101" i="103"/>
  <c r="A100" i="103"/>
  <c r="A99" i="103"/>
  <c r="A98" i="103"/>
  <c r="A97" i="103"/>
  <c r="A96" i="103"/>
  <c r="A95" i="103"/>
  <c r="A94" i="103"/>
  <c r="A91" i="103"/>
  <c r="A85" i="103"/>
  <c r="A84" i="103"/>
  <c r="A83" i="103"/>
  <c r="A82" i="103"/>
  <c r="A81" i="103"/>
  <c r="A80" i="103"/>
  <c r="A79" i="103"/>
  <c r="A78" i="103"/>
  <c r="A77" i="103"/>
  <c r="A74" i="103"/>
  <c r="A68" i="103"/>
  <c r="A67" i="103"/>
  <c r="A66" i="103"/>
  <c r="A65" i="103"/>
  <c r="A64" i="103"/>
  <c r="A63" i="103"/>
  <c r="A62" i="103"/>
  <c r="A61" i="103"/>
  <c r="A60" i="103"/>
  <c r="A57" i="103"/>
  <c r="A51" i="103"/>
  <c r="A50" i="103"/>
  <c r="A49" i="103"/>
  <c r="A48" i="103"/>
  <c r="A47" i="103"/>
  <c r="A46" i="103"/>
  <c r="A45" i="103"/>
  <c r="A44" i="103"/>
  <c r="A43" i="103"/>
  <c r="A40" i="103"/>
  <c r="A34" i="103"/>
  <c r="A33" i="103"/>
  <c r="A32" i="103"/>
  <c r="A31" i="103"/>
  <c r="A30" i="103"/>
  <c r="A29" i="103"/>
  <c r="A28" i="103"/>
  <c r="A27" i="103"/>
  <c r="A26" i="103"/>
  <c r="A23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1231" i="103" l="1"/>
  <c r="C1163" i="103"/>
  <c r="C1095" i="103"/>
  <c r="C1027" i="103"/>
  <c r="C959" i="103"/>
  <c r="C891" i="103"/>
  <c r="C823" i="103"/>
  <c r="C755" i="103"/>
  <c r="C687" i="103"/>
  <c r="C619" i="103"/>
  <c r="C551" i="103"/>
  <c r="C483" i="103"/>
  <c r="C415" i="103"/>
  <c r="C347" i="103"/>
  <c r="C279" i="103"/>
  <c r="C211" i="103"/>
  <c r="C143" i="103"/>
  <c r="C75" i="103"/>
  <c r="C1282" i="103"/>
  <c r="C1214" i="103"/>
  <c r="C1146" i="103"/>
  <c r="C1078" i="103"/>
  <c r="C1010" i="103"/>
  <c r="C942" i="103"/>
  <c r="C874" i="103"/>
  <c r="C806" i="103"/>
  <c r="C738" i="103"/>
  <c r="C670" i="103"/>
  <c r="C602" i="103"/>
  <c r="C534" i="103"/>
  <c r="C466" i="103"/>
  <c r="C398" i="103"/>
  <c r="C330" i="103"/>
  <c r="C262" i="103"/>
  <c r="C194" i="103"/>
  <c r="C126" i="103"/>
  <c r="C58" i="103"/>
  <c r="C1265" i="103"/>
  <c r="C1197" i="103"/>
  <c r="C1129" i="103"/>
  <c r="C1061" i="103"/>
  <c r="C993" i="103"/>
  <c r="C925" i="103"/>
  <c r="C857" i="103"/>
  <c r="C789" i="103"/>
  <c r="C721" i="103"/>
  <c r="C653" i="103"/>
  <c r="C585" i="103"/>
  <c r="C517" i="103"/>
  <c r="C449" i="103"/>
  <c r="C381" i="103"/>
  <c r="C313" i="103"/>
  <c r="C245" i="103"/>
  <c r="C177" i="103"/>
  <c r="C109" i="103"/>
  <c r="C41" i="103"/>
  <c r="C1248" i="103"/>
  <c r="C1180" i="103"/>
  <c r="C1112" i="103"/>
  <c r="C1044" i="103"/>
  <c r="C976" i="103"/>
  <c r="C908" i="103"/>
  <c r="C840" i="103"/>
  <c r="C772" i="103"/>
  <c r="C704" i="103"/>
  <c r="C636" i="103"/>
  <c r="C568" i="103"/>
  <c r="C500" i="103"/>
  <c r="C432" i="103"/>
  <c r="C364" i="103"/>
  <c r="C296" i="103"/>
  <c r="C228" i="103"/>
  <c r="C160" i="103"/>
  <c r="C92" i="103"/>
  <c r="L1265" i="103"/>
  <c r="L1197" i="103"/>
  <c r="L1129" i="103"/>
  <c r="L1061" i="103"/>
  <c r="L993" i="103"/>
  <c r="L925" i="103"/>
  <c r="L857" i="103"/>
  <c r="L789" i="103"/>
  <c r="L721" i="103"/>
  <c r="L653" i="103"/>
  <c r="L585" i="103"/>
  <c r="L517" i="103"/>
  <c r="L449" i="103"/>
  <c r="L381" i="103"/>
  <c r="L313" i="103"/>
  <c r="L245" i="103"/>
  <c r="L177" i="103"/>
  <c r="L109" i="103"/>
  <c r="L41" i="103"/>
  <c r="L58" i="103"/>
  <c r="L1146" i="103"/>
  <c r="L874" i="103"/>
  <c r="L738" i="103"/>
  <c r="L602" i="103"/>
  <c r="L1282" i="103"/>
  <c r="L1214" i="103"/>
  <c r="L466" i="103"/>
  <c r="L194" i="103"/>
  <c r="L1248" i="103"/>
  <c r="L1180" i="103"/>
  <c r="L1112" i="103"/>
  <c r="L1044" i="103"/>
  <c r="L976" i="103"/>
  <c r="L908" i="103"/>
  <c r="L840" i="103"/>
  <c r="L772" i="103"/>
  <c r="L704" i="103"/>
  <c r="L636" i="103"/>
  <c r="L568" i="103"/>
  <c r="L500" i="103"/>
  <c r="L432" i="103"/>
  <c r="L364" i="103"/>
  <c r="L296" i="103"/>
  <c r="L228" i="103"/>
  <c r="L160" i="103"/>
  <c r="L92" i="103"/>
  <c r="L534" i="103"/>
  <c r="L398" i="103"/>
  <c r="L330" i="103"/>
  <c r="L126" i="103"/>
  <c r="L1078" i="103"/>
  <c r="L670" i="103"/>
  <c r="L1010" i="103"/>
  <c r="L806" i="103"/>
  <c r="L1231" i="103"/>
  <c r="L1163" i="103"/>
  <c r="L1095" i="103"/>
  <c r="L1027" i="103"/>
  <c r="L959" i="103"/>
  <c r="L891" i="103"/>
  <c r="L823" i="103"/>
  <c r="L755" i="103"/>
  <c r="L687" i="103"/>
  <c r="L619" i="103"/>
  <c r="L551" i="103"/>
  <c r="L483" i="103"/>
  <c r="L415" i="103"/>
  <c r="L347" i="103"/>
  <c r="L279" i="103"/>
  <c r="L211" i="103"/>
  <c r="L143" i="103"/>
  <c r="L75" i="103"/>
  <c r="L262" i="103"/>
  <c r="L942" i="103"/>
  <c r="M721" i="103"/>
  <c r="M1248" i="103"/>
  <c r="M1180" i="103"/>
  <c r="M1112" i="103"/>
  <c r="M1044" i="103"/>
  <c r="M976" i="103"/>
  <c r="M908" i="103"/>
  <c r="M840" i="103"/>
  <c r="M772" i="103"/>
  <c r="M704" i="103"/>
  <c r="M636" i="103"/>
  <c r="M568" i="103"/>
  <c r="M500" i="103"/>
  <c r="M432" i="103"/>
  <c r="M364" i="103"/>
  <c r="M296" i="103"/>
  <c r="M228" i="103"/>
  <c r="M160" i="103"/>
  <c r="M92" i="103"/>
  <c r="M1061" i="103"/>
  <c r="M381" i="103"/>
  <c r="M517" i="103"/>
  <c r="M1231" i="103"/>
  <c r="M1163" i="103"/>
  <c r="M1095" i="103"/>
  <c r="M1027" i="103"/>
  <c r="M959" i="103"/>
  <c r="M891" i="103"/>
  <c r="M823" i="103"/>
  <c r="M755" i="103"/>
  <c r="M687" i="103"/>
  <c r="M619" i="103"/>
  <c r="M551" i="103"/>
  <c r="M483" i="103"/>
  <c r="M415" i="103"/>
  <c r="M347" i="103"/>
  <c r="M279" i="103"/>
  <c r="M211" i="103"/>
  <c r="M143" i="103"/>
  <c r="M75" i="103"/>
  <c r="M313" i="103"/>
  <c r="M245" i="103"/>
  <c r="M789" i="103"/>
  <c r="M857" i="103"/>
  <c r="M109" i="103"/>
  <c r="M1282" i="103"/>
  <c r="M1214" i="103"/>
  <c r="M1146" i="103"/>
  <c r="M1078" i="103"/>
  <c r="M1010" i="103"/>
  <c r="M942" i="103"/>
  <c r="M874" i="103"/>
  <c r="M806" i="103"/>
  <c r="M738" i="103"/>
  <c r="M670" i="103"/>
  <c r="M602" i="103"/>
  <c r="M534" i="103"/>
  <c r="M466" i="103"/>
  <c r="M398" i="103"/>
  <c r="M330" i="103"/>
  <c r="M262" i="103"/>
  <c r="M194" i="103"/>
  <c r="M126" i="103"/>
  <c r="M58" i="103"/>
  <c r="M653" i="103"/>
  <c r="M585" i="103"/>
  <c r="M449" i="103"/>
  <c r="M41" i="103"/>
  <c r="M1265" i="103"/>
  <c r="M1197" i="103"/>
  <c r="M1129" i="103"/>
  <c r="M993" i="103"/>
  <c r="M925" i="103"/>
  <c r="M177" i="103"/>
  <c r="N1248" i="103"/>
  <c r="N1180" i="103"/>
  <c r="N1112" i="103"/>
  <c r="N1044" i="103"/>
  <c r="N976" i="103"/>
  <c r="N908" i="103"/>
  <c r="N840" i="103"/>
  <c r="N772" i="103"/>
  <c r="N704" i="103"/>
  <c r="N636" i="103"/>
  <c r="N568" i="103"/>
  <c r="N500" i="103"/>
  <c r="N432" i="103"/>
  <c r="N364" i="103"/>
  <c r="N296" i="103"/>
  <c r="N228" i="103"/>
  <c r="N160" i="103"/>
  <c r="N92" i="103"/>
  <c r="N1231" i="103"/>
  <c r="N1163" i="103"/>
  <c r="N1095" i="103"/>
  <c r="N1027" i="103"/>
  <c r="N959" i="103"/>
  <c r="N891" i="103"/>
  <c r="N823" i="103"/>
  <c r="N755" i="103"/>
  <c r="N687" i="103"/>
  <c r="N619" i="103"/>
  <c r="N551" i="103"/>
  <c r="N483" i="103"/>
  <c r="N415" i="103"/>
  <c r="N347" i="103"/>
  <c r="N279" i="103"/>
  <c r="N211" i="103"/>
  <c r="N143" i="103"/>
  <c r="N75" i="103"/>
  <c r="N1282" i="103"/>
  <c r="N1214" i="103"/>
  <c r="N1146" i="103"/>
  <c r="N1078" i="103"/>
  <c r="N1010" i="103"/>
  <c r="N942" i="103"/>
  <c r="N874" i="103"/>
  <c r="N806" i="103"/>
  <c r="N738" i="103"/>
  <c r="N670" i="103"/>
  <c r="N602" i="103"/>
  <c r="N534" i="103"/>
  <c r="N466" i="103"/>
  <c r="N398" i="103"/>
  <c r="N330" i="103"/>
  <c r="N262" i="103"/>
  <c r="N194" i="103"/>
  <c r="N126" i="103"/>
  <c r="N58" i="103"/>
  <c r="N1265" i="103"/>
  <c r="N1197" i="103"/>
  <c r="N1129" i="103"/>
  <c r="N1061" i="103"/>
  <c r="N993" i="103"/>
  <c r="N925" i="103"/>
  <c r="N857" i="103"/>
  <c r="N789" i="103"/>
  <c r="N721" i="103"/>
  <c r="N653" i="103"/>
  <c r="N585" i="103"/>
  <c r="N517" i="103"/>
  <c r="N449" i="103"/>
  <c r="N381" i="103"/>
  <c r="N313" i="103"/>
  <c r="N245" i="103"/>
  <c r="N177" i="103"/>
  <c r="N109" i="103"/>
  <c r="N41" i="103"/>
  <c r="B364" i="103"/>
  <c r="B1231" i="103"/>
  <c r="B1163" i="103"/>
  <c r="B1095" i="103"/>
  <c r="B1027" i="103"/>
  <c r="B959" i="103"/>
  <c r="B891" i="103"/>
  <c r="B823" i="103"/>
  <c r="B755" i="103"/>
  <c r="B687" i="103"/>
  <c r="B619" i="103"/>
  <c r="B551" i="103"/>
  <c r="B483" i="103"/>
  <c r="B415" i="103"/>
  <c r="B347" i="103"/>
  <c r="B279" i="103"/>
  <c r="B211" i="103"/>
  <c r="B143" i="103"/>
  <c r="B75" i="103"/>
  <c r="B840" i="103"/>
  <c r="B772" i="103"/>
  <c r="B704" i="103"/>
  <c r="B568" i="103"/>
  <c r="B228" i="103"/>
  <c r="B160" i="103"/>
  <c r="B92" i="103"/>
  <c r="B1044" i="103"/>
  <c r="B296" i="103"/>
  <c r="B1282" i="103"/>
  <c r="B1214" i="103"/>
  <c r="B1146" i="103"/>
  <c r="B1078" i="103"/>
  <c r="B1010" i="103"/>
  <c r="B942" i="103"/>
  <c r="B874" i="103"/>
  <c r="B806" i="103"/>
  <c r="B738" i="103"/>
  <c r="B670" i="103"/>
  <c r="B602" i="103"/>
  <c r="B534" i="103"/>
  <c r="B466" i="103"/>
  <c r="B398" i="103"/>
  <c r="B330" i="103"/>
  <c r="B262" i="103"/>
  <c r="B194" i="103"/>
  <c r="B126" i="103"/>
  <c r="B58" i="103"/>
  <c r="B500" i="103"/>
  <c r="B1265" i="103"/>
  <c r="B1197" i="103"/>
  <c r="B1129" i="103"/>
  <c r="B1061" i="103"/>
  <c r="B993" i="103"/>
  <c r="B925" i="103"/>
  <c r="B857" i="103"/>
  <c r="B789" i="103"/>
  <c r="B721" i="103"/>
  <c r="B653" i="103"/>
  <c r="B585" i="103"/>
  <c r="B517" i="103"/>
  <c r="B449" i="103"/>
  <c r="B381" i="103"/>
  <c r="B313" i="103"/>
  <c r="B245" i="103"/>
  <c r="B177" i="103"/>
  <c r="B109" i="103"/>
  <c r="B41" i="103"/>
  <c r="B908" i="103"/>
  <c r="B1248" i="103"/>
  <c r="B1180" i="103"/>
  <c r="B1112" i="103"/>
  <c r="B976" i="103"/>
  <c r="B636" i="103"/>
  <c r="B432" i="103"/>
  <c r="D1231" i="103"/>
  <c r="D1163" i="103"/>
  <c r="D1095" i="103"/>
  <c r="D1027" i="103"/>
  <c r="D959" i="103"/>
  <c r="D891" i="103"/>
  <c r="D823" i="103"/>
  <c r="D755" i="103"/>
  <c r="D687" i="103"/>
  <c r="D619" i="103"/>
  <c r="D551" i="103"/>
  <c r="D483" i="103"/>
  <c r="D415" i="103"/>
  <c r="D347" i="103"/>
  <c r="D279" i="103"/>
  <c r="D211" i="103"/>
  <c r="D143" i="103"/>
  <c r="D75" i="103"/>
  <c r="D772" i="103"/>
  <c r="D41" i="103"/>
  <c r="D1112" i="103"/>
  <c r="D908" i="103"/>
  <c r="D704" i="103"/>
  <c r="D160" i="103"/>
  <c r="D92" i="103"/>
  <c r="D1282" i="103"/>
  <c r="D1214" i="103"/>
  <c r="D1146" i="103"/>
  <c r="D1078" i="103"/>
  <c r="D1010" i="103"/>
  <c r="D942" i="103"/>
  <c r="D874" i="103"/>
  <c r="D806" i="103"/>
  <c r="D738" i="103"/>
  <c r="D670" i="103"/>
  <c r="D602" i="103"/>
  <c r="D534" i="103"/>
  <c r="D466" i="103"/>
  <c r="D398" i="103"/>
  <c r="D330" i="103"/>
  <c r="D262" i="103"/>
  <c r="D194" i="103"/>
  <c r="D126" i="103"/>
  <c r="D58" i="103"/>
  <c r="D1180" i="103"/>
  <c r="D500" i="103"/>
  <c r="D432" i="103"/>
  <c r="D364" i="103"/>
  <c r="D568" i="103"/>
  <c r="D1265" i="103"/>
  <c r="D1197" i="103"/>
  <c r="D1129" i="103"/>
  <c r="D1061" i="103"/>
  <c r="D993" i="103"/>
  <c r="D925" i="103"/>
  <c r="D857" i="103"/>
  <c r="D789" i="103"/>
  <c r="D721" i="103"/>
  <c r="D653" i="103"/>
  <c r="D585" i="103"/>
  <c r="D517" i="103"/>
  <c r="D449" i="103"/>
  <c r="D381" i="103"/>
  <c r="D313" i="103"/>
  <c r="D245" i="103"/>
  <c r="D177" i="103"/>
  <c r="D109" i="103"/>
  <c r="D296" i="103"/>
  <c r="D1248" i="103"/>
  <c r="D1044" i="103"/>
  <c r="D976" i="103"/>
  <c r="D228" i="103"/>
  <c r="D840" i="103"/>
  <c r="D636" i="103"/>
  <c r="G1282" i="103"/>
  <c r="G1214" i="103"/>
  <c r="G1146" i="103"/>
  <c r="G1078" i="103"/>
  <c r="G1010" i="103"/>
  <c r="G942" i="103"/>
  <c r="G874" i="103"/>
  <c r="G806" i="103"/>
  <c r="G738" i="103"/>
  <c r="G670" i="103"/>
  <c r="G602" i="103"/>
  <c r="G534" i="103"/>
  <c r="G466" i="103"/>
  <c r="G398" i="103"/>
  <c r="G330" i="103"/>
  <c r="G262" i="103"/>
  <c r="G194" i="103"/>
  <c r="G126" i="103"/>
  <c r="G58" i="103"/>
  <c r="G1265" i="103"/>
  <c r="G1197" i="103"/>
  <c r="G1129" i="103"/>
  <c r="G1061" i="103"/>
  <c r="G993" i="103"/>
  <c r="G925" i="103"/>
  <c r="G857" i="103"/>
  <c r="G789" i="103"/>
  <c r="G721" i="103"/>
  <c r="G653" i="103"/>
  <c r="G585" i="103"/>
  <c r="G517" i="103"/>
  <c r="G449" i="103"/>
  <c r="G381" i="103"/>
  <c r="G313" i="103"/>
  <c r="G245" i="103"/>
  <c r="G177" i="103"/>
  <c r="G109" i="103"/>
  <c r="G41" i="103"/>
  <c r="G1248" i="103"/>
  <c r="G1180" i="103"/>
  <c r="G1112" i="103"/>
  <c r="G1044" i="103"/>
  <c r="G976" i="103"/>
  <c r="G908" i="103"/>
  <c r="G840" i="103"/>
  <c r="G772" i="103"/>
  <c r="G704" i="103"/>
  <c r="G636" i="103"/>
  <c r="G568" i="103"/>
  <c r="G500" i="103"/>
  <c r="G432" i="103"/>
  <c r="G364" i="103"/>
  <c r="G296" i="103"/>
  <c r="G228" i="103"/>
  <c r="G160" i="103"/>
  <c r="G92" i="103"/>
  <c r="G1231" i="103"/>
  <c r="G1163" i="103"/>
  <c r="G1095" i="103"/>
  <c r="G1027" i="103"/>
  <c r="G959" i="103"/>
  <c r="G891" i="103"/>
  <c r="G823" i="103"/>
  <c r="G755" i="103"/>
  <c r="G687" i="103"/>
  <c r="G619" i="103"/>
  <c r="G551" i="103"/>
  <c r="G483" i="103"/>
  <c r="G415" i="103"/>
  <c r="G347" i="103"/>
  <c r="G279" i="103"/>
  <c r="G211" i="103"/>
  <c r="G143" i="103"/>
  <c r="G75" i="103"/>
  <c r="H1282" i="103"/>
  <c r="H1214" i="103"/>
  <c r="H1146" i="103"/>
  <c r="H1078" i="103"/>
  <c r="H1010" i="103"/>
  <c r="H942" i="103"/>
  <c r="H874" i="103"/>
  <c r="H806" i="103"/>
  <c r="H738" i="103"/>
  <c r="H670" i="103"/>
  <c r="H602" i="103"/>
  <c r="H534" i="103"/>
  <c r="H466" i="103"/>
  <c r="H398" i="103"/>
  <c r="H330" i="103"/>
  <c r="H262" i="103"/>
  <c r="H194" i="103"/>
  <c r="H126" i="103"/>
  <c r="H58" i="103"/>
  <c r="H1231" i="103"/>
  <c r="H1163" i="103"/>
  <c r="H1095" i="103"/>
  <c r="H823" i="103"/>
  <c r="H755" i="103"/>
  <c r="H687" i="103"/>
  <c r="H483" i="103"/>
  <c r="H415" i="103"/>
  <c r="H347" i="103"/>
  <c r="H1265" i="103"/>
  <c r="H1197" i="103"/>
  <c r="H1129" i="103"/>
  <c r="H1061" i="103"/>
  <c r="H993" i="103"/>
  <c r="H925" i="103"/>
  <c r="H857" i="103"/>
  <c r="H789" i="103"/>
  <c r="H721" i="103"/>
  <c r="H653" i="103"/>
  <c r="H585" i="103"/>
  <c r="H517" i="103"/>
  <c r="H449" i="103"/>
  <c r="H381" i="103"/>
  <c r="H313" i="103"/>
  <c r="H245" i="103"/>
  <c r="H177" i="103"/>
  <c r="H109" i="103"/>
  <c r="H41" i="103"/>
  <c r="H619" i="103"/>
  <c r="H1248" i="103"/>
  <c r="H1180" i="103"/>
  <c r="H1112" i="103"/>
  <c r="H1044" i="103"/>
  <c r="H976" i="103"/>
  <c r="H908" i="103"/>
  <c r="H840" i="103"/>
  <c r="H772" i="103"/>
  <c r="H704" i="103"/>
  <c r="H636" i="103"/>
  <c r="H568" i="103"/>
  <c r="H500" i="103"/>
  <c r="H432" i="103"/>
  <c r="H364" i="103"/>
  <c r="H296" i="103"/>
  <c r="H228" i="103"/>
  <c r="H160" i="103"/>
  <c r="H92" i="103"/>
  <c r="H551" i="103"/>
  <c r="H211" i="103"/>
  <c r="H75" i="103"/>
  <c r="H959" i="103"/>
  <c r="H891" i="103"/>
  <c r="H143" i="103"/>
  <c r="H1027" i="103"/>
  <c r="H279" i="103"/>
  <c r="I398" i="103"/>
  <c r="I1265" i="103"/>
  <c r="I1197" i="103"/>
  <c r="I1129" i="103"/>
  <c r="I1061" i="103"/>
  <c r="I993" i="103"/>
  <c r="I925" i="103"/>
  <c r="I857" i="103"/>
  <c r="I789" i="103"/>
  <c r="I721" i="103"/>
  <c r="I653" i="103"/>
  <c r="I585" i="103"/>
  <c r="I517" i="103"/>
  <c r="I449" i="103"/>
  <c r="I381" i="103"/>
  <c r="I313" i="103"/>
  <c r="I245" i="103"/>
  <c r="I177" i="103"/>
  <c r="I109" i="103"/>
  <c r="I41" i="103"/>
  <c r="I126" i="103"/>
  <c r="I874" i="103"/>
  <c r="I738" i="103"/>
  <c r="I534" i="103"/>
  <c r="I58" i="103"/>
  <c r="I1248" i="103"/>
  <c r="I1180" i="103"/>
  <c r="I1112" i="103"/>
  <c r="I1044" i="103"/>
  <c r="I976" i="103"/>
  <c r="I908" i="103"/>
  <c r="I840" i="103"/>
  <c r="I772" i="103"/>
  <c r="I704" i="103"/>
  <c r="I636" i="103"/>
  <c r="I568" i="103"/>
  <c r="I500" i="103"/>
  <c r="I432" i="103"/>
  <c r="I364" i="103"/>
  <c r="I296" i="103"/>
  <c r="I228" i="103"/>
  <c r="I160" i="103"/>
  <c r="I92" i="103"/>
  <c r="I262" i="103"/>
  <c r="I1231" i="103"/>
  <c r="I1163" i="103"/>
  <c r="I1095" i="103"/>
  <c r="I1027" i="103"/>
  <c r="I959" i="103"/>
  <c r="I891" i="103"/>
  <c r="I823" i="103"/>
  <c r="I755" i="103"/>
  <c r="I687" i="103"/>
  <c r="I619" i="103"/>
  <c r="I551" i="103"/>
  <c r="I483" i="103"/>
  <c r="I415" i="103"/>
  <c r="I347" i="103"/>
  <c r="I279" i="103"/>
  <c r="I211" i="103"/>
  <c r="I143" i="103"/>
  <c r="I75" i="103"/>
  <c r="I806" i="103"/>
  <c r="I670" i="103"/>
  <c r="I466" i="103"/>
  <c r="I194" i="103"/>
  <c r="I1282" i="103"/>
  <c r="I1214" i="103"/>
  <c r="I1146" i="103"/>
  <c r="I1078" i="103"/>
  <c r="I1010" i="103"/>
  <c r="I942" i="103"/>
  <c r="I602" i="103"/>
  <c r="I330" i="103"/>
  <c r="B24" i="103"/>
  <c r="L24" i="103"/>
  <c r="I24" i="103"/>
  <c r="C24" i="103"/>
  <c r="D24" i="103"/>
  <c r="M24" i="103"/>
  <c r="N24" i="103"/>
  <c r="G24" i="103"/>
  <c r="H24" i="103"/>
  <c r="A558" i="102"/>
  <c r="A553" i="102"/>
  <c r="A548" i="102"/>
  <c r="A545" i="102"/>
  <c r="A533" i="102"/>
  <c r="A528" i="102"/>
  <c r="A523" i="102"/>
  <c r="A518" i="102"/>
  <c r="A515" i="102"/>
  <c r="A480" i="102"/>
  <c r="A470" i="102"/>
  <c r="A490" i="102"/>
  <c r="A503" i="102"/>
  <c r="A498" i="102"/>
  <c r="A493" i="102"/>
  <c r="A483" i="102"/>
  <c r="A473" i="102"/>
  <c r="A458" i="102"/>
  <c r="A453" i="102"/>
  <c r="A448" i="102"/>
  <c r="A443" i="102"/>
  <c r="A438" i="102"/>
  <c r="A433" i="102"/>
  <c r="A430" i="102"/>
  <c r="A418" i="102"/>
  <c r="A413" i="102"/>
  <c r="A408" i="102"/>
  <c r="A403" i="102"/>
  <c r="A398" i="102"/>
  <c r="A393" i="102"/>
  <c r="A388" i="102"/>
  <c r="A385" i="102"/>
  <c r="A378" i="102"/>
  <c r="A375" i="102"/>
  <c r="A363" i="102"/>
  <c r="A358" i="102"/>
  <c r="A353" i="102"/>
  <c r="A350" i="102"/>
  <c r="A338" i="102"/>
  <c r="A333" i="102"/>
  <c r="A328" i="102"/>
  <c r="A325" i="102"/>
  <c r="A313" i="102"/>
  <c r="A308" i="102"/>
  <c r="A303" i="102"/>
  <c r="A300" i="102"/>
  <c r="A288" i="102"/>
  <c r="A283" i="102"/>
  <c r="A280" i="102"/>
  <c r="A245" i="102"/>
  <c r="A268" i="102"/>
  <c r="A263" i="102"/>
  <c r="A258" i="102"/>
  <c r="A253" i="102"/>
  <c r="A248" i="102"/>
  <c r="A233" i="102"/>
  <c r="A228" i="102"/>
  <c r="A223" i="102"/>
  <c r="A220" i="102"/>
  <c r="A208" i="102"/>
  <c r="A203" i="102"/>
  <c r="A198" i="102"/>
  <c r="A195" i="102"/>
  <c r="A170" i="102"/>
  <c r="A183" i="102"/>
  <c r="A178" i="102"/>
  <c r="A173" i="102"/>
  <c r="A163" i="102"/>
  <c r="A160" i="102"/>
  <c r="A148" i="102"/>
  <c r="A143" i="102"/>
  <c r="A138" i="102"/>
  <c r="A133" i="102"/>
  <c r="A128" i="102"/>
  <c r="A123" i="102"/>
  <c r="A118" i="102"/>
  <c r="A113" i="102"/>
  <c r="A108" i="102"/>
  <c r="A103" i="102"/>
  <c r="A98" i="102"/>
  <c r="A93" i="102"/>
  <c r="A88" i="102"/>
  <c r="A83" i="102"/>
  <c r="A78" i="102"/>
  <c r="A70" i="102"/>
  <c r="A73" i="102"/>
  <c r="A58" i="102"/>
  <c r="A53" i="102"/>
  <c r="A48" i="102"/>
  <c r="A45" i="102"/>
  <c r="A33" i="102"/>
  <c r="A28" i="102"/>
  <c r="A25" i="102"/>
  <c r="A18" i="102"/>
  <c r="A8" i="102"/>
  <c r="B15" i="102"/>
  <c r="A15" i="102"/>
  <c r="A5" i="102"/>
  <c r="L15" i="102"/>
  <c r="V15" i="102"/>
  <c r="Y16" i="102"/>
  <c r="O16" i="102"/>
  <c r="E16" i="102"/>
  <c r="X6" i="102"/>
  <c r="W6" i="102"/>
  <c r="V6" i="102"/>
  <c r="N6" i="102"/>
  <c r="M6" i="102"/>
  <c r="L6" i="102"/>
  <c r="D6" i="102"/>
  <c r="C6" i="102"/>
  <c r="B6" i="102"/>
  <c r="A825" i="101"/>
  <c r="A1292" i="101"/>
  <c r="A1291" i="101"/>
  <c r="A1290" i="101"/>
  <c r="A1289" i="101"/>
  <c r="A1288" i="101"/>
  <c r="A1287" i="101"/>
  <c r="A1286" i="101"/>
  <c r="A1285" i="101"/>
  <c r="A1284" i="101"/>
  <c r="A1275" i="101"/>
  <c r="A1274" i="101"/>
  <c r="A1273" i="101"/>
  <c r="A1272" i="101"/>
  <c r="A1271" i="101"/>
  <c r="A1270" i="101"/>
  <c r="A1269" i="101"/>
  <c r="A1268" i="101"/>
  <c r="A1267" i="101"/>
  <c r="A1258" i="101"/>
  <c r="A1257" i="101"/>
  <c r="A1256" i="101"/>
  <c r="A1255" i="101"/>
  <c r="A1254" i="101"/>
  <c r="A1253" i="101"/>
  <c r="A1252" i="101"/>
  <c r="A1251" i="101"/>
  <c r="A1250" i="101"/>
  <c r="A1241" i="101"/>
  <c r="A1240" i="101"/>
  <c r="A1239" i="101"/>
  <c r="A1238" i="101"/>
  <c r="A1237" i="101"/>
  <c r="A1236" i="101"/>
  <c r="A1235" i="101"/>
  <c r="A1234" i="101"/>
  <c r="A1233" i="101"/>
  <c r="A1224" i="101"/>
  <c r="A1223" i="101"/>
  <c r="A1222" i="101"/>
  <c r="A1221" i="101"/>
  <c r="A1220" i="101"/>
  <c r="A1219" i="101"/>
  <c r="A1218" i="101"/>
  <c r="A1217" i="101"/>
  <c r="A1216" i="101"/>
  <c r="A1207" i="101"/>
  <c r="A1206" i="101"/>
  <c r="A1205" i="101"/>
  <c r="A1204" i="101"/>
  <c r="A1203" i="101"/>
  <c r="A1202" i="101"/>
  <c r="A1201" i="101"/>
  <c r="A1200" i="101"/>
  <c r="A1199" i="101"/>
  <c r="A1190" i="101"/>
  <c r="A1189" i="101"/>
  <c r="A1188" i="101"/>
  <c r="A1187" i="101"/>
  <c r="A1186" i="101"/>
  <c r="A1185" i="101"/>
  <c r="A1184" i="101"/>
  <c r="A1183" i="101"/>
  <c r="A1182" i="101"/>
  <c r="A1173" i="101"/>
  <c r="A1172" i="101"/>
  <c r="A1171" i="101"/>
  <c r="A1170" i="101"/>
  <c r="A1169" i="101"/>
  <c r="A1168" i="101"/>
  <c r="A1167" i="101"/>
  <c r="A1166" i="101"/>
  <c r="A1165" i="101"/>
  <c r="A1156" i="101"/>
  <c r="A1155" i="101"/>
  <c r="A1154" i="101"/>
  <c r="A1153" i="101"/>
  <c r="A1152" i="101"/>
  <c r="A1151" i="101"/>
  <c r="A1150" i="101"/>
  <c r="A1149" i="101"/>
  <c r="A1148" i="101"/>
  <c r="A1139" i="101"/>
  <c r="A1138" i="101"/>
  <c r="A1137" i="101"/>
  <c r="A1136" i="101"/>
  <c r="A1135" i="101"/>
  <c r="A1134" i="101"/>
  <c r="A1133" i="101"/>
  <c r="A1132" i="101"/>
  <c r="A1131" i="101"/>
  <c r="A1122" i="101"/>
  <c r="A1121" i="101"/>
  <c r="A1120" i="101"/>
  <c r="A1119" i="101"/>
  <c r="A1118" i="101"/>
  <c r="A1117" i="101"/>
  <c r="A1116" i="101"/>
  <c r="A1115" i="101"/>
  <c r="A1114" i="101"/>
  <c r="A1105" i="101"/>
  <c r="A1104" i="101"/>
  <c r="A1103" i="101"/>
  <c r="A1102" i="101"/>
  <c r="A1101" i="101"/>
  <c r="A1100" i="101"/>
  <c r="A1099" i="101"/>
  <c r="A1098" i="101"/>
  <c r="A1097" i="101"/>
  <c r="A1088" i="101"/>
  <c r="A1087" i="101"/>
  <c r="A1086" i="101"/>
  <c r="A1085" i="101"/>
  <c r="A1084" i="101"/>
  <c r="A1083" i="101"/>
  <c r="A1082" i="101"/>
  <c r="A1081" i="101"/>
  <c r="A1080" i="101"/>
  <c r="A1071" i="101"/>
  <c r="A1070" i="101"/>
  <c r="A1069" i="101"/>
  <c r="A1068" i="101"/>
  <c r="A1067" i="101"/>
  <c r="A1066" i="101"/>
  <c r="A1065" i="101"/>
  <c r="A1064" i="101"/>
  <c r="A1063" i="101"/>
  <c r="A1054" i="101"/>
  <c r="A1053" i="101"/>
  <c r="A1052" i="101"/>
  <c r="A1051" i="101"/>
  <c r="A1050" i="101"/>
  <c r="A1049" i="101"/>
  <c r="A1048" i="101"/>
  <c r="A1047" i="101"/>
  <c r="A1046" i="101"/>
  <c r="A1037" i="101"/>
  <c r="A1036" i="101"/>
  <c r="A1035" i="101"/>
  <c r="A1034" i="101"/>
  <c r="A1033" i="101"/>
  <c r="A1032" i="101"/>
  <c r="A1031" i="101"/>
  <c r="A1030" i="101"/>
  <c r="A1029" i="101"/>
  <c r="A1020" i="101"/>
  <c r="A1019" i="101"/>
  <c r="A1018" i="101"/>
  <c r="A1017" i="101"/>
  <c r="A1016" i="101"/>
  <c r="A1015" i="101"/>
  <c r="A1014" i="101"/>
  <c r="A1013" i="101"/>
  <c r="A1012" i="101"/>
  <c r="A1003" i="101"/>
  <c r="A1002" i="101"/>
  <c r="A1001" i="101"/>
  <c r="A1000" i="101"/>
  <c r="A999" i="101"/>
  <c r="A998" i="101"/>
  <c r="A997" i="101"/>
  <c r="A996" i="101"/>
  <c r="A995" i="101"/>
  <c r="A986" i="101"/>
  <c r="A985" i="101"/>
  <c r="A984" i="101"/>
  <c r="A983" i="101"/>
  <c r="A982" i="101"/>
  <c r="A981" i="101"/>
  <c r="A980" i="101"/>
  <c r="A979" i="101"/>
  <c r="A978" i="101"/>
  <c r="A969" i="101"/>
  <c r="A968" i="101"/>
  <c r="A967" i="101"/>
  <c r="A966" i="101"/>
  <c r="A965" i="101"/>
  <c r="A964" i="101"/>
  <c r="A963" i="101"/>
  <c r="A962" i="101"/>
  <c r="A961" i="101"/>
  <c r="A952" i="101"/>
  <c r="A951" i="101"/>
  <c r="A950" i="101"/>
  <c r="A949" i="101"/>
  <c r="A948" i="101"/>
  <c r="A947" i="101"/>
  <c r="A946" i="101"/>
  <c r="A945" i="101"/>
  <c r="A944" i="101"/>
  <c r="A935" i="101"/>
  <c r="A934" i="101"/>
  <c r="A933" i="101"/>
  <c r="A932" i="101"/>
  <c r="A931" i="101"/>
  <c r="A930" i="101"/>
  <c r="A929" i="101"/>
  <c r="A928" i="101"/>
  <c r="A927" i="101"/>
  <c r="A918" i="101"/>
  <c r="A917" i="101"/>
  <c r="A916" i="101"/>
  <c r="A915" i="101"/>
  <c r="A914" i="101"/>
  <c r="A913" i="101"/>
  <c r="A912" i="101"/>
  <c r="A911" i="101"/>
  <c r="A910" i="101"/>
  <c r="A901" i="101"/>
  <c r="A900" i="101"/>
  <c r="A899" i="101"/>
  <c r="A898" i="101"/>
  <c r="A897" i="101"/>
  <c r="A896" i="101"/>
  <c r="A895" i="101"/>
  <c r="A894" i="101"/>
  <c r="A893" i="101"/>
  <c r="A884" i="101"/>
  <c r="A883" i="101"/>
  <c r="A882" i="101"/>
  <c r="A881" i="101"/>
  <c r="A880" i="101"/>
  <c r="A879" i="101"/>
  <c r="A878" i="101"/>
  <c r="A877" i="101"/>
  <c r="A876" i="101"/>
  <c r="A867" i="101"/>
  <c r="A866" i="101"/>
  <c r="A865" i="101"/>
  <c r="A864" i="101"/>
  <c r="A863" i="101"/>
  <c r="A862" i="101"/>
  <c r="A861" i="101"/>
  <c r="A860" i="101"/>
  <c r="A859" i="101"/>
  <c r="A850" i="101"/>
  <c r="A849" i="101"/>
  <c r="A848" i="101"/>
  <c r="A847" i="101"/>
  <c r="A846" i="101"/>
  <c r="A845" i="101"/>
  <c r="A844" i="101"/>
  <c r="A843" i="101"/>
  <c r="A842" i="101"/>
  <c r="A833" i="101"/>
  <c r="A832" i="101"/>
  <c r="A831" i="101"/>
  <c r="A830" i="101"/>
  <c r="A829" i="101"/>
  <c r="A828" i="101"/>
  <c r="A827" i="101"/>
  <c r="A826" i="101"/>
  <c r="A816" i="101"/>
  <c r="A815" i="101"/>
  <c r="A814" i="101"/>
  <c r="A813" i="101"/>
  <c r="A812" i="101"/>
  <c r="A811" i="101"/>
  <c r="A810" i="101"/>
  <c r="A809" i="101"/>
  <c r="A808" i="101"/>
  <c r="A799" i="101"/>
  <c r="A798" i="101"/>
  <c r="A797" i="101"/>
  <c r="A796" i="101"/>
  <c r="A795" i="101"/>
  <c r="A794" i="101"/>
  <c r="A793" i="101"/>
  <c r="A792" i="101"/>
  <c r="A791" i="101"/>
  <c r="A782" i="101"/>
  <c r="A781" i="101"/>
  <c r="A780" i="101"/>
  <c r="A779" i="101"/>
  <c r="A778" i="101"/>
  <c r="A777" i="101"/>
  <c r="A776" i="101"/>
  <c r="A775" i="101"/>
  <c r="A774" i="101"/>
  <c r="A765" i="101"/>
  <c r="A764" i="101"/>
  <c r="A763" i="101"/>
  <c r="A762" i="101"/>
  <c r="A761" i="101"/>
  <c r="A760" i="101"/>
  <c r="A759" i="101"/>
  <c r="A758" i="101"/>
  <c r="A757" i="101"/>
  <c r="A748" i="101"/>
  <c r="A747" i="101"/>
  <c r="A746" i="101"/>
  <c r="A745" i="101"/>
  <c r="A744" i="101"/>
  <c r="A743" i="101"/>
  <c r="A742" i="101"/>
  <c r="A741" i="101"/>
  <c r="A740" i="101"/>
  <c r="A731" i="101"/>
  <c r="A730" i="101"/>
  <c r="A729" i="101"/>
  <c r="A728" i="101"/>
  <c r="A727" i="101"/>
  <c r="A726" i="101"/>
  <c r="A725" i="101"/>
  <c r="A724" i="101"/>
  <c r="A723" i="101"/>
  <c r="A714" i="101"/>
  <c r="A713" i="101"/>
  <c r="A712" i="101"/>
  <c r="A711" i="101"/>
  <c r="A710" i="101"/>
  <c r="A709" i="101"/>
  <c r="A708" i="101"/>
  <c r="A707" i="101"/>
  <c r="A706" i="101"/>
  <c r="A697" i="101"/>
  <c r="A696" i="101"/>
  <c r="A695" i="101"/>
  <c r="A694" i="101"/>
  <c r="A693" i="101"/>
  <c r="A692" i="101"/>
  <c r="A691" i="101"/>
  <c r="A690" i="101"/>
  <c r="A689" i="101"/>
  <c r="A680" i="101"/>
  <c r="A679" i="101"/>
  <c r="A678" i="101"/>
  <c r="A677" i="101"/>
  <c r="A676" i="101"/>
  <c r="A675" i="101"/>
  <c r="A674" i="101"/>
  <c r="A673" i="101"/>
  <c r="A672" i="101"/>
  <c r="A663" i="101"/>
  <c r="A662" i="101"/>
  <c r="A661" i="101"/>
  <c r="A660" i="101"/>
  <c r="A659" i="101"/>
  <c r="A658" i="101"/>
  <c r="A657" i="101"/>
  <c r="A656" i="101"/>
  <c r="A655" i="101"/>
  <c r="A646" i="101"/>
  <c r="A645" i="101"/>
  <c r="A644" i="101"/>
  <c r="A643" i="101"/>
  <c r="A642" i="101"/>
  <c r="A641" i="101"/>
  <c r="A640" i="101"/>
  <c r="A639" i="101"/>
  <c r="A638" i="101"/>
  <c r="A629" i="101"/>
  <c r="A628" i="101"/>
  <c r="A627" i="101"/>
  <c r="A626" i="101"/>
  <c r="A625" i="101"/>
  <c r="A624" i="101"/>
  <c r="A623" i="101"/>
  <c r="A622" i="101"/>
  <c r="A621" i="101"/>
  <c r="A612" i="101"/>
  <c r="A611" i="101"/>
  <c r="A610" i="101"/>
  <c r="A609" i="101"/>
  <c r="A608" i="101"/>
  <c r="A607" i="101"/>
  <c r="A606" i="101"/>
  <c r="A605" i="101"/>
  <c r="A604" i="101"/>
  <c r="A595" i="101"/>
  <c r="A594" i="101"/>
  <c r="A593" i="101"/>
  <c r="A592" i="101"/>
  <c r="A591" i="101"/>
  <c r="A590" i="101"/>
  <c r="A589" i="101"/>
  <c r="A588" i="101"/>
  <c r="A587" i="101"/>
  <c r="A578" i="101"/>
  <c r="A577" i="101"/>
  <c r="A576" i="101"/>
  <c r="A575" i="101"/>
  <c r="A574" i="101"/>
  <c r="A573" i="101"/>
  <c r="A572" i="101"/>
  <c r="A571" i="101"/>
  <c r="A570" i="101"/>
  <c r="A561" i="101"/>
  <c r="A560" i="101"/>
  <c r="A559" i="101"/>
  <c r="A558" i="101"/>
  <c r="A557" i="101"/>
  <c r="A556" i="101"/>
  <c r="A555" i="101"/>
  <c r="A554" i="101"/>
  <c r="A553" i="101"/>
  <c r="A544" i="101"/>
  <c r="A543" i="101"/>
  <c r="A542" i="101"/>
  <c r="A541" i="101"/>
  <c r="A540" i="101"/>
  <c r="A539" i="101"/>
  <c r="A538" i="101"/>
  <c r="A537" i="101"/>
  <c r="A536" i="101"/>
  <c r="A527" i="101"/>
  <c r="A526" i="101"/>
  <c r="A525" i="101"/>
  <c r="A524" i="101"/>
  <c r="A523" i="101"/>
  <c r="A522" i="101"/>
  <c r="A521" i="101"/>
  <c r="A520" i="101"/>
  <c r="A519" i="101"/>
  <c r="A510" i="101"/>
  <c r="A509" i="101"/>
  <c r="A508" i="101"/>
  <c r="A507" i="101"/>
  <c r="A506" i="101"/>
  <c r="A505" i="101"/>
  <c r="A504" i="101"/>
  <c r="A503" i="101"/>
  <c r="A502" i="101"/>
  <c r="A493" i="101"/>
  <c r="A492" i="101"/>
  <c r="A491" i="101"/>
  <c r="A490" i="101"/>
  <c r="A489" i="101"/>
  <c r="A488" i="101"/>
  <c r="A487" i="101"/>
  <c r="A486" i="101"/>
  <c r="A485" i="101"/>
  <c r="A476" i="101"/>
  <c r="A475" i="101"/>
  <c r="A474" i="101"/>
  <c r="A473" i="101"/>
  <c r="A472" i="101"/>
  <c r="A471" i="101"/>
  <c r="A470" i="101"/>
  <c r="A469" i="101"/>
  <c r="A468" i="101"/>
  <c r="A459" i="101"/>
  <c r="A458" i="101"/>
  <c r="A457" i="101"/>
  <c r="A456" i="101"/>
  <c r="A455" i="101"/>
  <c r="A454" i="101"/>
  <c r="A453" i="101"/>
  <c r="A452" i="101"/>
  <c r="A451" i="101"/>
  <c r="A442" i="101"/>
  <c r="A441" i="101"/>
  <c r="A440" i="101"/>
  <c r="A439" i="101"/>
  <c r="A438" i="101"/>
  <c r="A437" i="101"/>
  <c r="A436" i="101"/>
  <c r="A435" i="101"/>
  <c r="A434" i="101"/>
  <c r="A425" i="101"/>
  <c r="A424" i="101"/>
  <c r="A423" i="101"/>
  <c r="A422" i="101"/>
  <c r="A421" i="101"/>
  <c r="A420" i="101"/>
  <c r="A419" i="101"/>
  <c r="A418" i="101"/>
  <c r="A417" i="101"/>
  <c r="A408" i="101"/>
  <c r="A407" i="101"/>
  <c r="A406" i="101"/>
  <c r="A405" i="101"/>
  <c r="A404" i="101"/>
  <c r="A403" i="101"/>
  <c r="A402" i="101"/>
  <c r="A401" i="101"/>
  <c r="A400" i="101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546" i="102" l="1"/>
  <c r="I471" i="102"/>
  <c r="D351" i="102"/>
  <c r="I246" i="102"/>
  <c r="D161" i="102"/>
  <c r="D491" i="102"/>
  <c r="I386" i="102"/>
  <c r="D301" i="102"/>
  <c r="I196" i="102"/>
  <c r="D46" i="102"/>
  <c r="D481" i="102"/>
  <c r="I376" i="102"/>
  <c r="D281" i="102"/>
  <c r="I171" i="102"/>
  <c r="I546" i="102"/>
  <c r="D471" i="102"/>
  <c r="I351" i="102"/>
  <c r="D246" i="102"/>
  <c r="I161" i="102"/>
  <c r="I516" i="102"/>
  <c r="D431" i="102"/>
  <c r="I326" i="102"/>
  <c r="D221" i="102"/>
  <c r="I481" i="102"/>
  <c r="I431" i="102"/>
  <c r="I281" i="102"/>
  <c r="I221" i="102"/>
  <c r="D516" i="102"/>
  <c r="I301" i="102"/>
  <c r="D196" i="102"/>
  <c r="D171" i="102"/>
  <c r="I491" i="102"/>
  <c r="D386" i="102"/>
  <c r="D376" i="102"/>
  <c r="I71" i="102"/>
  <c r="I46" i="102"/>
  <c r="D326" i="102"/>
  <c r="I26" i="102"/>
  <c r="D71" i="102"/>
  <c r="D26" i="102"/>
  <c r="Q491" i="102"/>
  <c r="L386" i="102"/>
  <c r="Q301" i="102"/>
  <c r="L196" i="102"/>
  <c r="Q46" i="102"/>
  <c r="L546" i="102"/>
  <c r="Q471" i="102"/>
  <c r="L351" i="102"/>
  <c r="Q246" i="102"/>
  <c r="L161" i="102"/>
  <c r="L516" i="102"/>
  <c r="Q431" i="102"/>
  <c r="L326" i="102"/>
  <c r="Q221" i="102"/>
  <c r="L71" i="102"/>
  <c r="L491" i="102"/>
  <c r="Q386" i="102"/>
  <c r="L301" i="102"/>
  <c r="Q196" i="102"/>
  <c r="L46" i="102"/>
  <c r="L481" i="102"/>
  <c r="Q376" i="102"/>
  <c r="L281" i="102"/>
  <c r="Q546" i="102"/>
  <c r="Q161" i="102"/>
  <c r="Q481" i="102"/>
  <c r="L471" i="102"/>
  <c r="L171" i="102"/>
  <c r="L431" i="102"/>
  <c r="Q26" i="102"/>
  <c r="L26" i="102"/>
  <c r="Q16" i="102"/>
  <c r="Q281" i="102"/>
  <c r="L246" i="102"/>
  <c r="Q171" i="102"/>
  <c r="L221" i="102"/>
  <c r="Q351" i="102"/>
  <c r="Q326" i="102"/>
  <c r="Q71" i="102"/>
  <c r="Q516" i="102"/>
  <c r="L376" i="102"/>
  <c r="M16" i="102"/>
  <c r="R481" i="102"/>
  <c r="M376" i="102"/>
  <c r="R281" i="102"/>
  <c r="M171" i="102"/>
  <c r="R26" i="102"/>
  <c r="M546" i="102"/>
  <c r="M516" i="102"/>
  <c r="R431" i="102"/>
  <c r="M326" i="102"/>
  <c r="R221" i="102"/>
  <c r="M71" i="102"/>
  <c r="M491" i="102"/>
  <c r="R386" i="102"/>
  <c r="M301" i="102"/>
  <c r="R196" i="102"/>
  <c r="M46" i="102"/>
  <c r="M481" i="102"/>
  <c r="R376" i="102"/>
  <c r="M281" i="102"/>
  <c r="R171" i="102"/>
  <c r="M26" i="102"/>
  <c r="R546" i="102"/>
  <c r="M471" i="102"/>
  <c r="R351" i="102"/>
  <c r="M246" i="102"/>
  <c r="R246" i="102"/>
  <c r="R16" i="102"/>
  <c r="R301" i="102"/>
  <c r="M431" i="102"/>
  <c r="R71" i="102"/>
  <c r="R516" i="102"/>
  <c r="M351" i="102"/>
  <c r="R491" i="102"/>
  <c r="M221" i="102"/>
  <c r="R471" i="102"/>
  <c r="R326" i="102"/>
  <c r="R161" i="102"/>
  <c r="M196" i="102"/>
  <c r="M161" i="102"/>
  <c r="M386" i="102"/>
  <c r="R46" i="102"/>
  <c r="N16" i="102"/>
  <c r="N546" i="102"/>
  <c r="S471" i="102"/>
  <c r="N351" i="102"/>
  <c r="S246" i="102"/>
  <c r="N161" i="102"/>
  <c r="N491" i="102"/>
  <c r="S386" i="102"/>
  <c r="N301" i="102"/>
  <c r="S196" i="102"/>
  <c r="N46" i="102"/>
  <c r="N481" i="102"/>
  <c r="S376" i="102"/>
  <c r="N281" i="102"/>
  <c r="S171" i="102"/>
  <c r="S546" i="102"/>
  <c r="N471" i="102"/>
  <c r="S351" i="102"/>
  <c r="N246" i="102"/>
  <c r="S161" i="102"/>
  <c r="S516" i="102"/>
  <c r="N431" i="102"/>
  <c r="S326" i="102"/>
  <c r="N221" i="102"/>
  <c r="S221" i="102"/>
  <c r="N71" i="102"/>
  <c r="N26" i="102"/>
  <c r="N171" i="102"/>
  <c r="S26" i="102"/>
  <c r="S491" i="102"/>
  <c r="N376" i="102"/>
  <c r="S46" i="102"/>
  <c r="N516" i="102"/>
  <c r="S281" i="102"/>
  <c r="S431" i="102"/>
  <c r="S301" i="102"/>
  <c r="N196" i="102"/>
  <c r="S481" i="102"/>
  <c r="S71" i="102"/>
  <c r="N386" i="102"/>
  <c r="N326" i="102"/>
  <c r="S16" i="102"/>
  <c r="V16" i="102"/>
  <c r="V386" i="102"/>
  <c r="V196" i="102"/>
  <c r="V546" i="102"/>
  <c r="V351" i="102"/>
  <c r="V161" i="102"/>
  <c r="V516" i="102"/>
  <c r="V326" i="102"/>
  <c r="V71" i="102"/>
  <c r="V491" i="102"/>
  <c r="V301" i="102"/>
  <c r="V46" i="102"/>
  <c r="V481" i="102"/>
  <c r="V281" i="102"/>
  <c r="V171" i="102"/>
  <c r="V471" i="102"/>
  <c r="V431" i="102"/>
  <c r="V376" i="102"/>
  <c r="V26" i="102"/>
  <c r="V246" i="102"/>
  <c r="V221" i="102"/>
  <c r="W16" i="102"/>
  <c r="W376" i="102"/>
  <c r="W171" i="102"/>
  <c r="W546" i="102"/>
  <c r="W516" i="102"/>
  <c r="W326" i="102"/>
  <c r="W71" i="102"/>
  <c r="W491" i="102"/>
  <c r="W301" i="102"/>
  <c r="W46" i="102"/>
  <c r="W481" i="102"/>
  <c r="W281" i="102"/>
  <c r="W26" i="102"/>
  <c r="W471" i="102"/>
  <c r="W246" i="102"/>
  <c r="W431" i="102"/>
  <c r="W196" i="102"/>
  <c r="W221" i="102"/>
  <c r="W161" i="102"/>
  <c r="W351" i="102"/>
  <c r="W386" i="102"/>
  <c r="G491" i="102"/>
  <c r="B386" i="102"/>
  <c r="G301" i="102"/>
  <c r="B196" i="102"/>
  <c r="G46" i="102"/>
  <c r="B546" i="102"/>
  <c r="G471" i="102"/>
  <c r="B351" i="102"/>
  <c r="G246" i="102"/>
  <c r="B161" i="102"/>
  <c r="B516" i="102"/>
  <c r="G431" i="102"/>
  <c r="B326" i="102"/>
  <c r="G221" i="102"/>
  <c r="B71" i="102"/>
  <c r="B491" i="102"/>
  <c r="G386" i="102"/>
  <c r="B301" i="102"/>
  <c r="G196" i="102"/>
  <c r="B46" i="102"/>
  <c r="B481" i="102"/>
  <c r="G376" i="102"/>
  <c r="B281" i="102"/>
  <c r="G351" i="102"/>
  <c r="B221" i="102"/>
  <c r="G71" i="102"/>
  <c r="G26" i="102"/>
  <c r="G281" i="102"/>
  <c r="B246" i="102"/>
  <c r="B26" i="102"/>
  <c r="G481" i="102"/>
  <c r="B471" i="102"/>
  <c r="G326" i="102"/>
  <c r="G161" i="102"/>
  <c r="B171" i="102"/>
  <c r="G546" i="102"/>
  <c r="B431" i="102"/>
  <c r="B376" i="102"/>
  <c r="G516" i="102"/>
  <c r="G171" i="102"/>
  <c r="X16" i="102"/>
  <c r="X546" i="102"/>
  <c r="X351" i="102"/>
  <c r="X161" i="102"/>
  <c r="X491" i="102"/>
  <c r="X301" i="102"/>
  <c r="X46" i="102"/>
  <c r="X481" i="102"/>
  <c r="X281" i="102"/>
  <c r="X26" i="102"/>
  <c r="X471" i="102"/>
  <c r="X246" i="102"/>
  <c r="X431" i="102"/>
  <c r="X221" i="102"/>
  <c r="X171" i="102"/>
  <c r="X326" i="102"/>
  <c r="X386" i="102"/>
  <c r="X376" i="102"/>
  <c r="X71" i="102"/>
  <c r="X516" i="102"/>
  <c r="X196" i="102"/>
  <c r="H481" i="102"/>
  <c r="C376" i="102"/>
  <c r="H281" i="102"/>
  <c r="C171" i="102"/>
  <c r="H26" i="102"/>
  <c r="C516" i="102"/>
  <c r="H431" i="102"/>
  <c r="C326" i="102"/>
  <c r="H221" i="102"/>
  <c r="C71" i="102"/>
  <c r="C491" i="102"/>
  <c r="H386" i="102"/>
  <c r="C301" i="102"/>
  <c r="H196" i="102"/>
  <c r="C46" i="102"/>
  <c r="C481" i="102"/>
  <c r="H376" i="102"/>
  <c r="C281" i="102"/>
  <c r="H171" i="102"/>
  <c r="C26" i="102"/>
  <c r="H546" i="102"/>
  <c r="C471" i="102"/>
  <c r="H351" i="102"/>
  <c r="C246" i="102"/>
  <c r="H326" i="102"/>
  <c r="H301" i="102"/>
  <c r="C196" i="102"/>
  <c r="H161" i="102"/>
  <c r="C546" i="102"/>
  <c r="C221" i="102"/>
  <c r="C431" i="102"/>
  <c r="C351" i="102"/>
  <c r="H516" i="102"/>
  <c r="H491" i="102"/>
  <c r="C386" i="102"/>
  <c r="C161" i="102"/>
  <c r="H71" i="102"/>
  <c r="H46" i="102"/>
  <c r="H246" i="102"/>
  <c r="H471" i="102"/>
  <c r="B16" i="102"/>
  <c r="G16" i="102"/>
  <c r="C16" i="102"/>
  <c r="H16" i="102"/>
  <c r="D16" i="102"/>
  <c r="I16" i="102"/>
  <c r="L16" i="102"/>
  <c r="A1281" i="101"/>
  <c r="A1264" i="101"/>
  <c r="A1247" i="101"/>
  <c r="A1230" i="101"/>
  <c r="A1213" i="101"/>
  <c r="A1196" i="101"/>
  <c r="A1179" i="101"/>
  <c r="A1162" i="101"/>
  <c r="A1145" i="101"/>
  <c r="A1128" i="101"/>
  <c r="A1111" i="101"/>
  <c r="A1094" i="101"/>
  <c r="A1077" i="101"/>
  <c r="A1060" i="101"/>
  <c r="A1043" i="101"/>
  <c r="A1026" i="101"/>
  <c r="A1009" i="101"/>
  <c r="A992" i="101"/>
  <c r="A975" i="101"/>
  <c r="A958" i="101"/>
  <c r="A941" i="101"/>
  <c r="A924" i="101"/>
  <c r="A907" i="101"/>
  <c r="A890" i="101"/>
  <c r="A873" i="101"/>
  <c r="A856" i="101"/>
  <c r="A839" i="101"/>
  <c r="A822" i="101"/>
  <c r="A805" i="101"/>
  <c r="A788" i="101"/>
  <c r="A771" i="101"/>
  <c r="A754" i="101"/>
  <c r="A737" i="101"/>
  <c r="A720" i="101"/>
  <c r="A703" i="101"/>
  <c r="A686" i="101"/>
  <c r="A669" i="101"/>
  <c r="A652" i="101"/>
  <c r="A635" i="101"/>
  <c r="A618" i="101"/>
  <c r="A601" i="101"/>
  <c r="A584" i="101"/>
  <c r="A567" i="101"/>
  <c r="A550" i="101"/>
  <c r="A533" i="101"/>
  <c r="A516" i="101"/>
  <c r="A499" i="101"/>
  <c r="A482" i="101"/>
  <c r="A465" i="101"/>
  <c r="A448" i="101"/>
  <c r="A431" i="101"/>
  <c r="A414" i="101"/>
  <c r="A397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J1281" i="101"/>
  <c r="F1281" i="101"/>
  <c r="B1281" i="101"/>
  <c r="J1264" i="101"/>
  <c r="F1264" i="101"/>
  <c r="B1264" i="101"/>
  <c r="J1247" i="101"/>
  <c r="F1247" i="101"/>
  <c r="B1247" i="101"/>
  <c r="J1230" i="101"/>
  <c r="F1230" i="101"/>
  <c r="B1230" i="101"/>
  <c r="J1213" i="101"/>
  <c r="F1213" i="101"/>
  <c r="B1213" i="101"/>
  <c r="J1196" i="101"/>
  <c r="F1196" i="101"/>
  <c r="B1196" i="101"/>
  <c r="J1179" i="101"/>
  <c r="F1179" i="101"/>
  <c r="B1179" i="101"/>
  <c r="J1162" i="101"/>
  <c r="F1162" i="101"/>
  <c r="B1162" i="101"/>
  <c r="J1145" i="101"/>
  <c r="F1145" i="101"/>
  <c r="B1145" i="101"/>
  <c r="J1128" i="101"/>
  <c r="F1128" i="101"/>
  <c r="B1128" i="101"/>
  <c r="J1111" i="101"/>
  <c r="F1111" i="101"/>
  <c r="B1111" i="101"/>
  <c r="J1094" i="101"/>
  <c r="F1094" i="101"/>
  <c r="B1094" i="101"/>
  <c r="J1077" i="101"/>
  <c r="F1077" i="101"/>
  <c r="B1077" i="101"/>
  <c r="J1060" i="101"/>
  <c r="F1060" i="101"/>
  <c r="B1060" i="101"/>
  <c r="J1043" i="101"/>
  <c r="F1043" i="101"/>
  <c r="B1043" i="101"/>
  <c r="J1026" i="101"/>
  <c r="F1026" i="101"/>
  <c r="B1026" i="101"/>
  <c r="J1009" i="101"/>
  <c r="F1009" i="101"/>
  <c r="B1009" i="101"/>
  <c r="J992" i="101"/>
  <c r="F992" i="101"/>
  <c r="B992" i="101"/>
  <c r="J975" i="101"/>
  <c r="F975" i="101"/>
  <c r="B975" i="101"/>
  <c r="J958" i="101"/>
  <c r="F958" i="101"/>
  <c r="B958" i="101"/>
  <c r="J941" i="101"/>
  <c r="F941" i="101"/>
  <c r="B941" i="101"/>
  <c r="J924" i="101"/>
  <c r="F924" i="101"/>
  <c r="B924" i="101"/>
  <c r="J907" i="101"/>
  <c r="F907" i="101"/>
  <c r="B907" i="101"/>
  <c r="J890" i="101"/>
  <c r="F890" i="101"/>
  <c r="B890" i="101"/>
  <c r="J873" i="101"/>
  <c r="F873" i="101"/>
  <c r="B873" i="101"/>
  <c r="J856" i="101"/>
  <c r="F856" i="101"/>
  <c r="B856" i="101"/>
  <c r="J839" i="101"/>
  <c r="F839" i="101"/>
  <c r="B839" i="101"/>
  <c r="J822" i="101"/>
  <c r="F822" i="101"/>
  <c r="B822" i="101"/>
  <c r="J805" i="101"/>
  <c r="F805" i="101"/>
  <c r="B805" i="101"/>
  <c r="J788" i="101"/>
  <c r="F788" i="101"/>
  <c r="B788" i="101"/>
  <c r="J771" i="101"/>
  <c r="F771" i="101"/>
  <c r="B771" i="101"/>
  <c r="A23" i="101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J397" i="101" s="1"/>
  <c r="J414" i="101" s="1"/>
  <c r="J431" i="101" s="1"/>
  <c r="J448" i="101" s="1"/>
  <c r="J465" i="101" s="1"/>
  <c r="J482" i="101" s="1"/>
  <c r="J499" i="101" s="1"/>
  <c r="J516" i="101" s="1"/>
  <c r="J533" i="101" s="1"/>
  <c r="J550" i="101" s="1"/>
  <c r="J567" i="101" s="1"/>
  <c r="J584" i="101" s="1"/>
  <c r="J601" i="101" s="1"/>
  <c r="J618" i="101" s="1"/>
  <c r="J635" i="101" s="1"/>
  <c r="J652" i="101" s="1"/>
  <c r="J669" i="101" s="1"/>
  <c r="J686" i="101" s="1"/>
  <c r="J703" i="101" s="1"/>
  <c r="J720" i="101" s="1"/>
  <c r="J737" i="101" s="1"/>
  <c r="J754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F397" i="101" s="1"/>
  <c r="F414" i="101" s="1"/>
  <c r="F431" i="101" s="1"/>
  <c r="F448" i="101" s="1"/>
  <c r="F465" i="101" s="1"/>
  <c r="F482" i="101" s="1"/>
  <c r="F499" i="101" s="1"/>
  <c r="F516" i="101" s="1"/>
  <c r="F533" i="101" s="1"/>
  <c r="F550" i="101" s="1"/>
  <c r="F567" i="101" s="1"/>
  <c r="F584" i="101" s="1"/>
  <c r="F601" i="101" s="1"/>
  <c r="F618" i="101" s="1"/>
  <c r="F635" i="101" s="1"/>
  <c r="F652" i="101" s="1"/>
  <c r="F669" i="101" s="1"/>
  <c r="F686" i="101" s="1"/>
  <c r="F703" i="101" s="1"/>
  <c r="F720" i="101" s="1"/>
  <c r="F737" i="101" s="1"/>
  <c r="F754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I8" i="79"/>
  <c r="I35" i="79" s="1"/>
  <c r="H8" i="79"/>
  <c r="H35" i="79" s="1"/>
  <c r="G8" i="79"/>
  <c r="G35" i="79" s="1"/>
  <c r="F8" i="79"/>
  <c r="F35" i="79" s="1"/>
  <c r="E8" i="79"/>
  <c r="E35" i="79" s="1"/>
  <c r="D8" i="79"/>
  <c r="D35" i="79" s="1"/>
  <c r="C8" i="79"/>
  <c r="C35" i="79" s="1"/>
  <c r="B8" i="79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B35" i="79" l="1"/>
  <c r="K8" i="79"/>
  <c r="S33" i="79"/>
  <c r="AF8" i="79" l="1"/>
  <c r="T17" i="79"/>
  <c r="T33" i="79"/>
  <c r="U25" i="79"/>
  <c r="U33" i="79"/>
  <c r="P19" i="79"/>
  <c r="P33" i="79"/>
  <c r="R9" i="79"/>
  <c r="R33" i="79"/>
  <c r="Q31" i="79"/>
  <c r="Q33" i="79"/>
  <c r="U30" i="79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55" i="78" s="1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64" i="78" s="1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53" i="78" s="1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R27" i="78"/>
  <c r="CR64" i="78" s="1"/>
  <c r="CR101" i="78" s="1"/>
  <c r="CR26" i="78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G17" i="78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G9" i="78"/>
  <c r="CG46" i="78" s="1"/>
  <c r="CG83" i="78" s="1"/>
  <c r="CG8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BA66" i="78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E101" i="78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L107" i="49" s="1" a="1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H82" i="78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46" i="78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2" i="76"/>
  <c r="M5" i="76"/>
  <c r="N5" i="76"/>
  <c r="O5" i="76"/>
  <c r="P5" i="76"/>
  <c r="M9" i="76"/>
  <c r="N9" i="76"/>
  <c r="O9" i="76"/>
  <c r="P9" i="76"/>
  <c r="N15" i="76"/>
  <c r="O15" i="76"/>
  <c r="P15" i="76"/>
  <c r="M26" i="76"/>
  <c r="M37" i="76"/>
  <c r="N37" i="76"/>
  <c r="O37" i="76"/>
  <c r="P37" i="76"/>
  <c r="M41" i="76"/>
  <c r="N41" i="76"/>
  <c r="O41" i="76"/>
  <c r="P41" i="76"/>
  <c r="M45" i="76"/>
  <c r="N45" i="76"/>
  <c r="O45" i="76"/>
  <c r="P4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BX24" i="78" l="1"/>
  <c r="BX61" i="78" s="1"/>
  <c r="BX98" i="78" s="1"/>
  <c r="CI17" i="78"/>
  <c r="CI54" i="78" s="1"/>
  <c r="CI91" i="78" s="1"/>
  <c r="CT8" i="78"/>
  <c r="CT45" i="78" s="1"/>
  <c r="CT82" i="78" s="1"/>
  <c r="CH91" i="78"/>
  <c r="CT26" i="78"/>
  <c r="CT63" i="78" s="1"/>
  <c r="CT100" i="78" s="1"/>
  <c r="AQ28" i="78"/>
  <c r="AQ65" i="78" s="1"/>
  <c r="AQ102" i="78" s="1"/>
  <c r="CS100" i="78"/>
  <c r="AP102" i="78"/>
  <c r="L85" i="49" a="1"/>
  <c r="L63" i="49" a="1"/>
  <c r="L96" i="49" a="1"/>
  <c r="L74" i="49" a="1"/>
  <c r="L107" i="49"/>
  <c r="L113" i="49"/>
  <c r="L114" i="49"/>
  <c r="L112" i="49"/>
  <c r="L111" i="49"/>
  <c r="L110" i="49"/>
  <c r="L109" i="49"/>
  <c r="L108" i="49"/>
  <c r="L115" i="49"/>
  <c r="CS35" i="78"/>
  <c r="CT35" i="78" s="1"/>
  <c r="BL35" i="78"/>
  <c r="BM35" i="78" s="1"/>
  <c r="CH82" i="78"/>
  <c r="CH35" i="78"/>
  <c r="CI35" i="78" s="1"/>
  <c r="CS45" i="78"/>
  <c r="T82" i="78"/>
  <c r="BW82" i="78"/>
  <c r="BW35" i="78"/>
  <c r="BX35" i="78" s="1"/>
  <c r="AE35" i="78"/>
  <c r="AF35" i="78" s="1"/>
  <c r="AP82" i="78"/>
  <c r="AP35" i="78"/>
  <c r="AQ35" i="78" s="1"/>
  <c r="BA45" i="78"/>
  <c r="BA35" i="78"/>
  <c r="BB35" i="78" s="1"/>
  <c r="F210" i="49"/>
  <c r="D236" i="49"/>
  <c r="F239" i="49"/>
  <c r="D265" i="49"/>
  <c r="F268" i="49"/>
  <c r="D294" i="49"/>
  <c r="D178" i="49"/>
  <c r="F181" i="49"/>
  <c r="D207" i="49"/>
  <c r="BL96" i="78"/>
  <c r="CS47" i="78"/>
  <c r="AQ20" i="78"/>
  <c r="AQ57" i="78" s="1"/>
  <c r="AQ94" i="78" s="1"/>
  <c r="AE56" i="78"/>
  <c r="CS106" i="78"/>
  <c r="CH83" i="78"/>
  <c r="BW62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N26" i="76"/>
  <c r="P26" i="76"/>
  <c r="M22" i="76"/>
  <c r="M49" i="76" s="1"/>
  <c r="O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G207" i="49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G236" i="49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2" i="78"/>
  <c r="G265" i="49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G178" i="49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N63" i="49" l="1" a="1"/>
  <c r="N63" i="49" s="1"/>
  <c r="F294" i="49"/>
  <c r="N107" i="49" a="1"/>
  <c r="F265" i="49"/>
  <c r="N96" i="49" a="1"/>
  <c r="N85" i="49" a="1"/>
  <c r="L75" i="49"/>
  <c r="L74" i="49"/>
  <c r="L78" i="49"/>
  <c r="L81" i="49"/>
  <c r="L82" i="49"/>
  <c r="L79" i="49"/>
  <c r="L77" i="49"/>
  <c r="L80" i="49"/>
  <c r="L76" i="49"/>
  <c r="N74" i="49" a="1"/>
  <c r="L96" i="49"/>
  <c r="L101" i="49"/>
  <c r="L103" i="49"/>
  <c r="L97" i="49"/>
  <c r="L102" i="49"/>
  <c r="L100" i="49"/>
  <c r="L98" i="49"/>
  <c r="L104" i="49"/>
  <c r="L99" i="49"/>
  <c r="L63" i="49"/>
  <c r="L69" i="49"/>
  <c r="L70" i="49"/>
  <c r="L67" i="49"/>
  <c r="L66" i="49"/>
  <c r="L65" i="49"/>
  <c r="L71" i="49"/>
  <c r="L68" i="49"/>
  <c r="L64" i="49"/>
  <c r="L85" i="49"/>
  <c r="L92" i="49"/>
  <c r="L86" i="49"/>
  <c r="L93" i="49"/>
  <c r="L91" i="49"/>
  <c r="L87" i="49"/>
  <c r="L90" i="49"/>
  <c r="L89" i="49"/>
  <c r="L88" i="49"/>
  <c r="M82" i="76"/>
  <c r="M79" i="76"/>
  <c r="F178" i="49"/>
  <c r="F207" i="49"/>
  <c r="F236" i="49"/>
  <c r="P22" i="76"/>
  <c r="O22" i="76"/>
  <c r="N22" i="76"/>
  <c r="CT58" i="78"/>
  <c r="CT95" i="78" s="1"/>
  <c r="H4" i="71"/>
  <c r="M2" i="21"/>
  <c r="M11" i="21"/>
  <c r="N11" i="21"/>
  <c r="O11" i="21"/>
  <c r="P11" i="21"/>
  <c r="M18" i="21"/>
  <c r="N18" i="21"/>
  <c r="O18" i="21"/>
  <c r="P18" i="21"/>
  <c r="N33" i="21"/>
  <c r="O33" i="21"/>
  <c r="P33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N69" i="49" l="1"/>
  <c r="N71" i="49"/>
  <c r="N64" i="49"/>
  <c r="N65" i="49"/>
  <c r="N66" i="49"/>
  <c r="N67" i="49"/>
  <c r="N68" i="49"/>
  <c r="N70" i="49"/>
  <c r="N74" i="49"/>
  <c r="N81" i="49"/>
  <c r="N76" i="49"/>
  <c r="N75" i="49"/>
  <c r="N82" i="49"/>
  <c r="N80" i="49"/>
  <c r="N79" i="49"/>
  <c r="N77" i="49"/>
  <c r="N78" i="49"/>
  <c r="N85" i="49"/>
  <c r="N91" i="49"/>
  <c r="N90" i="49"/>
  <c r="N88" i="49"/>
  <c r="N87" i="49"/>
  <c r="N89" i="49"/>
  <c r="N86" i="49"/>
  <c r="N93" i="49"/>
  <c r="N92" i="49"/>
  <c r="N99" i="49"/>
  <c r="N96" i="49"/>
  <c r="N97" i="49"/>
  <c r="N98" i="49"/>
  <c r="N101" i="49"/>
  <c r="N103" i="49"/>
  <c r="N104" i="49"/>
  <c r="N102" i="49"/>
  <c r="N100" i="49"/>
  <c r="L52" i="49" a="1"/>
  <c r="N107" i="49"/>
  <c r="N114" i="49"/>
  <c r="N115" i="49"/>
  <c r="N113" i="49"/>
  <c r="N112" i="49"/>
  <c r="N111" i="49"/>
  <c r="N110" i="49"/>
  <c r="N108" i="49"/>
  <c r="N109" i="49"/>
  <c r="M86" i="76"/>
  <c r="F123" i="49"/>
  <c r="D149" i="49"/>
  <c r="S78" i="71"/>
  <c r="AD78" i="71"/>
  <c r="AD41" i="71"/>
  <c r="S41" i="71"/>
  <c r="N49" i="76"/>
  <c r="N82" i="76" s="1"/>
  <c r="M53" i="76"/>
  <c r="M58" i="76"/>
  <c r="M63" i="76"/>
  <c r="M67" i="76"/>
  <c r="M77" i="76"/>
  <c r="M89" i="76"/>
  <c r="M94" i="76"/>
  <c r="M57" i="76"/>
  <c r="M66" i="76"/>
  <c r="M71" i="76"/>
  <c r="M76" i="76"/>
  <c r="M60" i="76"/>
  <c r="M65" i="76"/>
  <c r="M70" i="76"/>
  <c r="M75" i="76"/>
  <c r="M80" i="76"/>
  <c r="M74" i="76"/>
  <c r="M85" i="76"/>
  <c r="M54" i="76"/>
  <c r="M59" i="76"/>
  <c r="M64" i="76"/>
  <c r="M96" i="76"/>
  <c r="M93" i="76"/>
  <c r="M81" i="76"/>
  <c r="M90" i="76"/>
  <c r="M62" i="76"/>
  <c r="M92" i="76"/>
  <c r="M84" i="76"/>
  <c r="M52" i="76"/>
  <c r="M56" i="76"/>
  <c r="M88" i="76"/>
  <c r="M73" i="76"/>
  <c r="P49" i="76"/>
  <c r="P82" i="76" s="1"/>
  <c r="O49" i="76"/>
  <c r="O82" i="76" s="1"/>
  <c r="M69" i="76"/>
  <c r="M38" i="21"/>
  <c r="P38" i="21"/>
  <c r="N38" i="21"/>
  <c r="O38" i="21"/>
  <c r="G149" i="49"/>
  <c r="F149" i="49" l="1"/>
  <c r="N52" i="49" a="1"/>
  <c r="L52" i="49"/>
  <c r="L59" i="49"/>
  <c r="L58" i="49"/>
  <c r="L57" i="49"/>
  <c r="L55" i="49"/>
  <c r="L56" i="49"/>
  <c r="L54" i="49"/>
  <c r="L53" i="49"/>
  <c r="L60" i="49"/>
  <c r="O53" i="76"/>
  <c r="O63" i="76"/>
  <c r="O67" i="76"/>
  <c r="O77" i="76"/>
  <c r="O58" i="76"/>
  <c r="O71" i="76"/>
  <c r="O76" i="76"/>
  <c r="O57" i="76"/>
  <c r="O66" i="76"/>
  <c r="O81" i="76"/>
  <c r="O60" i="76"/>
  <c r="O65" i="76"/>
  <c r="O70" i="76"/>
  <c r="O75" i="76"/>
  <c r="O80" i="76"/>
  <c r="O86" i="76"/>
  <c r="O54" i="76"/>
  <c r="O59" i="76"/>
  <c r="O64" i="76"/>
  <c r="O96" i="76"/>
  <c r="O90" i="76"/>
  <c r="O74" i="76"/>
  <c r="O94" i="76"/>
  <c r="O93" i="76"/>
  <c r="O89" i="76"/>
  <c r="O85" i="76"/>
  <c r="O52" i="76"/>
  <c r="O84" i="76"/>
  <c r="O88" i="76"/>
  <c r="O56" i="76"/>
  <c r="O79" i="76"/>
  <c r="O92" i="76"/>
  <c r="O62" i="76"/>
  <c r="O73" i="76"/>
  <c r="O69" i="76"/>
  <c r="P54" i="76"/>
  <c r="P59" i="76"/>
  <c r="P64" i="76"/>
  <c r="P74" i="76"/>
  <c r="P85" i="76"/>
  <c r="P90" i="76"/>
  <c r="P96" i="76"/>
  <c r="P53" i="76"/>
  <c r="P58" i="76"/>
  <c r="P63" i="76"/>
  <c r="P67" i="76"/>
  <c r="P77" i="76"/>
  <c r="P57" i="76"/>
  <c r="P66" i="76"/>
  <c r="P71" i="76"/>
  <c r="P76" i="76"/>
  <c r="P81" i="76"/>
  <c r="P93" i="76"/>
  <c r="P86" i="76"/>
  <c r="P60" i="76"/>
  <c r="P65" i="76"/>
  <c r="P70" i="76"/>
  <c r="P75" i="76"/>
  <c r="P80" i="76"/>
  <c r="P94" i="76"/>
  <c r="P89" i="76"/>
  <c r="P92" i="76"/>
  <c r="P62" i="76"/>
  <c r="P52" i="76"/>
  <c r="P56" i="76"/>
  <c r="P79" i="76"/>
  <c r="P88" i="76"/>
  <c r="P84" i="76"/>
  <c r="P73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4" i="76"/>
  <c r="N59" i="76"/>
  <c r="N64" i="76"/>
  <c r="N74" i="76"/>
  <c r="N85" i="76"/>
  <c r="N90" i="76"/>
  <c r="N96" i="76"/>
  <c r="N92" i="76"/>
  <c r="N79" i="76"/>
  <c r="N84" i="76"/>
  <c r="N52" i="76"/>
  <c r="N56" i="76"/>
  <c r="N88" i="76"/>
  <c r="N62" i="76"/>
  <c r="N73" i="76"/>
  <c r="P69" i="76"/>
  <c r="N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2" i="49"/>
  <c r="N54" i="49"/>
  <c r="N59" i="49"/>
  <c r="N60" i="49"/>
  <c r="N55" i="49"/>
  <c r="N58" i="49"/>
  <c r="N56" i="49"/>
  <c r="N57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I72" i="78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Q72" i="78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M72" i="78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BB72" i="78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X72" i="78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D46" i="52" l="1"/>
  <c r="AL46" i="52"/>
  <c r="Z46" i="52"/>
  <c r="R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Q45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Q41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Q37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AE15" i="76"/>
  <c r="AF15" i="76"/>
  <c r="AG15" i="76"/>
  <c r="Q15" i="76"/>
  <c r="Q9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AE5" i="76"/>
  <c r="AF5" i="76"/>
  <c r="AG5" i="76"/>
  <c r="Q5" i="76"/>
  <c r="B35" i="18" l="1"/>
  <c r="C35" i="18"/>
  <c r="D35" i="18"/>
  <c r="E35" i="18"/>
  <c r="F35" i="18"/>
  <c r="B36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B331" i="97"/>
  <c r="B323" i="97"/>
  <c r="C323" i="97"/>
  <c r="D323" i="97"/>
  <c r="E323" i="97"/>
  <c r="B324" i="97"/>
  <c r="C324" i="97"/>
  <c r="D324" i="97"/>
  <c r="E324" i="97"/>
  <c r="B325" i="97"/>
  <c r="C325" i="97"/>
  <c r="D325" i="97"/>
  <c r="E325" i="97"/>
  <c r="B326" i="97"/>
  <c r="C326" i="97"/>
  <c r="D326" i="97"/>
  <c r="E326" i="97"/>
  <c r="B327" i="97"/>
  <c r="C327" i="97"/>
  <c r="D327" i="97"/>
  <c r="E327" i="97"/>
  <c r="B328" i="97"/>
  <c r="C328" i="97"/>
  <c r="D328" i="97"/>
  <c r="E328" i="97"/>
  <c r="B329" i="97"/>
  <c r="C329" i="97"/>
  <c r="D329" i="97"/>
  <c r="E329" i="97"/>
  <c r="B330" i="97"/>
  <c r="C330" i="97"/>
  <c r="D330" i="97"/>
  <c r="E330" i="97"/>
  <c r="C331" i="97"/>
  <c r="D331" i="97"/>
  <c r="E331" i="97"/>
  <c r="B247" i="97"/>
  <c r="B239" i="97"/>
  <c r="C239" i="97"/>
  <c r="D239" i="97"/>
  <c r="E239" i="97"/>
  <c r="B240" i="97"/>
  <c r="C240" i="97"/>
  <c r="D240" i="97"/>
  <c r="E240" i="97"/>
  <c r="B241" i="97"/>
  <c r="C241" i="97"/>
  <c r="D241" i="97"/>
  <c r="E241" i="97"/>
  <c r="B242" i="97"/>
  <c r="C242" i="97"/>
  <c r="D242" i="97"/>
  <c r="E242" i="97"/>
  <c r="B243" i="97"/>
  <c r="C243" i="97"/>
  <c r="D243" i="97"/>
  <c r="E243" i="97"/>
  <c r="B244" i="97"/>
  <c r="C244" i="97"/>
  <c r="D244" i="97"/>
  <c r="E244" i="97"/>
  <c r="B245" i="97"/>
  <c r="C245" i="97"/>
  <c r="D245" i="97"/>
  <c r="E245" i="97"/>
  <c r="B246" i="97"/>
  <c r="C246" i="97"/>
  <c r="D246" i="97"/>
  <c r="E246" i="97"/>
  <c r="C247" i="97"/>
  <c r="D247" i="97"/>
  <c r="E247" i="97"/>
  <c r="B81" i="97"/>
  <c r="B165" i="97" s="1"/>
  <c r="F5" i="12" a="1"/>
  <c r="F5" i="12" s="1"/>
  <c r="E5" i="12" a="1"/>
  <c r="E5" i="12" s="1"/>
  <c r="D5" i="12" a="1"/>
  <c r="D5" i="12" s="1"/>
  <c r="C5" i="12" a="1"/>
  <c r="C5" i="12" s="1"/>
  <c r="B5" i="12" a="1"/>
  <c r="B8" i="12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F7" i="11" a="1"/>
  <c r="F8" i="11" s="1"/>
  <c r="E7" i="11" a="1"/>
  <c r="E7" i="11" s="1"/>
  <c r="D7" i="11" a="1"/>
  <c r="D7" i="11" s="1"/>
  <c r="C7" i="11" a="1"/>
  <c r="C8" i="11" s="1"/>
  <c r="B7" i="11" a="1"/>
  <c r="B7" i="11" s="1"/>
  <c r="C81" i="97"/>
  <c r="C157" i="97" s="1"/>
  <c r="D81" i="97"/>
  <c r="E81" i="97"/>
  <c r="E155" i="97" s="1"/>
  <c r="F81" i="97"/>
  <c r="A79" i="97"/>
  <c r="A163" i="97" s="1"/>
  <c r="A76" i="97"/>
  <c r="A160" i="97" s="1"/>
  <c r="A77" i="97"/>
  <c r="A161" i="97" s="1"/>
  <c r="A78" i="97"/>
  <c r="A162" i="97" s="1"/>
  <c r="A71" i="97"/>
  <c r="A155" i="97" s="1"/>
  <c r="A72" i="97"/>
  <c r="A156" i="97" s="1"/>
  <c r="A73" i="97"/>
  <c r="A157" i="97" s="1"/>
  <c r="A74" i="97"/>
  <c r="A158" i="97" s="1"/>
  <c r="A75" i="97"/>
  <c r="A159" i="97" s="1"/>
  <c r="F90" i="12" l="1"/>
  <c r="F158" i="97"/>
  <c r="F333" i="97"/>
  <c r="D160" i="97"/>
  <c r="F249" i="97"/>
  <c r="H26" i="16"/>
  <c r="J9" i="18"/>
  <c r="A35" i="18"/>
  <c r="A170" i="71"/>
  <c r="A32" i="18"/>
  <c r="A169" i="71"/>
  <c r="A14" i="18"/>
  <c r="A157" i="71"/>
  <c r="A31" i="18"/>
  <c r="A168" i="71"/>
  <c r="A13" i="18"/>
  <c r="A156" i="71"/>
  <c r="A15" i="18"/>
  <c r="A12" i="18"/>
  <c r="A155" i="71"/>
  <c r="A19" i="18"/>
  <c r="A29" i="18"/>
  <c r="A166" i="71"/>
  <c r="A9" i="18"/>
  <c r="L54" i="76" s="1"/>
  <c r="A154" i="71"/>
  <c r="A177" i="71"/>
  <c r="A26" i="18"/>
  <c r="A165" i="71"/>
  <c r="A176" i="71"/>
  <c r="A175" i="71"/>
  <c r="A22" i="18"/>
  <c r="A163" i="71"/>
  <c r="A174" i="71"/>
  <c r="A21" i="18"/>
  <c r="A162" i="71"/>
  <c r="A173" i="71"/>
  <c r="A20" i="18"/>
  <c r="A161" i="71"/>
  <c r="M153" i="75"/>
  <c r="A172" i="71"/>
  <c r="A36" i="18"/>
  <c r="A171" i="71"/>
  <c r="A18" i="18"/>
  <c r="A159" i="71"/>
  <c r="A30" i="18"/>
  <c r="I20" i="11"/>
  <c r="L22" i="18"/>
  <c r="N266" i="21"/>
  <c r="N153" i="75"/>
  <c r="X4" i="106"/>
  <c r="Z4" i="106"/>
  <c r="Y4" i="106"/>
  <c r="AB4" i="106"/>
  <c r="AC4" i="106"/>
  <c r="AA4" i="106"/>
  <c r="L7" i="7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7" i="97"/>
  <c r="A32" i="15"/>
  <c r="A114" i="15" s="1"/>
  <c r="A111" i="12"/>
  <c r="A331" i="97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C160" i="97"/>
  <c r="K8" i="18"/>
  <c r="L8" i="18"/>
  <c r="D158" i="97"/>
  <c r="L15" i="18"/>
  <c r="L18" i="18"/>
  <c r="L36" i="18"/>
  <c r="L45" i="18"/>
  <c r="C155" i="97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329" i="97"/>
  <c r="C158" i="97"/>
  <c r="A243" i="97"/>
  <c r="A330" i="97"/>
  <c r="A326" i="97"/>
  <c r="B158" i="97"/>
  <c r="A323" i="97"/>
  <c r="B157" i="97"/>
  <c r="A324" i="97"/>
  <c r="B162" i="97"/>
  <c r="D155" i="97"/>
  <c r="A325" i="97"/>
  <c r="B160" i="97"/>
  <c r="B155" i="97"/>
  <c r="E158" i="97"/>
  <c r="B163" i="97"/>
  <c r="B249" i="97"/>
  <c r="A328" i="97"/>
  <c r="A244" i="97"/>
  <c r="A240" i="97"/>
  <c r="E163" i="97"/>
  <c r="F156" i="97"/>
  <c r="A241" i="97"/>
  <c r="C161" i="97"/>
  <c r="F157" i="97"/>
  <c r="E162" i="97"/>
  <c r="F160" i="97"/>
  <c r="C159" i="97"/>
  <c r="E157" i="97"/>
  <c r="B156" i="97"/>
  <c r="A245" i="97"/>
  <c r="D163" i="97"/>
  <c r="E161" i="97"/>
  <c r="F159" i="97"/>
  <c r="E156" i="97"/>
  <c r="A242" i="97"/>
  <c r="F162" i="97"/>
  <c r="D159" i="97"/>
  <c r="C156" i="97"/>
  <c r="D162" i="97"/>
  <c r="E160" i="97"/>
  <c r="B159" i="97"/>
  <c r="D157" i="97"/>
  <c r="F155" i="97"/>
  <c r="A246" i="97"/>
  <c r="F163" i="97"/>
  <c r="F161" i="97"/>
  <c r="C163" i="97"/>
  <c r="D161" i="97"/>
  <c r="E159" i="97"/>
  <c r="D156" i="97"/>
  <c r="C162" i="97"/>
  <c r="A239" i="97"/>
  <c r="A247" i="97"/>
  <c r="B161" i="97"/>
  <c r="A106" i="12"/>
  <c r="A107" i="12"/>
  <c r="A108" i="12"/>
  <c r="A109" i="12"/>
  <c r="A110" i="12"/>
  <c r="A83" i="12"/>
  <c r="A79" i="12"/>
  <c r="A80" i="12"/>
  <c r="A81" i="12"/>
  <c r="A82" i="12"/>
  <c r="A84" i="12"/>
  <c r="F8" i="12"/>
  <c r="F23" i="12"/>
  <c r="F15" i="12"/>
  <c r="F7" i="12"/>
  <c r="F12" i="12"/>
  <c r="F19" i="12"/>
  <c r="F18" i="12"/>
  <c r="F25" i="12"/>
  <c r="F17" i="12"/>
  <c r="F16" i="12"/>
  <c r="F22" i="12"/>
  <c r="F14" i="12"/>
  <c r="F6" i="12"/>
  <c r="F20" i="12"/>
  <c r="F11" i="12"/>
  <c r="F26" i="12"/>
  <c r="F10" i="12"/>
  <c r="F9" i="12"/>
  <c r="F24" i="12"/>
  <c r="F21" i="12"/>
  <c r="F13" i="12"/>
  <c r="E12" i="12"/>
  <c r="E19" i="12"/>
  <c r="E29" i="15" s="1"/>
  <c r="E10" i="12"/>
  <c r="E25" i="12"/>
  <c r="E32" i="15" s="1"/>
  <c r="E9" i="12"/>
  <c r="E24" i="12"/>
  <c r="E38" i="15" s="1"/>
  <c r="E16" i="12"/>
  <c r="E26" i="15" s="1"/>
  <c r="E8" i="12"/>
  <c r="E22" i="12"/>
  <c r="E36" i="15" s="1"/>
  <c r="E20" i="12"/>
  <c r="E30" i="15" s="1"/>
  <c r="E11" i="12"/>
  <c r="E11" i="15" s="1"/>
  <c r="E26" i="12"/>
  <c r="E33" i="15" s="1"/>
  <c r="E18" i="12"/>
  <c r="E28" i="15" s="1"/>
  <c r="E17" i="12"/>
  <c r="E27" i="15" s="1"/>
  <c r="E23" i="12"/>
  <c r="E37" i="15" s="1"/>
  <c r="E15" i="12"/>
  <c r="E23" i="15" s="1"/>
  <c r="E7" i="12"/>
  <c r="E14" i="12"/>
  <c r="E22" i="15" s="1"/>
  <c r="E6" i="12"/>
  <c r="E21" i="12"/>
  <c r="E31" i="15" s="1"/>
  <c r="E13" i="12"/>
  <c r="E21" i="15" s="1"/>
  <c r="D20" i="12"/>
  <c r="D30" i="15" s="1"/>
  <c r="D26" i="12"/>
  <c r="D18" i="12"/>
  <c r="D28" i="15" s="1"/>
  <c r="D10" i="12"/>
  <c r="D12" i="12"/>
  <c r="D9" i="12"/>
  <c r="D8" i="12"/>
  <c r="D23" i="12"/>
  <c r="D37" i="15" s="1"/>
  <c r="D15" i="12"/>
  <c r="D23" i="15" s="1"/>
  <c r="D7" i="12"/>
  <c r="D11" i="12"/>
  <c r="D11" i="15" s="1"/>
  <c r="D25" i="12"/>
  <c r="D32" i="15" s="1"/>
  <c r="D16" i="12"/>
  <c r="D26" i="15" s="1"/>
  <c r="D22" i="12"/>
  <c r="D36" i="15" s="1"/>
  <c r="D14" i="12"/>
  <c r="D22" i="15" s="1"/>
  <c r="D6" i="12"/>
  <c r="D19" i="12"/>
  <c r="D29" i="15" s="1"/>
  <c r="D17" i="12"/>
  <c r="D27" i="15" s="1"/>
  <c r="D24" i="12"/>
  <c r="D38" i="15" s="1"/>
  <c r="D21" i="12"/>
  <c r="D31" i="15" s="1"/>
  <c r="D13" i="12"/>
  <c r="D21" i="15" s="1"/>
  <c r="C20" i="12"/>
  <c r="C30" i="15" s="1"/>
  <c r="C19" i="12"/>
  <c r="C29" i="15" s="1"/>
  <c r="C11" i="12"/>
  <c r="C11" i="15" s="1"/>
  <c r="C26" i="12"/>
  <c r="C33" i="15" s="1"/>
  <c r="C18" i="12"/>
  <c r="C28" i="15" s="1"/>
  <c r="C10" i="12"/>
  <c r="C25" i="12"/>
  <c r="C32" i="15" s="1"/>
  <c r="C17" i="12"/>
  <c r="C27" i="15" s="1"/>
  <c r="C9" i="12"/>
  <c r="C24" i="12"/>
  <c r="C38" i="15" s="1"/>
  <c r="C16" i="12"/>
  <c r="C26" i="15" s="1"/>
  <c r="C8" i="12"/>
  <c r="C12" i="12"/>
  <c r="C23" i="12"/>
  <c r="C37" i="15" s="1"/>
  <c r="C15" i="12"/>
  <c r="C23" i="15" s="1"/>
  <c r="C7" i="12"/>
  <c r="C22" i="12"/>
  <c r="C36" i="15" s="1"/>
  <c r="C14" i="12"/>
  <c r="C22" i="15" s="1"/>
  <c r="C6" i="12"/>
  <c r="C21" i="12"/>
  <c r="C31" i="15" s="1"/>
  <c r="C13" i="12"/>
  <c r="C21" i="15" s="1"/>
  <c r="B23" i="12"/>
  <c r="B37" i="15" s="1"/>
  <c r="B15" i="12"/>
  <c r="B23" i="15" s="1"/>
  <c r="B7" i="12"/>
  <c r="B22" i="12"/>
  <c r="B36" i="15" s="1"/>
  <c r="B14" i="12"/>
  <c r="B22" i="15" s="1"/>
  <c r="B6" i="12"/>
  <c r="B21" i="12"/>
  <c r="B31" i="15" s="1"/>
  <c r="B13" i="12"/>
  <c r="B21" i="15" s="1"/>
  <c r="B5" i="12"/>
  <c r="B20" i="12"/>
  <c r="B30" i="15" s="1"/>
  <c r="B12" i="12"/>
  <c r="B19" i="12"/>
  <c r="B29" i="15" s="1"/>
  <c r="B11" i="12"/>
  <c r="B11" i="15" s="1"/>
  <c r="B26" i="12"/>
  <c r="B33" i="15" s="1"/>
  <c r="B18" i="12"/>
  <c r="B28" i="15" s="1"/>
  <c r="B10" i="12"/>
  <c r="B25" i="12"/>
  <c r="B32" i="15" s="1"/>
  <c r="B17" i="12"/>
  <c r="B27" i="15" s="1"/>
  <c r="B9" i="12"/>
  <c r="B24" i="12"/>
  <c r="B38" i="15" s="1"/>
  <c r="B16" i="12"/>
  <c r="B26" i="15" s="1"/>
  <c r="F7" i="11"/>
  <c r="F12" i="11"/>
  <c r="F11" i="11"/>
  <c r="F10" i="11"/>
  <c r="F9" i="11"/>
  <c r="E11" i="11"/>
  <c r="E9" i="11"/>
  <c r="E8" i="11"/>
  <c r="E12" i="11"/>
  <c r="E10" i="11"/>
  <c r="D11" i="11"/>
  <c r="D9" i="11"/>
  <c r="D8" i="11"/>
  <c r="D12" i="11"/>
  <c r="D10" i="11"/>
  <c r="C7" i="11"/>
  <c r="C12" i="11"/>
  <c r="C11" i="11"/>
  <c r="C10" i="11"/>
  <c r="C9" i="11"/>
  <c r="B12" i="11"/>
  <c r="B11" i="11"/>
  <c r="B10" i="11"/>
  <c r="B9" i="11"/>
  <c r="B8" i="11"/>
  <c r="F95" i="12" l="1"/>
  <c r="F94" i="12"/>
  <c r="F31" i="15"/>
  <c r="F106" i="12"/>
  <c r="F22" i="15"/>
  <c r="F99" i="12"/>
  <c r="F92" i="12"/>
  <c r="F38" i="15"/>
  <c r="L38" i="15" s="1"/>
  <c r="F109" i="12"/>
  <c r="F36" i="15"/>
  <c r="L36" i="15" s="1"/>
  <c r="F107" i="12"/>
  <c r="F23" i="15"/>
  <c r="L23" i="15" s="1"/>
  <c r="F100" i="12"/>
  <c r="F37" i="15"/>
  <c r="F108" i="12"/>
  <c r="F27" i="15"/>
  <c r="F102" i="12"/>
  <c r="F93" i="12"/>
  <c r="F26" i="15"/>
  <c r="F101" i="12"/>
  <c r="F33" i="15"/>
  <c r="K33" i="15" s="1"/>
  <c r="F111" i="12"/>
  <c r="F28" i="15"/>
  <c r="L28" i="15" s="1"/>
  <c r="F103" i="12"/>
  <c r="F30" i="15"/>
  <c r="K30" i="15" s="1"/>
  <c r="F105" i="12"/>
  <c r="F29" i="15"/>
  <c r="K29" i="15" s="1"/>
  <c r="F104" i="12"/>
  <c r="F32" i="15"/>
  <c r="L32" i="15" s="1"/>
  <c r="F110" i="12"/>
  <c r="F11" i="15"/>
  <c r="K11" i="15" s="1"/>
  <c r="F96" i="12"/>
  <c r="F21" i="15"/>
  <c r="L21" i="15" s="1"/>
  <c r="F98" i="12"/>
  <c r="F91" i="12"/>
  <c r="F97" i="12"/>
  <c r="H10" i="11"/>
  <c r="J10" i="11" s="1"/>
  <c r="J23" i="11" s="1"/>
  <c r="X5" i="106"/>
  <c r="X6" i="106"/>
  <c r="M155" i="75"/>
  <c r="L49" i="75"/>
  <c r="A61" i="18"/>
  <c r="M156" i="75"/>
  <c r="M157" i="75"/>
  <c r="L10" i="76"/>
  <c r="L57" i="76"/>
  <c r="L28" i="76"/>
  <c r="L75" i="76"/>
  <c r="L18" i="76"/>
  <c r="L65" i="76"/>
  <c r="L46" i="76"/>
  <c r="L93" i="76"/>
  <c r="L13" i="76"/>
  <c r="L60" i="76"/>
  <c r="L34" i="76"/>
  <c r="L81" i="76"/>
  <c r="L19" i="76"/>
  <c r="L66" i="76"/>
  <c r="L47" i="76"/>
  <c r="L94" i="76"/>
  <c r="L29" i="76"/>
  <c r="L76" i="76"/>
  <c r="L16" i="76"/>
  <c r="L63" i="76"/>
  <c r="L11" i="76"/>
  <c r="L58" i="76"/>
  <c r="M160" i="75"/>
  <c r="L38" i="76"/>
  <c r="L85" i="76"/>
  <c r="L42" i="76"/>
  <c r="L89" i="76"/>
  <c r="L12" i="76"/>
  <c r="L59" i="76"/>
  <c r="L43" i="76"/>
  <c r="L90" i="76"/>
  <c r="L24" i="76"/>
  <c r="L71" i="76"/>
  <c r="M158" i="75"/>
  <c r="L39" i="76"/>
  <c r="L86" i="76"/>
  <c r="L20" i="76"/>
  <c r="L67" i="76"/>
  <c r="L27" i="76"/>
  <c r="L74" i="76"/>
  <c r="L30" i="76"/>
  <c r="L77" i="76"/>
  <c r="M159" i="75"/>
  <c r="L17" i="76"/>
  <c r="L64" i="76"/>
  <c r="L33" i="76"/>
  <c r="L80" i="76"/>
  <c r="H9" i="11"/>
  <c r="J9" i="11" s="1"/>
  <c r="J22" i="11" s="1"/>
  <c r="I24" i="11"/>
  <c r="I23" i="11"/>
  <c r="H11" i="11"/>
  <c r="J11" i="11" s="1"/>
  <c r="J24" i="11" s="1"/>
  <c r="I25" i="11"/>
  <c r="H12" i="11"/>
  <c r="J12" i="11" s="1"/>
  <c r="J25" i="11" s="1"/>
  <c r="I21" i="11"/>
  <c r="F45" i="11"/>
  <c r="H7" i="11"/>
  <c r="I22" i="11"/>
  <c r="H8" i="11"/>
  <c r="J8" i="11" s="1"/>
  <c r="J21" i="11" s="1"/>
  <c r="N261" i="21"/>
  <c r="N262" i="21"/>
  <c r="M161" i="75"/>
  <c r="M154" i="75"/>
  <c r="Z11" i="106"/>
  <c r="N263" i="21"/>
  <c r="N264" i="21"/>
  <c r="F46" i="11"/>
  <c r="N265" i="21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X8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I11" i="15"/>
  <c r="J30" i="15"/>
  <c r="J29" i="15"/>
  <c r="F69" i="16"/>
  <c r="N8" i="107" s="1"/>
  <c r="H13" i="16"/>
  <c r="H30" i="15"/>
  <c r="I31" i="15"/>
  <c r="I32" i="15"/>
  <c r="L29" i="15"/>
  <c r="H32" i="15"/>
  <c r="H14" i="16"/>
  <c r="F70" i="16"/>
  <c r="N9" i="107" s="1"/>
  <c r="F48" i="11"/>
  <c r="H15" i="16"/>
  <c r="F71" i="16"/>
  <c r="N10" i="107" s="1"/>
  <c r="K32" i="15"/>
  <c r="F49" i="11"/>
  <c r="C111" i="12"/>
  <c r="D33" i="15"/>
  <c r="J33" i="15" s="1"/>
  <c r="F50" i="11"/>
  <c r="I29" i="15"/>
  <c r="I30" i="15"/>
  <c r="H9" i="16"/>
  <c r="H27" i="16" s="1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28" i="12"/>
  <c r="B35" i="12" s="1"/>
  <c r="E28" i="12"/>
  <c r="E32" i="12" s="1"/>
  <c r="F28" i="12"/>
  <c r="C28" i="12"/>
  <c r="D28" i="12"/>
  <c r="D32" i="12" s="1"/>
  <c r="L11" i="15" l="1"/>
  <c r="X18" i="106"/>
  <c r="H23" i="11"/>
  <c r="L30" i="15"/>
  <c r="F32" i="12"/>
  <c r="F113" i="12"/>
  <c r="H21" i="11"/>
  <c r="H22" i="11"/>
  <c r="H25" i="11"/>
  <c r="H14" i="11"/>
  <c r="J7" i="11"/>
  <c r="H20" i="11"/>
  <c r="H24" i="11"/>
  <c r="H33" i="16"/>
  <c r="N160" i="75"/>
  <c r="H29" i="16"/>
  <c r="N156" i="75"/>
  <c r="P7" i="31"/>
  <c r="N161" i="75"/>
  <c r="N154" i="75"/>
  <c r="H31" i="16"/>
  <c r="N158" i="75"/>
  <c r="H28" i="16"/>
  <c r="N155" i="75"/>
  <c r="H30" i="16"/>
  <c r="N157" i="75"/>
  <c r="H32" i="16"/>
  <c r="N159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B3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Z18" i="106" s="1"/>
  <c r="J14" i="11"/>
  <c r="J20" i="11"/>
  <c r="A52" i="5"/>
  <c r="A53" i="5"/>
  <c r="A54" i="5"/>
  <c r="A55" i="5"/>
  <c r="A56" i="5"/>
  <c r="A51" i="5"/>
  <c r="B50" i="5" a="1"/>
  <c r="D50" i="5" s="1"/>
  <c r="A49" i="5"/>
  <c r="Y19" i="106" l="1"/>
  <c r="H50" i="5"/>
  <c r="G50" i="5"/>
  <c r="F50" i="5"/>
  <c r="E50" i="5"/>
  <c r="C50" i="5"/>
  <c r="J50" i="5"/>
  <c r="B50" i="5"/>
  <c r="I50" i="5"/>
  <c r="A27" i="5" l="1"/>
  <c r="A29" i="5"/>
  <c r="A30" i="5"/>
  <c r="A31" i="5"/>
  <c r="A32" i="5"/>
  <c r="A33" i="5"/>
  <c r="A28" i="5"/>
  <c r="B2" i="5" a="1"/>
  <c r="B2" i="5" s="1"/>
  <c r="A1" i="5"/>
  <c r="BT2" i="5" l="1"/>
  <c r="BD2" i="5"/>
  <c r="AN2" i="5"/>
  <c r="X2" i="5"/>
  <c r="H2" i="5"/>
  <c r="BS2" i="5"/>
  <c r="BC2" i="5"/>
  <c r="AM2" i="5"/>
  <c r="W2" i="5"/>
  <c r="G2" i="5"/>
  <c r="BR2" i="5"/>
  <c r="BB2" i="5"/>
  <c r="AL2" i="5"/>
  <c r="V2" i="5"/>
  <c r="F2" i="5"/>
  <c r="BQ2" i="5"/>
  <c r="BA2" i="5"/>
  <c r="AK2" i="5"/>
  <c r="U2" i="5"/>
  <c r="E2" i="5"/>
  <c r="BP2" i="5"/>
  <c r="AZ2" i="5"/>
  <c r="AJ2" i="5"/>
  <c r="T2" i="5"/>
  <c r="D2" i="5"/>
  <c r="BW2" i="5"/>
  <c r="BO2" i="5"/>
  <c r="BG2" i="5"/>
  <c r="AY2" i="5"/>
  <c r="AQ2" i="5"/>
  <c r="AI2" i="5"/>
  <c r="AA2" i="5"/>
  <c r="S2" i="5"/>
  <c r="K2" i="5"/>
  <c r="C2" i="5"/>
  <c r="BU2" i="5"/>
  <c r="BM2" i="5"/>
  <c r="BE2" i="5"/>
  <c r="AW2" i="5"/>
  <c r="AO2" i="5"/>
  <c r="AG2" i="5"/>
  <c r="Y2" i="5"/>
  <c r="Q2" i="5"/>
  <c r="I2" i="5"/>
  <c r="BL2" i="5"/>
  <c r="AV2" i="5"/>
  <c r="AF2" i="5"/>
  <c r="P2" i="5"/>
  <c r="BK2" i="5"/>
  <c r="AU2" i="5"/>
  <c r="AE2" i="5"/>
  <c r="O2" i="5"/>
  <c r="BJ2" i="5"/>
  <c r="AT2" i="5"/>
  <c r="AD2" i="5"/>
  <c r="N2" i="5"/>
  <c r="BI2" i="5"/>
  <c r="AS2" i="5"/>
  <c r="AC2" i="5"/>
  <c r="M2" i="5"/>
  <c r="BX2" i="5"/>
  <c r="BH2" i="5"/>
  <c r="AR2" i="5"/>
  <c r="AB2" i="5"/>
  <c r="L2" i="5"/>
  <c r="BV2" i="5"/>
  <c r="BN2" i="5"/>
  <c r="BF2" i="5"/>
  <c r="AX2" i="5"/>
  <c r="AP2" i="5"/>
  <c r="AH2" i="5"/>
  <c r="Z2" i="5"/>
  <c r="R2" i="5"/>
  <c r="J2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258" i="97"/>
  <c r="C259" i="97"/>
  <c r="C260" i="97"/>
  <c r="C261" i="97"/>
  <c r="C262" i="97"/>
  <c r="C263" i="97"/>
  <c r="C264" i="97"/>
  <c r="C265" i="97"/>
  <c r="C266" i="97"/>
  <c r="C267" i="97"/>
  <c r="C268" i="97"/>
  <c r="C269" i="97"/>
  <c r="C270" i="97"/>
  <c r="C271" i="97"/>
  <c r="C272" i="97"/>
  <c r="C273" i="97"/>
  <c r="C274" i="97"/>
  <c r="C275" i="97"/>
  <c r="C276" i="97"/>
  <c r="C277" i="97"/>
  <c r="C278" i="97"/>
  <c r="C279" i="97"/>
  <c r="C280" i="97"/>
  <c r="C281" i="97"/>
  <c r="C282" i="97"/>
  <c r="C283" i="97"/>
  <c r="C284" i="97"/>
  <c r="C285" i="97"/>
  <c r="C286" i="97"/>
  <c r="C287" i="97"/>
  <c r="C288" i="97"/>
  <c r="C289" i="97"/>
  <c r="C290" i="97"/>
  <c r="C291" i="97"/>
  <c r="C292" i="97"/>
  <c r="C293" i="97"/>
  <c r="C294" i="97"/>
  <c r="C295" i="97"/>
  <c r="C296" i="97"/>
  <c r="C297" i="97"/>
  <c r="C298" i="97"/>
  <c r="C299" i="97"/>
  <c r="C300" i="97"/>
  <c r="C301" i="97"/>
  <c r="C302" i="97"/>
  <c r="C303" i="97"/>
  <c r="C304" i="97"/>
  <c r="C305" i="97"/>
  <c r="C306" i="97"/>
  <c r="C307" i="97"/>
  <c r="C308" i="97"/>
  <c r="C309" i="97"/>
  <c r="C310" i="97"/>
  <c r="C311" i="97"/>
  <c r="C312" i="97"/>
  <c r="C313" i="97"/>
  <c r="C314" i="97"/>
  <c r="C315" i="97"/>
  <c r="C316" i="97"/>
  <c r="C317" i="97"/>
  <c r="C318" i="97"/>
  <c r="C319" i="97"/>
  <c r="C320" i="97"/>
  <c r="C321" i="97"/>
  <c r="C322" i="97"/>
  <c r="C257" i="97"/>
  <c r="C255" i="97"/>
  <c r="C174" i="97"/>
  <c r="C175" i="97"/>
  <c r="C176" i="97"/>
  <c r="C177" i="97"/>
  <c r="C178" i="97"/>
  <c r="C179" i="97"/>
  <c r="C180" i="97"/>
  <c r="C181" i="97"/>
  <c r="C182" i="97"/>
  <c r="C183" i="97"/>
  <c r="C184" i="97"/>
  <c r="C185" i="97"/>
  <c r="C186" i="97"/>
  <c r="C187" i="97"/>
  <c r="C188" i="97"/>
  <c r="C189" i="97"/>
  <c r="C190" i="97"/>
  <c r="C191" i="97"/>
  <c r="C192" i="97"/>
  <c r="C193" i="97"/>
  <c r="C194" i="97"/>
  <c r="C195" i="97"/>
  <c r="C196" i="97"/>
  <c r="C197" i="97"/>
  <c r="C198" i="97"/>
  <c r="C199" i="97"/>
  <c r="C200" i="97"/>
  <c r="C201" i="97"/>
  <c r="C202" i="97"/>
  <c r="C203" i="97"/>
  <c r="C204" i="97"/>
  <c r="C205" i="97"/>
  <c r="C206" i="97"/>
  <c r="C207" i="97"/>
  <c r="C208" i="97"/>
  <c r="C209" i="97"/>
  <c r="C210" i="97"/>
  <c r="C211" i="97"/>
  <c r="C212" i="97"/>
  <c r="C213" i="97"/>
  <c r="C214" i="97"/>
  <c r="C215" i="97"/>
  <c r="C216" i="97"/>
  <c r="C217" i="97"/>
  <c r="C218" i="97"/>
  <c r="C219" i="97"/>
  <c r="C220" i="97"/>
  <c r="C221" i="97"/>
  <c r="C222" i="97"/>
  <c r="C223" i="97"/>
  <c r="C224" i="97"/>
  <c r="C225" i="97"/>
  <c r="C226" i="97"/>
  <c r="C227" i="97"/>
  <c r="C228" i="97"/>
  <c r="C229" i="97"/>
  <c r="C230" i="97"/>
  <c r="C231" i="97"/>
  <c r="C232" i="97"/>
  <c r="C233" i="97"/>
  <c r="C234" i="97"/>
  <c r="C235" i="97"/>
  <c r="C236" i="97"/>
  <c r="C237" i="97"/>
  <c r="C238" i="97"/>
  <c r="C173" i="97"/>
  <c r="C171" i="97"/>
  <c r="C4" i="13" l="1"/>
  <c r="D12" i="13" l="1"/>
  <c r="E12" i="13"/>
  <c r="F12" i="13"/>
  <c r="G12" i="13"/>
  <c r="C12" i="13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K30" i="79"/>
  <c r="K31" i="79"/>
  <c r="K32" i="79"/>
  <c r="K35" i="79" l="1"/>
  <c r="X35" i="79" s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I46" i="71" l="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I82" i="71" l="1"/>
  <c r="I35" i="78"/>
  <c r="I109" i="78" s="1"/>
  <c r="T35" i="78"/>
  <c r="U35" i="78" s="1"/>
  <c r="E33" i="49"/>
  <c r="I45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J35" i="78" l="1"/>
  <c r="J72" i="78" s="1"/>
  <c r="J109" i="78" s="1"/>
  <c r="I72" i="78"/>
  <c r="G32" i="49"/>
  <c r="G122" i="49"/>
  <c r="G209" i="49" s="1"/>
  <c r="V35" i="49"/>
  <c r="J45" i="71"/>
  <c r="J82" i="71" s="1"/>
  <c r="Q37" i="31"/>
  <c r="A93" i="49"/>
  <c r="A64" i="49"/>
  <c r="A35" i="49"/>
  <c r="G120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91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D36" i="49"/>
  <c r="I10" i="71"/>
  <c r="I13" i="71"/>
  <c r="I14" i="71"/>
  <c r="I15" i="71"/>
  <c r="I18" i="71"/>
  <c r="I22" i="71"/>
  <c r="I23" i="71"/>
  <c r="I26" i="71"/>
  <c r="I29" i="71"/>
  <c r="I30" i="71"/>
  <c r="I31" i="71"/>
  <c r="I96" i="71" l="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10" i="49"/>
  <c r="I11" i="71"/>
  <c r="G31" i="49"/>
  <c r="I32" i="71"/>
  <c r="G23" i="49"/>
  <c r="I24" i="71"/>
  <c r="G15" i="49"/>
  <c r="I16" i="71"/>
  <c r="G20" i="49"/>
  <c r="I21" i="71"/>
  <c r="G18" i="49"/>
  <c r="I19" i="71"/>
  <c r="I8" i="16" s="1" a="1"/>
  <c r="G28" i="49"/>
  <c r="G12" i="49"/>
  <c r="G14" i="49"/>
  <c r="G29" i="49"/>
  <c r="G25" i="49"/>
  <c r="G21" i="49"/>
  <c r="G17" i="49"/>
  <c r="G13" i="49"/>
  <c r="G9" i="49"/>
  <c r="G30" i="49"/>
  <c r="G22" i="49"/>
  <c r="I9" i="16" l="1"/>
  <c r="I16" i="16"/>
  <c r="I8" i="16"/>
  <c r="I12" i="16"/>
  <c r="I14" i="16"/>
  <c r="I15" i="16"/>
  <c r="I11" i="16"/>
  <c r="I10" i="16"/>
  <c r="I13" i="16"/>
  <c r="I35" i="71"/>
  <c r="I72" i="71" s="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09" i="71" l="1"/>
  <c r="I26" i="16"/>
  <c r="I27" i="16"/>
  <c r="I29" i="16"/>
  <c r="I32" i="16"/>
  <c r="I31" i="16"/>
  <c r="I30" i="16"/>
  <c r="I28" i="16"/>
  <c r="C249" i="97"/>
  <c r="B333" i="97"/>
  <c r="C333" i="97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J16" i="16" l="1"/>
  <c r="I34" i="16"/>
  <c r="I33" i="16"/>
  <c r="AM4" i="21"/>
  <c r="O2" i="21" s="1"/>
  <c r="C3" i="12"/>
  <c r="D3" i="12"/>
  <c r="E3" i="12"/>
  <c r="F3" i="12"/>
  <c r="B3" i="12"/>
  <c r="D5" i="11"/>
  <c r="E5" i="11"/>
  <c r="F5" i="11"/>
  <c r="C5" i="11"/>
  <c r="B5" i="11"/>
  <c r="A197" i="21" l="1"/>
  <c r="A137" i="21"/>
  <c r="A107" i="21"/>
  <c r="A167" i="21"/>
  <c r="A77" i="21"/>
  <c r="A47" i="21"/>
  <c r="A1" i="21"/>
  <c r="A1" i="11"/>
  <c r="A31" i="11" s="1"/>
  <c r="L1" i="11"/>
  <c r="A1" i="12"/>
  <c r="F67" i="12"/>
  <c r="F75" i="12"/>
  <c r="F83" i="12"/>
  <c r="F68" i="12"/>
  <c r="F71" i="12"/>
  <c r="F69" i="12"/>
  <c r="F77" i="12"/>
  <c r="F63" i="12"/>
  <c r="F70" i="12"/>
  <c r="F78" i="12"/>
  <c r="F86" i="12"/>
  <c r="F64" i="12"/>
  <c r="F72" i="12"/>
  <c r="F80" i="12"/>
  <c r="F76" i="12"/>
  <c r="F79" i="12"/>
  <c r="F65" i="12"/>
  <c r="F73" i="12"/>
  <c r="F81" i="12"/>
  <c r="F84" i="12"/>
  <c r="F66" i="12"/>
  <c r="F74" i="12"/>
  <c r="F82" i="12"/>
  <c r="F89" i="12"/>
  <c r="F61" i="12"/>
  <c r="H3" i="1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7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74" i="12"/>
  <c r="C66" i="12"/>
  <c r="C73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4" i="5" l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3" i="5"/>
  <c r="E180" i="97"/>
  <c r="E265" i="97"/>
  <c r="E183" i="97"/>
  <c r="E269" i="97"/>
  <c r="E187" i="97"/>
  <c r="E188" i="97"/>
  <c r="E288" i="97"/>
  <c r="E295" i="97"/>
  <c r="E296" i="97"/>
  <c r="E213" i="97"/>
  <c r="E217" i="97"/>
  <c r="F136" i="97"/>
  <c r="E305" i="97"/>
  <c r="E225" i="97"/>
  <c r="F142" i="97"/>
  <c r="F143" i="97"/>
  <c r="E312" i="97"/>
  <c r="E229" i="97"/>
  <c r="F147" i="97"/>
  <c r="F150" i="97"/>
  <c r="E319" i="97"/>
  <c r="E236" i="97"/>
  <c r="E237" i="97"/>
  <c r="E260" i="97"/>
  <c r="D177" i="97"/>
  <c r="E262" i="97"/>
  <c r="E263" i="97"/>
  <c r="D265" i="97"/>
  <c r="D186" i="97"/>
  <c r="E192" i="97"/>
  <c r="E277" i="97"/>
  <c r="D194" i="97"/>
  <c r="E195" i="97"/>
  <c r="E281" i="97"/>
  <c r="E200" i="97"/>
  <c r="D201" i="97"/>
  <c r="D286" i="97"/>
  <c r="D289" i="97"/>
  <c r="E292" i="97"/>
  <c r="E209" i="97"/>
  <c r="E210" i="97"/>
  <c r="D300" i="97"/>
  <c r="E133" i="97"/>
  <c r="D219" i="97"/>
  <c r="E137" i="97"/>
  <c r="E224" i="97"/>
  <c r="D309" i="97"/>
  <c r="E142" i="97"/>
  <c r="D227" i="97"/>
  <c r="E232" i="97"/>
  <c r="E149" i="97"/>
  <c r="D234" i="97"/>
  <c r="E151" i="97"/>
  <c r="D321" i="97"/>
  <c r="D94" i="97"/>
  <c r="D96" i="97"/>
  <c r="D105" i="97"/>
  <c r="D275" i="97"/>
  <c r="D283" i="97"/>
  <c r="D126" i="97"/>
  <c r="D295" i="97"/>
  <c r="D297" i="97"/>
  <c r="D304" i="97"/>
  <c r="D147" i="97"/>
  <c r="D232" i="97"/>
  <c r="D236" i="97"/>
  <c r="B90" i="97"/>
  <c r="B91" i="97"/>
  <c r="B92" i="97"/>
  <c r="B93" i="97"/>
  <c r="B94" i="97"/>
  <c r="B95" i="97"/>
  <c r="B96" i="97"/>
  <c r="B97" i="97"/>
  <c r="B98" i="97"/>
  <c r="B99" i="97"/>
  <c r="B100" i="97"/>
  <c r="B101" i="97"/>
  <c r="B102" i="97"/>
  <c r="B103" i="97"/>
  <c r="B104" i="97"/>
  <c r="B105" i="97"/>
  <c r="B106" i="97"/>
  <c r="B107" i="97"/>
  <c r="B108" i="97"/>
  <c r="B109" i="97"/>
  <c r="B110" i="97"/>
  <c r="B111" i="97"/>
  <c r="B112" i="97"/>
  <c r="B113" i="97"/>
  <c r="B114" i="97"/>
  <c r="B115" i="97"/>
  <c r="B116" i="97"/>
  <c r="B117" i="97"/>
  <c r="B118" i="97"/>
  <c r="B119" i="97"/>
  <c r="B120" i="97"/>
  <c r="B121" i="97"/>
  <c r="B122" i="97"/>
  <c r="B123" i="97"/>
  <c r="B124" i="97"/>
  <c r="B125" i="97"/>
  <c r="B126" i="97"/>
  <c r="B127" i="97"/>
  <c r="B128" i="97"/>
  <c r="B129" i="97"/>
  <c r="B130" i="97"/>
  <c r="B131" i="97"/>
  <c r="B132" i="97"/>
  <c r="B133" i="97"/>
  <c r="B134" i="97"/>
  <c r="B135" i="97"/>
  <c r="B136" i="97"/>
  <c r="B137" i="97"/>
  <c r="B138" i="97"/>
  <c r="B139" i="97"/>
  <c r="B140" i="97"/>
  <c r="B141" i="97"/>
  <c r="B142" i="97"/>
  <c r="B143" i="97"/>
  <c r="B144" i="97"/>
  <c r="B145" i="97"/>
  <c r="B146" i="97"/>
  <c r="B147" i="97"/>
  <c r="B148" i="97"/>
  <c r="B149" i="97"/>
  <c r="B150" i="97"/>
  <c r="B151" i="97"/>
  <c r="B152" i="97"/>
  <c r="B153" i="97"/>
  <c r="B154" i="97"/>
  <c r="B89" i="97"/>
  <c r="C89" i="97"/>
  <c r="B259" i="97"/>
  <c r="B260" i="97"/>
  <c r="B178" i="97"/>
  <c r="B180" i="97"/>
  <c r="B181" i="97"/>
  <c r="B268" i="97"/>
  <c r="C102" i="97"/>
  <c r="B272" i="97"/>
  <c r="B273" i="97"/>
  <c r="B194" i="97"/>
  <c r="B195" i="97"/>
  <c r="B280" i="97"/>
  <c r="B281" i="97"/>
  <c r="C116" i="97"/>
  <c r="B202" i="97"/>
  <c r="B203" i="97"/>
  <c r="B204" i="97"/>
  <c r="B289" i="97"/>
  <c r="B291" i="97"/>
  <c r="C124" i="97"/>
  <c r="C127" i="97"/>
  <c r="C128" i="97"/>
  <c r="C129" i="97"/>
  <c r="B216" i="97"/>
  <c r="C134" i="97"/>
  <c r="B304" i="97"/>
  <c r="B305" i="97"/>
  <c r="B308" i="97"/>
  <c r="C143" i="97"/>
  <c r="B228" i="97"/>
  <c r="B229" i="97"/>
  <c r="C148" i="97"/>
  <c r="C150" i="97"/>
  <c r="B236" i="97"/>
  <c r="C153" i="97"/>
  <c r="B322" i="97"/>
  <c r="B179" i="97"/>
  <c r="B267" i="97"/>
  <c r="B187" i="97"/>
  <c r="B275" i="97"/>
  <c r="B283" i="97"/>
  <c r="B211" i="97"/>
  <c r="B300" i="97"/>
  <c r="B217" i="97"/>
  <c r="B302" i="97"/>
  <c r="B220" i="97"/>
  <c r="B225" i="97"/>
  <c r="B231" i="97"/>
  <c r="B233" i="97"/>
  <c r="B318" i="97"/>
  <c r="D322" i="97"/>
  <c r="E322" i="97"/>
  <c r="B238" i="97"/>
  <c r="D238" i="97"/>
  <c r="E238" i="97"/>
  <c r="C151" i="97"/>
  <c r="D151" i="97"/>
  <c r="E152" i="97"/>
  <c r="E153" i="97"/>
  <c r="C154" i="97"/>
  <c r="D154" i="97"/>
  <c r="E154" i="97"/>
  <c r="F154" i="97"/>
  <c r="B314" i="97"/>
  <c r="D314" i="97"/>
  <c r="E314" i="97"/>
  <c r="B315" i="97"/>
  <c r="D315" i="97"/>
  <c r="E315" i="97"/>
  <c r="D316" i="97"/>
  <c r="E316" i="97"/>
  <c r="B317" i="97"/>
  <c r="D318" i="97"/>
  <c r="E318" i="97"/>
  <c r="B298" i="97"/>
  <c r="D298" i="97"/>
  <c r="E298" i="97"/>
  <c r="B299" i="97"/>
  <c r="D299" i="97"/>
  <c r="E299" i="97"/>
  <c r="E300" i="97"/>
  <c r="B301" i="97"/>
  <c r="D301" i="97"/>
  <c r="E301" i="97"/>
  <c r="E304" i="97"/>
  <c r="B306" i="97"/>
  <c r="D306" i="97"/>
  <c r="E306" i="97"/>
  <c r="B307" i="97"/>
  <c r="D307" i="97"/>
  <c r="E307" i="97"/>
  <c r="E308" i="97"/>
  <c r="B309" i="97"/>
  <c r="E310" i="97"/>
  <c r="D312" i="97"/>
  <c r="D231" i="97"/>
  <c r="E231" i="97"/>
  <c r="D233" i="97"/>
  <c r="E233" i="97"/>
  <c r="B214" i="97"/>
  <c r="D214" i="97"/>
  <c r="E214" i="97"/>
  <c r="B215" i="97"/>
  <c r="D215" i="97"/>
  <c r="E215" i="97"/>
  <c r="D216" i="97"/>
  <c r="E216" i="97"/>
  <c r="D217" i="97"/>
  <c r="B222" i="97"/>
  <c r="D222" i="97"/>
  <c r="E222" i="97"/>
  <c r="B223" i="97"/>
  <c r="D223" i="97"/>
  <c r="E223" i="97"/>
  <c r="B224" i="97"/>
  <c r="D226" i="97"/>
  <c r="E228" i="97"/>
  <c r="B230" i="97"/>
  <c r="D230" i="97"/>
  <c r="E230" i="97"/>
  <c r="C130" i="97"/>
  <c r="D130" i="97"/>
  <c r="E130" i="97"/>
  <c r="F130" i="97"/>
  <c r="C131" i="97"/>
  <c r="D131" i="97"/>
  <c r="E131" i="97"/>
  <c r="F131" i="97"/>
  <c r="E132" i="97"/>
  <c r="F132" i="97"/>
  <c r="C133" i="97"/>
  <c r="D133" i="97"/>
  <c r="C135" i="97"/>
  <c r="D135" i="97"/>
  <c r="F135" i="97"/>
  <c r="E136" i="97"/>
  <c r="C138" i="97"/>
  <c r="D138" i="97"/>
  <c r="E138" i="97"/>
  <c r="F138" i="97"/>
  <c r="C139" i="97"/>
  <c r="D139" i="97"/>
  <c r="E139" i="97"/>
  <c r="F139" i="97"/>
  <c r="C140" i="97"/>
  <c r="E140" i="97"/>
  <c r="F140" i="97"/>
  <c r="C141" i="97"/>
  <c r="D141" i="97"/>
  <c r="F141" i="97"/>
  <c r="C142" i="97"/>
  <c r="D142" i="97"/>
  <c r="E143" i="97"/>
  <c r="C144" i="97"/>
  <c r="E144" i="97"/>
  <c r="F144" i="97"/>
  <c r="E145" i="97"/>
  <c r="C146" i="97"/>
  <c r="D146" i="97"/>
  <c r="E146" i="97"/>
  <c r="F146" i="97"/>
  <c r="C147" i="97"/>
  <c r="E147" i="97"/>
  <c r="D148" i="97"/>
  <c r="E148" i="97"/>
  <c r="F148" i="97"/>
  <c r="C149" i="97"/>
  <c r="D149" i="97"/>
  <c r="F149" i="97"/>
  <c r="D150" i="97"/>
  <c r="A169" i="97"/>
  <c r="A81" i="97"/>
  <c r="A165" i="97" s="1"/>
  <c r="A69" i="97"/>
  <c r="A321" i="97" s="1"/>
  <c r="A70" i="97"/>
  <c r="A322" i="97" s="1"/>
  <c r="A64" i="97"/>
  <c r="A316" i="97" s="1"/>
  <c r="A65" i="97"/>
  <c r="A317" i="97" s="1"/>
  <c r="A66" i="97"/>
  <c r="A318" i="97" s="1"/>
  <c r="A67" i="97"/>
  <c r="A319" i="97" s="1"/>
  <c r="A68" i="97"/>
  <c r="A320" i="97" s="1"/>
  <c r="A46" i="97"/>
  <c r="A298" i="97" s="1"/>
  <c r="A47" i="97"/>
  <c r="A299" i="97" s="1"/>
  <c r="A48" i="97"/>
  <c r="A300" i="97" s="1"/>
  <c r="A49" i="97"/>
  <c r="A301" i="97" s="1"/>
  <c r="A50" i="97"/>
  <c r="A302" i="97" s="1"/>
  <c r="A51" i="97"/>
  <c r="A303" i="97" s="1"/>
  <c r="A52" i="97"/>
  <c r="A304" i="97" s="1"/>
  <c r="A53" i="97"/>
  <c r="A305" i="97" s="1"/>
  <c r="A54" i="97"/>
  <c r="A306" i="97" s="1"/>
  <c r="A55" i="97"/>
  <c r="A307" i="97" s="1"/>
  <c r="A56" i="97"/>
  <c r="A308" i="97" s="1"/>
  <c r="A57" i="97"/>
  <c r="A309" i="97" s="1"/>
  <c r="A58" i="97"/>
  <c r="A310" i="97" s="1"/>
  <c r="A59" i="97"/>
  <c r="A311" i="97" s="1"/>
  <c r="A60" i="97"/>
  <c r="A312" i="97" s="1"/>
  <c r="A61" i="97"/>
  <c r="A313" i="97" s="1"/>
  <c r="A62" i="97"/>
  <c r="A314" i="97" s="1"/>
  <c r="A63" i="97"/>
  <c r="A315" i="97" s="1"/>
  <c r="A6" i="97"/>
  <c r="A258" i="97" s="1"/>
  <c r="A7" i="97"/>
  <c r="A259" i="97" s="1"/>
  <c r="A8" i="97"/>
  <c r="A260" i="97" s="1"/>
  <c r="A9" i="97"/>
  <c r="A10" i="97"/>
  <c r="A262" i="97" s="1"/>
  <c r="A11" i="97"/>
  <c r="A263" i="97" s="1"/>
  <c r="A12" i="97"/>
  <c r="A264" i="97" s="1"/>
  <c r="A13" i="97"/>
  <c r="A14" i="97"/>
  <c r="A266" i="97" s="1"/>
  <c r="A15" i="97"/>
  <c r="A267" i="97" s="1"/>
  <c r="A16" i="97"/>
  <c r="A268" i="97" s="1"/>
  <c r="A17" i="97"/>
  <c r="A18" i="97"/>
  <c r="A270" i="97" s="1"/>
  <c r="A19" i="97"/>
  <c r="A271" i="97" s="1"/>
  <c r="A20" i="97"/>
  <c r="A272" i="97" s="1"/>
  <c r="A21" i="97"/>
  <c r="A273" i="97" s="1"/>
  <c r="A22" i="97"/>
  <c r="A23" i="97"/>
  <c r="A24" i="97"/>
  <c r="A276" i="97" s="1"/>
  <c r="A25" i="97"/>
  <c r="A26" i="97"/>
  <c r="A27" i="97"/>
  <c r="A28" i="97"/>
  <c r="A29" i="97"/>
  <c r="A281" i="97" s="1"/>
  <c r="A30" i="97"/>
  <c r="A282" i="97" s="1"/>
  <c r="A31" i="97"/>
  <c r="A283" i="97" s="1"/>
  <c r="A32" i="97"/>
  <c r="A33" i="97"/>
  <c r="A285" i="97" s="1"/>
  <c r="A34" i="97"/>
  <c r="A286" i="97" s="1"/>
  <c r="A35" i="97"/>
  <c r="A287" i="97" s="1"/>
  <c r="A36" i="97"/>
  <c r="A37" i="97"/>
  <c r="A289" i="97" s="1"/>
  <c r="A38" i="97"/>
  <c r="A290" i="97" s="1"/>
  <c r="A39" i="97"/>
  <c r="A291" i="97" s="1"/>
  <c r="A40" i="97"/>
  <c r="A41" i="97"/>
  <c r="A293" i="97" s="1"/>
  <c r="A42" i="97"/>
  <c r="A294" i="97" s="1"/>
  <c r="A43" i="97"/>
  <c r="A295" i="97" s="1"/>
  <c r="A44" i="97"/>
  <c r="A296" i="97" s="1"/>
  <c r="A45" i="97"/>
  <c r="A297" i="97" s="1"/>
  <c r="A5" i="97"/>
  <c r="A257" i="97" s="1"/>
  <c r="E297" i="97"/>
  <c r="B297" i="97"/>
  <c r="E293" i="97"/>
  <c r="E291" i="97"/>
  <c r="D291" i="97"/>
  <c r="E290" i="97"/>
  <c r="D290" i="97"/>
  <c r="B290" i="97"/>
  <c r="B288" i="97"/>
  <c r="D285" i="97"/>
  <c r="E284" i="97"/>
  <c r="B284" i="97"/>
  <c r="E283" i="97"/>
  <c r="E282" i="97"/>
  <c r="D282" i="97"/>
  <c r="B282" i="97"/>
  <c r="E276" i="97"/>
  <c r="B276" i="97"/>
  <c r="E275" i="97"/>
  <c r="E274" i="97"/>
  <c r="D274" i="97"/>
  <c r="B274" i="97"/>
  <c r="E268" i="97"/>
  <c r="E267" i="97"/>
  <c r="D267" i="97"/>
  <c r="E266" i="97"/>
  <c r="D266" i="97"/>
  <c r="B266" i="97"/>
  <c r="B265" i="97"/>
  <c r="E264" i="97"/>
  <c r="D262" i="97"/>
  <c r="E259" i="97"/>
  <c r="D259" i="97"/>
  <c r="E258" i="97"/>
  <c r="D258" i="97"/>
  <c r="B258" i="97"/>
  <c r="E257" i="97"/>
  <c r="D257" i="97"/>
  <c r="B257" i="97"/>
  <c r="E255" i="97"/>
  <c r="D255" i="97"/>
  <c r="B255" i="97"/>
  <c r="D212" i="97"/>
  <c r="B212" i="97"/>
  <c r="D210" i="97"/>
  <c r="B210" i="97"/>
  <c r="E208" i="97"/>
  <c r="D208" i="97"/>
  <c r="E207" i="97"/>
  <c r="D207" i="97"/>
  <c r="B207" i="97"/>
  <c r="E206" i="97"/>
  <c r="D206" i="97"/>
  <c r="B206" i="97"/>
  <c r="E204" i="97"/>
  <c r="D204" i="97"/>
  <c r="D202" i="97"/>
  <c r="D200" i="97"/>
  <c r="E199" i="97"/>
  <c r="B199" i="97"/>
  <c r="E198" i="97"/>
  <c r="D198" i="97"/>
  <c r="B198" i="97"/>
  <c r="E196" i="97"/>
  <c r="D196" i="97"/>
  <c r="E191" i="97"/>
  <c r="D191" i="97"/>
  <c r="B191" i="97"/>
  <c r="E190" i="97"/>
  <c r="D190" i="97"/>
  <c r="B190" i="97"/>
  <c r="E189" i="97"/>
  <c r="B186" i="97"/>
  <c r="E184" i="97"/>
  <c r="D183" i="97"/>
  <c r="B183" i="97"/>
  <c r="E182" i="97"/>
  <c r="D182" i="97"/>
  <c r="B182" i="97"/>
  <c r="D178" i="97"/>
  <c r="E175" i="97"/>
  <c r="D175" i="97"/>
  <c r="B175" i="97"/>
  <c r="E174" i="97"/>
  <c r="D174" i="97"/>
  <c r="B174" i="97"/>
  <c r="E173" i="97"/>
  <c r="D173" i="97"/>
  <c r="B173" i="97"/>
  <c r="E171" i="97"/>
  <c r="D171" i="97"/>
  <c r="B171" i="97"/>
  <c r="D165" i="97"/>
  <c r="C165" i="97"/>
  <c r="C126" i="97"/>
  <c r="D125" i="97"/>
  <c r="C125" i="97"/>
  <c r="D122" i="97"/>
  <c r="C122" i="97"/>
  <c r="D118" i="97"/>
  <c r="C118" i="97"/>
  <c r="D117" i="97"/>
  <c r="C117" i="97"/>
  <c r="D114" i="97"/>
  <c r="C114" i="97"/>
  <c r="C113" i="97"/>
  <c r="D110" i="97"/>
  <c r="D109" i="97"/>
  <c r="C109" i="97"/>
  <c r="C108" i="97"/>
  <c r="D106" i="97"/>
  <c r="C106" i="97"/>
  <c r="C104" i="97"/>
  <c r="D102" i="97"/>
  <c r="D101" i="97"/>
  <c r="C101" i="97"/>
  <c r="D100" i="97"/>
  <c r="C100" i="97"/>
  <c r="D98" i="97"/>
  <c r="C98" i="97"/>
  <c r="C94" i="97"/>
  <c r="D93" i="97"/>
  <c r="C93" i="97"/>
  <c r="D92" i="97"/>
  <c r="D90" i="97"/>
  <c r="C90" i="97"/>
  <c r="D89" i="97"/>
  <c r="F87" i="97"/>
  <c r="E87" i="97"/>
  <c r="D87" i="97"/>
  <c r="C87" i="97"/>
  <c r="B87" i="97"/>
  <c r="E129" i="97"/>
  <c r="D127" i="97"/>
  <c r="A204" i="97" l="1"/>
  <c r="A288" i="97"/>
  <c r="A193" i="97"/>
  <c r="A277" i="97"/>
  <c r="A185" i="97"/>
  <c r="A269" i="97"/>
  <c r="A177" i="97"/>
  <c r="A261" i="97"/>
  <c r="A196" i="97"/>
  <c r="A280" i="97"/>
  <c r="A195" i="97"/>
  <c r="A279" i="97"/>
  <c r="A194" i="97"/>
  <c r="A278" i="97"/>
  <c r="A208" i="97"/>
  <c r="A292" i="97"/>
  <c r="A200" i="97"/>
  <c r="A284" i="97"/>
  <c r="A181" i="97"/>
  <c r="A265" i="97"/>
  <c r="A191" i="97"/>
  <c r="A275" i="97"/>
  <c r="A190" i="97"/>
  <c r="A274" i="97"/>
  <c r="A205" i="97"/>
  <c r="A105" i="97"/>
  <c r="A189" i="97"/>
  <c r="A147" i="97"/>
  <c r="A231" i="97"/>
  <c r="A153" i="97"/>
  <c r="A237" i="97"/>
  <c r="A188" i="97"/>
  <c r="A146" i="97"/>
  <c r="A230" i="97"/>
  <c r="A203" i="97"/>
  <c r="A95" i="97"/>
  <c r="A179" i="97"/>
  <c r="A178" i="97"/>
  <c r="A144" i="97"/>
  <c r="A228" i="97"/>
  <c r="A151" i="97"/>
  <c r="A235" i="97"/>
  <c r="A201" i="97"/>
  <c r="A143" i="97"/>
  <c r="A227" i="97"/>
  <c r="A135" i="97"/>
  <c r="A219" i="97"/>
  <c r="A108" i="97"/>
  <c r="A192" i="97"/>
  <c r="A100" i="97"/>
  <c r="A184" i="97"/>
  <c r="A92" i="97"/>
  <c r="A176" i="97"/>
  <c r="A142" i="97"/>
  <c r="A226" i="97"/>
  <c r="A134" i="97"/>
  <c r="A218" i="97"/>
  <c r="A149" i="97"/>
  <c r="A233" i="97"/>
  <c r="A131" i="97"/>
  <c r="A215" i="97"/>
  <c r="A212" i="97"/>
  <c r="A96" i="97"/>
  <c r="A180" i="97"/>
  <c r="A138" i="97"/>
  <c r="A222" i="97"/>
  <c r="A130" i="97"/>
  <c r="A214" i="97"/>
  <c r="A211" i="97"/>
  <c r="A187" i="97"/>
  <c r="A145" i="97"/>
  <c r="A229" i="97"/>
  <c r="A137" i="97"/>
  <c r="A221" i="97"/>
  <c r="A152" i="97"/>
  <c r="A236" i="97"/>
  <c r="A126" i="97"/>
  <c r="A210" i="97"/>
  <c r="A118" i="97"/>
  <c r="A202" i="97"/>
  <c r="A102" i="97"/>
  <c r="A186" i="97"/>
  <c r="A136" i="97"/>
  <c r="A220" i="97"/>
  <c r="A125" i="97"/>
  <c r="A209" i="97"/>
  <c r="A150" i="97"/>
  <c r="A234" i="97"/>
  <c r="A123" i="97"/>
  <c r="A207" i="97"/>
  <c r="A115" i="97"/>
  <c r="A199" i="97"/>
  <c r="A183" i="97"/>
  <c r="A175" i="97"/>
  <c r="A141" i="97"/>
  <c r="A225" i="97"/>
  <c r="A133" i="97"/>
  <c r="A217" i="97"/>
  <c r="A148" i="97"/>
  <c r="A232" i="97"/>
  <c r="A129" i="97"/>
  <c r="A213" i="97"/>
  <c r="A197" i="97"/>
  <c r="A139" i="97"/>
  <c r="A223" i="97"/>
  <c r="A173" i="97"/>
  <c r="A206" i="97"/>
  <c r="A198" i="97"/>
  <c r="A182" i="97"/>
  <c r="A90" i="97"/>
  <c r="A174" i="97"/>
  <c r="A140" i="97"/>
  <c r="A224" i="97"/>
  <c r="A132" i="97"/>
  <c r="A216" i="97"/>
  <c r="A154" i="97"/>
  <c r="A238" i="97"/>
  <c r="E197" i="97"/>
  <c r="E221" i="97"/>
  <c r="F153" i="97"/>
  <c r="E272" i="97"/>
  <c r="E321" i="97"/>
  <c r="E273" i="97"/>
  <c r="E181" i="97"/>
  <c r="E280" i="97"/>
  <c r="E287" i="97"/>
  <c r="F134" i="97"/>
  <c r="E313" i="97"/>
  <c r="E302" i="97"/>
  <c r="E203" i="97"/>
  <c r="F133" i="97"/>
  <c r="F151" i="97"/>
  <c r="E320" i="97"/>
  <c r="E220" i="97"/>
  <c r="F152" i="97"/>
  <c r="E212" i="97"/>
  <c r="E270" i="97"/>
  <c r="F145" i="97"/>
  <c r="F137" i="97"/>
  <c r="D294" i="97"/>
  <c r="E150" i="97"/>
  <c r="E177" i="97"/>
  <c r="E185" i="97"/>
  <c r="D193" i="97"/>
  <c r="E201" i="97"/>
  <c r="D261" i="97"/>
  <c r="D278" i="97"/>
  <c r="E286" i="97"/>
  <c r="E141" i="97"/>
  <c r="D218" i="97"/>
  <c r="E234" i="97"/>
  <c r="D302" i="97"/>
  <c r="D287" i="97"/>
  <c r="E193" i="97"/>
  <c r="E205" i="97"/>
  <c r="E261" i="97"/>
  <c r="D270" i="97"/>
  <c r="E278" i="97"/>
  <c r="D293" i="97"/>
  <c r="E226" i="97"/>
  <c r="E311" i="97"/>
  <c r="D319" i="97"/>
  <c r="D308" i="97"/>
  <c r="D263" i="97"/>
  <c r="E135" i="97"/>
  <c r="E235" i="97"/>
  <c r="D271" i="97"/>
  <c r="E186" i="97"/>
  <c r="E194" i="97"/>
  <c r="D277" i="97"/>
  <c r="E294" i="97"/>
  <c r="D225" i="97"/>
  <c r="E309" i="97"/>
  <c r="E317" i="97"/>
  <c r="E176" i="97"/>
  <c r="E179" i="97"/>
  <c r="D195" i="97"/>
  <c r="D209" i="97"/>
  <c r="E211" i="97"/>
  <c r="D269" i="97"/>
  <c r="E289" i="97"/>
  <c r="E227" i="97"/>
  <c r="E303" i="97"/>
  <c r="D317" i="97"/>
  <c r="E279" i="97"/>
  <c r="E178" i="97"/>
  <c r="E202" i="97"/>
  <c r="E271" i="97"/>
  <c r="E219" i="97"/>
  <c r="E285" i="97"/>
  <c r="D185" i="97"/>
  <c r="E134" i="97"/>
  <c r="E218" i="97"/>
  <c r="D180" i="97"/>
  <c r="D188" i="97"/>
  <c r="D264" i="97"/>
  <c r="D272" i="97"/>
  <c r="D280" i="97"/>
  <c r="D296" i="97"/>
  <c r="D137" i="97"/>
  <c r="D184" i="97"/>
  <c r="D192" i="97"/>
  <c r="D288" i="97"/>
  <c r="D143" i="97"/>
  <c r="D132" i="97"/>
  <c r="D229" i="97"/>
  <c r="D224" i="97"/>
  <c r="D305" i="97"/>
  <c r="D303" i="97"/>
  <c r="D153" i="97"/>
  <c r="D237" i="97"/>
  <c r="D235" i="97"/>
  <c r="D320" i="97"/>
  <c r="D176" i="97"/>
  <c r="D203" i="97"/>
  <c r="D205" i="97"/>
  <c r="D211" i="97"/>
  <c r="D260" i="97"/>
  <c r="D268" i="97"/>
  <c r="D276" i="97"/>
  <c r="D284" i="97"/>
  <c r="D292" i="97"/>
  <c r="D145" i="97"/>
  <c r="D134" i="97"/>
  <c r="D220" i="97"/>
  <c r="D313" i="97"/>
  <c r="D311" i="97"/>
  <c r="D221" i="97"/>
  <c r="D129" i="97"/>
  <c r="D197" i="97"/>
  <c r="D213" i="97"/>
  <c r="D136" i="97"/>
  <c r="D97" i="97"/>
  <c r="D121" i="97"/>
  <c r="D179" i="97"/>
  <c r="D181" i="97"/>
  <c r="D187" i="97"/>
  <c r="D189" i="97"/>
  <c r="D273" i="97"/>
  <c r="D279" i="97"/>
  <c r="D281" i="97"/>
  <c r="D140" i="97"/>
  <c r="D228" i="97"/>
  <c r="D152" i="97"/>
  <c r="D113" i="97"/>
  <c r="D199" i="97"/>
  <c r="D144" i="97"/>
  <c r="D310" i="97"/>
  <c r="B312" i="97"/>
  <c r="C96" i="97"/>
  <c r="C105" i="97"/>
  <c r="C121" i="97"/>
  <c r="B264" i="97"/>
  <c r="B296" i="97"/>
  <c r="C145" i="97"/>
  <c r="C136" i="97"/>
  <c r="B321" i="97"/>
  <c r="B197" i="97"/>
  <c r="C92" i="97"/>
  <c r="C110" i="97"/>
  <c r="B292" i="97"/>
  <c r="C132" i="97"/>
  <c r="B234" i="97"/>
  <c r="B232" i="97"/>
  <c r="C152" i="97"/>
  <c r="B188" i="97"/>
  <c r="B221" i="97"/>
  <c r="B313" i="97"/>
  <c r="B320" i="97"/>
  <c r="B205" i="97"/>
  <c r="C112" i="97"/>
  <c r="B196" i="97"/>
  <c r="C137" i="97"/>
  <c r="B189" i="97"/>
  <c r="C120" i="97"/>
  <c r="C97" i="97"/>
  <c r="B227" i="97"/>
  <c r="B219" i="97"/>
  <c r="B185" i="97"/>
  <c r="B193" i="97"/>
  <c r="B310" i="97"/>
  <c r="B176" i="97"/>
  <c r="B184" i="97"/>
  <c r="B192" i="97"/>
  <c r="B200" i="97"/>
  <c r="B208" i="97"/>
  <c r="B311" i="97"/>
  <c r="B303" i="97"/>
  <c r="B316" i="97"/>
  <c r="B213" i="97"/>
  <c r="B261" i="97"/>
  <c r="B269" i="97"/>
  <c r="B277" i="97"/>
  <c r="B285" i="97"/>
  <c r="B293" i="97"/>
  <c r="B226" i="97"/>
  <c r="B218" i="97"/>
  <c r="B237" i="97"/>
  <c r="B263" i="97"/>
  <c r="B271" i="97"/>
  <c r="B279" i="97"/>
  <c r="B287" i="97"/>
  <c r="B295" i="97"/>
  <c r="B235" i="97"/>
  <c r="B319" i="97"/>
  <c r="B177" i="97"/>
  <c r="B201" i="97"/>
  <c r="B209" i="97"/>
  <c r="B262" i="97"/>
  <c r="B270" i="97"/>
  <c r="B278" i="97"/>
  <c r="B286" i="97"/>
  <c r="B294" i="97"/>
  <c r="A89" i="97"/>
  <c r="A98" i="97"/>
  <c r="A106" i="97"/>
  <c r="A124" i="97"/>
  <c r="A99" i="97"/>
  <c r="A114" i="97"/>
  <c r="A122" i="97"/>
  <c r="A116" i="97"/>
  <c r="A91" i="97"/>
  <c r="A101" i="97"/>
  <c r="A93" i="97"/>
  <c r="A109" i="97"/>
  <c r="A333" i="97"/>
  <c r="A107" i="97"/>
  <c r="A117" i="97"/>
  <c r="A249" i="97"/>
  <c r="A121" i="97"/>
  <c r="A97" i="97"/>
  <c r="A113" i="97"/>
  <c r="E95" i="97"/>
  <c r="E115" i="97"/>
  <c r="E119" i="97"/>
  <c r="E127" i="97"/>
  <c r="F91" i="97"/>
  <c r="F95" i="97"/>
  <c r="F99" i="97"/>
  <c r="F103" i="97"/>
  <c r="A112" i="97"/>
  <c r="E114" i="97"/>
  <c r="E118" i="97"/>
  <c r="E126" i="97"/>
  <c r="E165" i="97"/>
  <c r="F90" i="97"/>
  <c r="F94" i="97"/>
  <c r="F165" i="97"/>
  <c r="E89" i="97"/>
  <c r="E93" i="97"/>
  <c r="E101" i="97"/>
  <c r="A111" i="97"/>
  <c r="A119" i="97"/>
  <c r="E121" i="97"/>
  <c r="E125" i="97"/>
  <c r="F89" i="97"/>
  <c r="F93" i="97"/>
  <c r="F97" i="97"/>
  <c r="F101" i="97"/>
  <c r="D104" i="97"/>
  <c r="F105" i="97"/>
  <c r="D108" i="97"/>
  <c r="F109" i="97"/>
  <c r="D112" i="97"/>
  <c r="F113" i="97"/>
  <c r="D116" i="97"/>
  <c r="F117" i="97"/>
  <c r="D120" i="97"/>
  <c r="F121" i="97"/>
  <c r="D124" i="97"/>
  <c r="F125" i="97"/>
  <c r="D128" i="97"/>
  <c r="F129" i="97"/>
  <c r="D333" i="97"/>
  <c r="E111" i="97"/>
  <c r="F107" i="97"/>
  <c r="F111" i="97"/>
  <c r="F115" i="97"/>
  <c r="E94" i="97"/>
  <c r="A104" i="97"/>
  <c r="E106" i="97"/>
  <c r="E110" i="97"/>
  <c r="A128" i="97"/>
  <c r="F98" i="97"/>
  <c r="F106" i="97"/>
  <c r="F110" i="97"/>
  <c r="F114" i="97"/>
  <c r="F118" i="97"/>
  <c r="A103" i="97"/>
  <c r="E105" i="97"/>
  <c r="A127" i="97"/>
  <c r="E249" i="97"/>
  <c r="C91" i="97"/>
  <c r="E92" i="97"/>
  <c r="A94" i="97"/>
  <c r="C95" i="97"/>
  <c r="E96" i="97"/>
  <c r="C99" i="97"/>
  <c r="E100" i="97"/>
  <c r="C103" i="97"/>
  <c r="E104" i="97"/>
  <c r="C107" i="97"/>
  <c r="E108" i="97"/>
  <c r="A110" i="97"/>
  <c r="C111" i="97"/>
  <c r="E112" i="97"/>
  <c r="C115" i="97"/>
  <c r="E116" i="97"/>
  <c r="C119" i="97"/>
  <c r="E120" i="97"/>
  <c r="C123" i="97"/>
  <c r="E124" i="97"/>
  <c r="E128" i="97"/>
  <c r="A253" i="97"/>
  <c r="E333" i="97"/>
  <c r="E91" i="97"/>
  <c r="E99" i="97"/>
  <c r="E103" i="97"/>
  <c r="E107" i="97"/>
  <c r="E123" i="97"/>
  <c r="F119" i="97"/>
  <c r="F123" i="97"/>
  <c r="F127" i="97"/>
  <c r="A85" i="97"/>
  <c r="E90" i="97"/>
  <c r="E98" i="97"/>
  <c r="E102" i="97"/>
  <c r="A120" i="97"/>
  <c r="E122" i="97"/>
  <c r="F102" i="97"/>
  <c r="F122" i="97"/>
  <c r="F126" i="97"/>
  <c r="D249" i="97"/>
  <c r="E97" i="97"/>
  <c r="E109" i="97"/>
  <c r="E113" i="97"/>
  <c r="E117" i="97"/>
  <c r="D91" i="97"/>
  <c r="F92" i="97"/>
  <c r="D95" i="97"/>
  <c r="F96" i="97"/>
  <c r="D99" i="97"/>
  <c r="F100" i="97"/>
  <c r="D103" i="97"/>
  <c r="F104" i="97"/>
  <c r="D107" i="97"/>
  <c r="F108" i="97"/>
  <c r="D111" i="97"/>
  <c r="F112" i="97"/>
  <c r="D115" i="97"/>
  <c r="F116" i="97"/>
  <c r="D119" i="97"/>
  <c r="F120" i="97"/>
  <c r="D123" i="97"/>
  <c r="F124" i="97"/>
  <c r="F128" i="97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Z55" i="93" s="1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W55" i="93" s="1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R7" i="93" l="1"/>
  <c r="D55" i="93"/>
  <c r="AG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M6" i="78"/>
  <c r="AA107" i="78"/>
  <c r="AB107" i="78"/>
  <c r="AL6" i="78"/>
  <c r="AL88" i="78" s="1"/>
  <c r="Z107" i="78"/>
  <c r="AJ6" i="78"/>
  <c r="AM97" i="78" s="1"/>
  <c r="X107" i="78"/>
  <c r="AI6" i="78"/>
  <c r="AH1" i="78" s="1"/>
  <c r="AK6" i="78"/>
  <c r="AB117" i="78"/>
  <c r="AL83" i="78"/>
  <c r="AX6" i="78"/>
  <c r="AM43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N33" i="79"/>
  <c r="O33" i="79"/>
  <c r="B46" i="78"/>
  <c r="AK93" i="78" l="1"/>
  <c r="AM93" i="78"/>
  <c r="AM106" i="78"/>
  <c r="AM104" i="78"/>
  <c r="AM84" i="78"/>
  <c r="AM89" i="78"/>
  <c r="AM100" i="78"/>
  <c r="AL100" i="78"/>
  <c r="AI96" i="78"/>
  <c r="AI103" i="78"/>
  <c r="AL99" i="78"/>
  <c r="AI101" i="78"/>
  <c r="AL84" i="78"/>
  <c r="AI86" i="78"/>
  <c r="AL98" i="78"/>
  <c r="AM101" i="78"/>
  <c r="AM96" i="78"/>
  <c r="AI105" i="78"/>
  <c r="AM99" i="78"/>
  <c r="AL94" i="78"/>
  <c r="AI90" i="78"/>
  <c r="AM94" i="78"/>
  <c r="AL103" i="78"/>
  <c r="AI43" i="78"/>
  <c r="AL80" i="78"/>
  <c r="AI82" i="78"/>
  <c r="AI107" i="78"/>
  <c r="AI102" i="78"/>
  <c r="AM102" i="78"/>
  <c r="AL96" i="78"/>
  <c r="AI106" i="78"/>
  <c r="AM88" i="78"/>
  <c r="AK87" i="78"/>
  <c r="AL117" i="78"/>
  <c r="AI98" i="78"/>
  <c r="AM85" i="78"/>
  <c r="AL102" i="78"/>
  <c r="AL105" i="78"/>
  <c r="AL106" i="78"/>
  <c r="AL86" i="78"/>
  <c r="AL91" i="78"/>
  <c r="AL82" i="78"/>
  <c r="AL97" i="78"/>
  <c r="AL101" i="78"/>
  <c r="AL95" i="78"/>
  <c r="M8" i="79"/>
  <c r="M33" i="79"/>
  <c r="AL89" i="78"/>
  <c r="AL85" i="78"/>
  <c r="AI95" i="78"/>
  <c r="AI85" i="78"/>
  <c r="AM91" i="78"/>
  <c r="AM87" i="78"/>
  <c r="AM83" i="78"/>
  <c r="AI100" i="78"/>
  <c r="AI99" i="78"/>
  <c r="AM82" i="78"/>
  <c r="AM98" i="78"/>
  <c r="AI92" i="78"/>
  <c r="AI93" i="78"/>
  <c r="AI109" i="78"/>
  <c r="AM109" i="78"/>
  <c r="AM103" i="78"/>
  <c r="AI94" i="78"/>
  <c r="AI83" i="78"/>
  <c r="AI89" i="78"/>
  <c r="AM105" i="78"/>
  <c r="AJ43" i="78"/>
  <c r="AK107" i="78"/>
  <c r="AW6" i="78"/>
  <c r="AW106" i="78" s="1"/>
  <c r="AL43" i="78"/>
  <c r="AI117" i="78"/>
  <c r="AI91" i="78"/>
  <c r="AT6" i="78"/>
  <c r="AS1" i="78" s="1"/>
  <c r="AM90" i="78"/>
  <c r="AM92" i="78"/>
  <c r="AM117" i="78"/>
  <c r="AJ107" i="78"/>
  <c r="AI88" i="78"/>
  <c r="AI87" i="78"/>
  <c r="AI97" i="78"/>
  <c r="AM86" i="78"/>
  <c r="AU6" i="78"/>
  <c r="AX107" i="78" s="1"/>
  <c r="AL104" i="78"/>
  <c r="AL90" i="78"/>
  <c r="AI84" i="78"/>
  <c r="AI80" i="78"/>
  <c r="AI104" i="78"/>
  <c r="AM95" i="78"/>
  <c r="AM80" i="78"/>
  <c r="AL93" i="78"/>
  <c r="AL109" i="78"/>
  <c r="AL87" i="78"/>
  <c r="AL92" i="78"/>
  <c r="AL107" i="78"/>
  <c r="AM10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Q146" i="78"/>
  <c r="S72" i="78"/>
  <c r="S109" i="78" s="1"/>
  <c r="AJ101" i="78"/>
  <c r="AJ88" i="78"/>
  <c r="AJ105" i="78"/>
  <c r="AJ94" i="78"/>
  <c r="AJ90" i="78"/>
  <c r="AK103" i="78"/>
  <c r="AK106" i="78"/>
  <c r="AK100" i="78"/>
  <c r="AK99" i="78"/>
  <c r="AE109" i="78"/>
  <c r="AE72" i="78"/>
  <c r="AF72" i="78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I6" i="78"/>
  <c r="AX43" i="78"/>
  <c r="BF6" i="78"/>
  <c r="AX109" i="78"/>
  <c r="AX88" i="78"/>
  <c r="AX91" i="78"/>
  <c r="AX97" i="78"/>
  <c r="AU43" i="78"/>
  <c r="AX103" i="78"/>
  <c r="AX94" i="78"/>
  <c r="AX80" i="78"/>
  <c r="AX89" i="78"/>
  <c r="AX95" i="78"/>
  <c r="AX100" i="78"/>
  <c r="AX98" i="78"/>
  <c r="AX99" i="78"/>
  <c r="AX90" i="78"/>
  <c r="AX85" i="78"/>
  <c r="AX83" i="78"/>
  <c r="AX105" i="78"/>
  <c r="AX86" i="78"/>
  <c r="AX101" i="78"/>
  <c r="AX96" i="78"/>
  <c r="AX102" i="78"/>
  <c r="AX84" i="78"/>
  <c r="AX82" i="78"/>
  <c r="AX104" i="78"/>
  <c r="AX92" i="78"/>
  <c r="AX93" i="78"/>
  <c r="AX87" i="78"/>
  <c r="AH38" i="78"/>
  <c r="AH75" i="78"/>
  <c r="AH112" i="78"/>
  <c r="BE6" i="78"/>
  <c r="BD1" i="78" s="1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V33" i="79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AE26" i="76"/>
  <c r="AF26" i="76"/>
  <c r="AG26" i="76"/>
  <c r="Q26" i="76"/>
  <c r="AE22" i="76"/>
  <c r="AF22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E9" i="76"/>
  <c r="AF9" i="76"/>
  <c r="AG9" i="76"/>
  <c r="AX106" i="78" l="1"/>
  <c r="AW96" i="78"/>
  <c r="AW102" i="78"/>
  <c r="AW104" i="78"/>
  <c r="AW90" i="78"/>
  <c r="AW117" i="78"/>
  <c r="AV107" i="78"/>
  <c r="BH6" i="78"/>
  <c r="BH98" i="78" s="1"/>
  <c r="AW43" i="78"/>
  <c r="BI107" i="78"/>
  <c r="AW92" i="78"/>
  <c r="AW99" i="78"/>
  <c r="AX117" i="78"/>
  <c r="AU107" i="78"/>
  <c r="AW101" i="78"/>
  <c r="AW103" i="78"/>
  <c r="AW86" i="78"/>
  <c r="AW87" i="78"/>
  <c r="AW88" i="78"/>
  <c r="AW98" i="78"/>
  <c r="AW84" i="78"/>
  <c r="AW107" i="78"/>
  <c r="AW97" i="78"/>
  <c r="AW83" i="78"/>
  <c r="AW91" i="78"/>
  <c r="AW82" i="78"/>
  <c r="AW85" i="78"/>
  <c r="AW94" i="78"/>
  <c r="AW95" i="78"/>
  <c r="BE107" i="78"/>
  <c r="AW93" i="78"/>
  <c r="AW100" i="78"/>
  <c r="AW89" i="78"/>
  <c r="AW109" i="78"/>
  <c r="AW105" i="78"/>
  <c r="AW80" i="78"/>
  <c r="AT107" i="78"/>
  <c r="X22" i="76"/>
  <c r="W22" i="76"/>
  <c r="Y22" i="76"/>
  <c r="V22" i="76"/>
  <c r="AG22" i="76"/>
  <c r="AG49" i="76" s="1"/>
  <c r="AG82" i="76" s="1"/>
  <c r="T22" i="76"/>
  <c r="T49" i="76" s="1"/>
  <c r="AC22" i="76"/>
  <c r="Q22" i="76"/>
  <c r="R22" i="76"/>
  <c r="R49" i="76" s="1"/>
  <c r="R82" i="76" s="1"/>
  <c r="AB22" i="76"/>
  <c r="AB49" i="76" s="1"/>
  <c r="U22" i="76"/>
  <c r="U49" i="76" s="1"/>
  <c r="AD22" i="76"/>
  <c r="AA22" i="76"/>
  <c r="AA49" i="76" s="1"/>
  <c r="AA82" i="76" s="1"/>
  <c r="S22" i="76"/>
  <c r="Z22" i="76"/>
  <c r="AV95" i="78"/>
  <c r="AV91" i="78"/>
  <c r="BH101" i="78"/>
  <c r="BH87" i="78"/>
  <c r="AU104" i="78"/>
  <c r="AU101" i="78"/>
  <c r="AV117" i="78"/>
  <c r="AU88" i="78"/>
  <c r="AU96" i="78"/>
  <c r="BG6" i="78"/>
  <c r="AV96" i="78"/>
  <c r="AU103" i="78"/>
  <c r="AV94" i="78"/>
  <c r="AU105" i="78"/>
  <c r="AV97" i="78"/>
  <c r="BH99" i="78"/>
  <c r="AV103" i="78"/>
  <c r="BH100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BH109" i="78"/>
  <c r="BH86" i="78"/>
  <c r="AU117" i="78"/>
  <c r="AU91" i="78"/>
  <c r="AU83" i="78"/>
  <c r="AV82" i="78"/>
  <c r="AV109" i="78"/>
  <c r="AV102" i="78"/>
  <c r="BH93" i="78"/>
  <c r="BH95" i="78"/>
  <c r="BH103" i="78"/>
  <c r="AU94" i="78"/>
  <c r="AU97" i="78"/>
  <c r="AU99" i="78"/>
  <c r="AV93" i="78"/>
  <c r="AV85" i="78"/>
  <c r="AV99" i="78"/>
  <c r="BH83" i="78"/>
  <c r="BH90" i="78"/>
  <c r="BH80" i="78"/>
  <c r="BH106" i="78"/>
  <c r="AU82" i="78"/>
  <c r="AU102" i="78"/>
  <c r="AU109" i="78"/>
  <c r="AU84" i="78"/>
  <c r="AU93" i="78"/>
  <c r="AV106" i="78"/>
  <c r="AV89" i="78"/>
  <c r="AV87" i="78"/>
  <c r="AV104" i="78"/>
  <c r="BH96" i="78"/>
  <c r="BH117" i="78"/>
  <c r="BH88" i="78"/>
  <c r="BH84" i="78"/>
  <c r="AE49" i="76"/>
  <c r="AD72" i="78"/>
  <c r="AD109" i="78" s="1"/>
  <c r="BH91" i="78"/>
  <c r="BH82" i="78"/>
  <c r="BH89" i="78"/>
  <c r="BH97" i="78"/>
  <c r="V8" i="79"/>
  <c r="AD35" i="79"/>
  <c r="Z35" i="79"/>
  <c r="AE35" i="79"/>
  <c r="Y35" i="79"/>
  <c r="AF35" i="79"/>
  <c r="AG35" i="79"/>
  <c r="AB35" i="79"/>
  <c r="AC35" i="79"/>
  <c r="AA35" i="79"/>
  <c r="BH102" i="78"/>
  <c r="BH105" i="78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O1" i="78" s="1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W49" i="76"/>
  <c r="AF49" i="76"/>
  <c r="X49" i="76"/>
  <c r="X82" i="76" s="1"/>
  <c r="B20" i="52"/>
  <c r="Z49" i="76"/>
  <c r="Z82" i="76" s="1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33" i="21"/>
  <c r="AF33" i="21"/>
  <c r="AE33" i="21"/>
  <c r="AD33" i="21"/>
  <c r="AD38" i="21" s="1"/>
  <c r="AC33" i="21"/>
  <c r="AB33" i="21"/>
  <c r="AA33" i="21"/>
  <c r="Z33" i="21"/>
  <c r="Y33" i="21"/>
  <c r="X33" i="21"/>
  <c r="W33" i="21"/>
  <c r="V33" i="21"/>
  <c r="U33" i="21"/>
  <c r="T33" i="21"/>
  <c r="S33" i="21"/>
  <c r="R33" i="21"/>
  <c r="Q33" i="21"/>
  <c r="AG18" i="21"/>
  <c r="AF18" i="21"/>
  <c r="AE18" i="21"/>
  <c r="AC18" i="21"/>
  <c r="AB18" i="21"/>
  <c r="AA18" i="21"/>
  <c r="Z18" i="21"/>
  <c r="Y18" i="21"/>
  <c r="X18" i="21"/>
  <c r="W18" i="21"/>
  <c r="V18" i="21"/>
  <c r="U18" i="21"/>
  <c r="T18" i="21"/>
  <c r="S18" i="21"/>
  <c r="R18" i="21"/>
  <c r="Q18" i="21"/>
  <c r="AG11" i="21"/>
  <c r="AF11" i="21"/>
  <c r="AE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C180" i="71"/>
  <c r="E180" i="71"/>
  <c r="BH92" i="78" l="1"/>
  <c r="BH85" i="78"/>
  <c r="BH104" i="78"/>
  <c r="BH94" i="78"/>
  <c r="BH107" i="78"/>
  <c r="AE73" i="76"/>
  <c r="AE82" i="76"/>
  <c r="T73" i="76"/>
  <c r="T82" i="76"/>
  <c r="U73" i="76"/>
  <c r="U82" i="76"/>
  <c r="AF69" i="76"/>
  <c r="AF82" i="76"/>
  <c r="AB73" i="76"/>
  <c r="AB82" i="76"/>
  <c r="W73" i="76"/>
  <c r="W82" i="76"/>
  <c r="BP107" i="78"/>
  <c r="BT107" i="78"/>
  <c r="BG107" i="78"/>
  <c r="BH43" i="78"/>
  <c r="BS6" i="78"/>
  <c r="BI117" i="78"/>
  <c r="BF107" i="78"/>
  <c r="D180" i="71"/>
  <c r="H180" i="71" s="1"/>
  <c r="M7" i="75" s="1"/>
  <c r="M109" i="75"/>
  <c r="W56" i="76"/>
  <c r="AF73" i="76"/>
  <c r="AE56" i="76"/>
  <c r="AG65" i="76"/>
  <c r="AG70" i="76"/>
  <c r="AG80" i="76"/>
  <c r="AG60" i="76"/>
  <c r="AG75" i="76"/>
  <c r="AG74" i="76"/>
  <c r="AG54" i="76"/>
  <c r="AG59" i="76"/>
  <c r="AG64" i="76"/>
  <c r="AG53" i="76"/>
  <c r="AG58" i="76"/>
  <c r="AG63" i="76"/>
  <c r="AG67" i="76"/>
  <c r="AG77" i="76"/>
  <c r="AG89" i="76"/>
  <c r="AG94" i="76"/>
  <c r="AG57" i="76"/>
  <c r="AG66" i="76"/>
  <c r="AG81" i="76"/>
  <c r="AG85" i="76"/>
  <c r="AG71" i="76"/>
  <c r="AG93" i="76"/>
  <c r="AG86" i="76"/>
  <c r="AG96" i="76"/>
  <c r="AG76" i="76"/>
  <c r="AG90" i="76"/>
  <c r="AG79" i="76"/>
  <c r="AG88" i="76"/>
  <c r="AG84" i="76"/>
  <c r="AG92" i="76"/>
  <c r="AG62" i="76"/>
  <c r="AG52" i="76"/>
  <c r="AE60" i="76"/>
  <c r="AE65" i="76"/>
  <c r="AE70" i="76"/>
  <c r="AE75" i="76"/>
  <c r="AE80" i="76"/>
  <c r="AE86" i="76"/>
  <c r="AE54" i="76"/>
  <c r="AE59" i="76"/>
  <c r="AE64" i="76"/>
  <c r="AE74" i="76"/>
  <c r="AE53" i="76"/>
  <c r="AE58" i="76"/>
  <c r="AE63" i="76"/>
  <c r="AE67" i="76"/>
  <c r="AE77" i="76"/>
  <c r="AE89" i="76"/>
  <c r="AE94" i="76"/>
  <c r="AE66" i="76"/>
  <c r="AE71" i="76"/>
  <c r="AE57" i="76"/>
  <c r="AE76" i="76"/>
  <c r="AE81" i="76"/>
  <c r="AE85" i="76"/>
  <c r="AE93" i="76"/>
  <c r="AE96" i="76"/>
  <c r="AE90" i="76"/>
  <c r="AE62" i="76"/>
  <c r="AE88" i="76"/>
  <c r="AE84" i="76"/>
  <c r="AE79" i="76"/>
  <c r="AE52" i="76"/>
  <c r="AE92" i="76"/>
  <c r="AG56" i="76"/>
  <c r="U75" i="76"/>
  <c r="U60" i="76"/>
  <c r="U65" i="76"/>
  <c r="U70" i="76"/>
  <c r="U80" i="76"/>
  <c r="U74" i="76"/>
  <c r="U54" i="76"/>
  <c r="U59" i="76"/>
  <c r="U64" i="76"/>
  <c r="U53" i="76"/>
  <c r="U58" i="76"/>
  <c r="U63" i="76"/>
  <c r="U67" i="76"/>
  <c r="U77" i="76"/>
  <c r="U89" i="76"/>
  <c r="U94" i="76"/>
  <c r="U57" i="76"/>
  <c r="U66" i="76"/>
  <c r="U71" i="76"/>
  <c r="U86" i="76"/>
  <c r="U85" i="76"/>
  <c r="U96" i="76"/>
  <c r="U90" i="76"/>
  <c r="U76" i="76"/>
  <c r="U81" i="76"/>
  <c r="U93" i="76"/>
  <c r="U79" i="76"/>
  <c r="U52" i="76"/>
  <c r="U84" i="76"/>
  <c r="U62" i="76"/>
  <c r="U88" i="76"/>
  <c r="U92" i="76"/>
  <c r="U69" i="76"/>
  <c r="T69" i="76"/>
  <c r="AA67" i="76"/>
  <c r="AA53" i="76"/>
  <c r="AA58" i="76"/>
  <c r="AA63" i="76"/>
  <c r="AA77" i="76"/>
  <c r="AA76" i="76"/>
  <c r="AA81" i="76"/>
  <c r="AA57" i="76"/>
  <c r="AA66" i="76"/>
  <c r="AA71" i="76"/>
  <c r="AA60" i="76"/>
  <c r="AA65" i="76"/>
  <c r="AA70" i="76"/>
  <c r="AA75" i="76"/>
  <c r="AA80" i="76"/>
  <c r="AA86" i="76"/>
  <c r="AA54" i="76"/>
  <c r="AA59" i="76"/>
  <c r="AA64" i="76"/>
  <c r="AA93" i="76"/>
  <c r="AA96" i="76"/>
  <c r="AA74" i="76"/>
  <c r="AA90" i="76"/>
  <c r="AA85" i="76"/>
  <c r="AA94" i="76"/>
  <c r="AA89" i="76"/>
  <c r="AA88" i="76"/>
  <c r="AA84" i="76"/>
  <c r="AA92" i="76"/>
  <c r="AA79" i="76"/>
  <c r="AA52" i="76"/>
  <c r="AA62" i="76"/>
  <c r="R54" i="76"/>
  <c r="R59" i="76"/>
  <c r="R64" i="76"/>
  <c r="R74" i="76"/>
  <c r="R85" i="76"/>
  <c r="R53" i="76"/>
  <c r="R67" i="76"/>
  <c r="R58" i="76"/>
  <c r="R63" i="76"/>
  <c r="R77" i="76"/>
  <c r="R57" i="76"/>
  <c r="R66" i="76"/>
  <c r="R71" i="76"/>
  <c r="R76" i="76"/>
  <c r="R81" i="76"/>
  <c r="R93" i="76"/>
  <c r="R60" i="76"/>
  <c r="R65" i="76"/>
  <c r="R70" i="76"/>
  <c r="R86" i="76"/>
  <c r="R96" i="76"/>
  <c r="R90" i="76"/>
  <c r="R75" i="76"/>
  <c r="R89" i="76"/>
  <c r="R80" i="76"/>
  <c r="R94" i="76"/>
  <c r="R92" i="76"/>
  <c r="R84" i="76"/>
  <c r="R79" i="76"/>
  <c r="R52" i="76"/>
  <c r="R62" i="76"/>
  <c r="R88" i="76"/>
  <c r="AB69" i="76"/>
  <c r="AG73" i="76"/>
  <c r="U56" i="76"/>
  <c r="AG69" i="76"/>
  <c r="AB54" i="76"/>
  <c r="AB59" i="76"/>
  <c r="AB64" i="76"/>
  <c r="AB74" i="76"/>
  <c r="AB85" i="76"/>
  <c r="AB90" i="76"/>
  <c r="AB96" i="76"/>
  <c r="AB53" i="76"/>
  <c r="AB58" i="76"/>
  <c r="AB63" i="76"/>
  <c r="AB67" i="76"/>
  <c r="AB77" i="76"/>
  <c r="AB57" i="76"/>
  <c r="AB66" i="76"/>
  <c r="AB71" i="76"/>
  <c r="AB76" i="76"/>
  <c r="AB81" i="76"/>
  <c r="AB93" i="76"/>
  <c r="AB70" i="76"/>
  <c r="AB75" i="76"/>
  <c r="AB60" i="76"/>
  <c r="AB65" i="76"/>
  <c r="AB89" i="76"/>
  <c r="AB86" i="76"/>
  <c r="AB80" i="76"/>
  <c r="AB94" i="76"/>
  <c r="AB88" i="76"/>
  <c r="AB79" i="76"/>
  <c r="AB92" i="76"/>
  <c r="AB62" i="76"/>
  <c r="AB84" i="76"/>
  <c r="AB52" i="76"/>
  <c r="AC49" i="76"/>
  <c r="AC82" i="76" s="1"/>
  <c r="AA73" i="76"/>
  <c r="R73" i="76"/>
  <c r="AA56" i="76"/>
  <c r="W69" i="76"/>
  <c r="X71" i="76"/>
  <c r="X76" i="76"/>
  <c r="X81" i="76"/>
  <c r="X57" i="76"/>
  <c r="X66" i="76"/>
  <c r="X65" i="76"/>
  <c r="X70" i="76"/>
  <c r="X80" i="76"/>
  <c r="X60" i="76"/>
  <c r="X75" i="76"/>
  <c r="X54" i="76"/>
  <c r="X59" i="76"/>
  <c r="X64" i="76"/>
  <c r="X74" i="76"/>
  <c r="X85" i="76"/>
  <c r="X90" i="76"/>
  <c r="X96" i="76"/>
  <c r="X53" i="76"/>
  <c r="X58" i="76"/>
  <c r="X63" i="76"/>
  <c r="X67" i="76"/>
  <c r="X77" i="76"/>
  <c r="X93" i="76"/>
  <c r="X94" i="76"/>
  <c r="X86" i="76"/>
  <c r="X89" i="76"/>
  <c r="X62" i="76"/>
  <c r="X88" i="76"/>
  <c r="X92" i="76"/>
  <c r="X84" i="76"/>
  <c r="X52" i="76"/>
  <c r="X79" i="76"/>
  <c r="AD49" i="76"/>
  <c r="AA69" i="76"/>
  <c r="R69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57" i="76"/>
  <c r="T66" i="76"/>
  <c r="T71" i="76"/>
  <c r="T76" i="76"/>
  <c r="T81" i="76"/>
  <c r="T93" i="76"/>
  <c r="T62" i="76"/>
  <c r="T84" i="76"/>
  <c r="T88" i="76"/>
  <c r="T92" i="76"/>
  <c r="T79" i="76"/>
  <c r="T52" i="76"/>
  <c r="AF60" i="76"/>
  <c r="AF65" i="76"/>
  <c r="AF70" i="76"/>
  <c r="AF75" i="76"/>
  <c r="AF80" i="76"/>
  <c r="AF86" i="76"/>
  <c r="AF54" i="76"/>
  <c r="AF59" i="76"/>
  <c r="AF64" i="76"/>
  <c r="AF74" i="76"/>
  <c r="AF85" i="76"/>
  <c r="AF90" i="76"/>
  <c r="AF96" i="76"/>
  <c r="AF53" i="76"/>
  <c r="AF58" i="76"/>
  <c r="AF63" i="76"/>
  <c r="AF67" i="76"/>
  <c r="AF77" i="76"/>
  <c r="AF89" i="76"/>
  <c r="AF94" i="76"/>
  <c r="AF57" i="76"/>
  <c r="AF66" i="76"/>
  <c r="AF71" i="76"/>
  <c r="AF76" i="76"/>
  <c r="AF81" i="76"/>
  <c r="AF93" i="76"/>
  <c r="AF88" i="76"/>
  <c r="AF92" i="76"/>
  <c r="AF84" i="76"/>
  <c r="AF79" i="76"/>
  <c r="AF62" i="76"/>
  <c r="AF52" i="76"/>
  <c r="T56" i="76"/>
  <c r="X56" i="76"/>
  <c r="X73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54" i="76"/>
  <c r="Z59" i="76"/>
  <c r="Z64" i="76"/>
  <c r="Z74" i="76"/>
  <c r="Z85" i="76"/>
  <c r="Z90" i="76"/>
  <c r="Z96" i="76"/>
  <c r="Z62" i="76"/>
  <c r="Z52" i="76"/>
  <c r="Z88" i="76"/>
  <c r="Z84" i="76"/>
  <c r="Z79" i="76"/>
  <c r="Z92" i="76"/>
  <c r="AB56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53" i="76"/>
  <c r="W58" i="76"/>
  <c r="W63" i="76"/>
  <c r="W67" i="76"/>
  <c r="W77" i="76"/>
  <c r="W89" i="76"/>
  <c r="W94" i="76"/>
  <c r="W84" i="76"/>
  <c r="W52" i="76"/>
  <c r="W88" i="76"/>
  <c r="W79" i="76"/>
  <c r="W62" i="76"/>
  <c r="W92" i="76"/>
  <c r="Z73" i="76"/>
  <c r="AF56" i="76"/>
  <c r="Z56" i="76"/>
  <c r="X69" i="76"/>
  <c r="V49" i="76"/>
  <c r="V82" i="76" s="1"/>
  <c r="S49" i="76"/>
  <c r="S82" i="76" s="1"/>
  <c r="Y49" i="76"/>
  <c r="Y82" i="76" s="1"/>
  <c r="Z69" i="76"/>
  <c r="Q49" i="76"/>
  <c r="AE69" i="76"/>
  <c r="R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87" i="78"/>
  <c r="BS88" i="78"/>
  <c r="BS84" i="78"/>
  <c r="BS92" i="78"/>
  <c r="BS94" i="78"/>
  <c r="BS98" i="78"/>
  <c r="BS106" i="78"/>
  <c r="BS82" i="78"/>
  <c r="BS91" i="78"/>
  <c r="BS86" i="78"/>
  <c r="BS103" i="78"/>
  <c r="BS97" i="78"/>
  <c r="BS117" i="78"/>
  <c r="BS99" i="78"/>
  <c r="BS95" i="78"/>
  <c r="BS93" i="78"/>
  <c r="BS104" i="78"/>
  <c r="BS101" i="78"/>
  <c r="BS83" i="78"/>
  <c r="BS80" i="78"/>
  <c r="BS102" i="78"/>
  <c r="BS89" i="78"/>
  <c r="BS96" i="78"/>
  <c r="BS105" i="78"/>
  <c r="BS85" i="78"/>
  <c r="BS100" i="78"/>
  <c r="BS90" i="78"/>
  <c r="F109" i="71"/>
  <c r="F146" i="71"/>
  <c r="N109" i="75" s="1"/>
  <c r="B109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Q38" i="21"/>
  <c r="B8" i="52"/>
  <c r="C146" i="71"/>
  <c r="C109" i="71"/>
  <c r="P8" i="52"/>
  <c r="N8" i="52"/>
  <c r="L8" i="52"/>
  <c r="K8" i="52"/>
  <c r="J8" i="52"/>
  <c r="H8" i="52"/>
  <c r="G8" i="52"/>
  <c r="AD69" i="76" l="1"/>
  <c r="AD82" i="76"/>
  <c r="Q69" i="76"/>
  <c r="Q82" i="76"/>
  <c r="I180" i="71"/>
  <c r="N7" i="75" s="1"/>
  <c r="CA107" i="78"/>
  <c r="BR107" i="78"/>
  <c r="CD6" i="78"/>
  <c r="CD99" i="78" s="1"/>
  <c r="BS43" i="78"/>
  <c r="CE107" i="78"/>
  <c r="BS107" i="78"/>
  <c r="BR109" i="78"/>
  <c r="BQ107" i="78"/>
  <c r="BS109" i="78"/>
  <c r="BZ1" i="78"/>
  <c r="Y53" i="76"/>
  <c r="Y58" i="76"/>
  <c r="Y63" i="76"/>
  <c r="Y67" i="76"/>
  <c r="Y77" i="76"/>
  <c r="Y89" i="76"/>
  <c r="Y94" i="76"/>
  <c r="Y57" i="76"/>
  <c r="Y66" i="76"/>
  <c r="Y71" i="76"/>
  <c r="Y76" i="76"/>
  <c r="Y60" i="76"/>
  <c r="Y65" i="76"/>
  <c r="Y70" i="76"/>
  <c r="Y75" i="76"/>
  <c r="Y80" i="76"/>
  <c r="Y86" i="76"/>
  <c r="Y64" i="76"/>
  <c r="Y54" i="76"/>
  <c r="Y59" i="76"/>
  <c r="Y74" i="76"/>
  <c r="Y85" i="76"/>
  <c r="Y81" i="76"/>
  <c r="Y93" i="76"/>
  <c r="Y90" i="76"/>
  <c r="Y96" i="76"/>
  <c r="Y79" i="76"/>
  <c r="Y92" i="76"/>
  <c r="Y52" i="76"/>
  <c r="Y62" i="76"/>
  <c r="Y84" i="76"/>
  <c r="Y88" i="76"/>
  <c r="Y56" i="76"/>
  <c r="Y73" i="76"/>
  <c r="S60" i="76"/>
  <c r="S65" i="76"/>
  <c r="S70" i="76"/>
  <c r="S75" i="76"/>
  <c r="S80" i="76"/>
  <c r="S86" i="76"/>
  <c r="S54" i="76"/>
  <c r="S59" i="76"/>
  <c r="S64" i="76"/>
  <c r="S74" i="76"/>
  <c r="S53" i="76"/>
  <c r="S58" i="76"/>
  <c r="S63" i="76"/>
  <c r="S67" i="76"/>
  <c r="S77" i="76"/>
  <c r="S89" i="76"/>
  <c r="S94" i="76"/>
  <c r="S81" i="76"/>
  <c r="S57" i="76"/>
  <c r="S66" i="76"/>
  <c r="S71" i="76"/>
  <c r="S96" i="76"/>
  <c r="S85" i="76"/>
  <c r="S90" i="76"/>
  <c r="S76" i="76"/>
  <c r="S93" i="76"/>
  <c r="S84" i="76"/>
  <c r="S79" i="76"/>
  <c r="S52" i="76"/>
  <c r="S88" i="76"/>
  <c r="S92" i="76"/>
  <c r="S62" i="76"/>
  <c r="S73" i="76"/>
  <c r="S56" i="76"/>
  <c r="S69" i="76"/>
  <c r="V57" i="76"/>
  <c r="V66" i="76"/>
  <c r="V71" i="76"/>
  <c r="V76" i="76"/>
  <c r="V81" i="76"/>
  <c r="V93" i="76"/>
  <c r="V60" i="76"/>
  <c r="V65" i="76"/>
  <c r="V70" i="76"/>
  <c r="V75" i="76"/>
  <c r="V54" i="76"/>
  <c r="V59" i="76"/>
  <c r="V64" i="76"/>
  <c r="V74" i="76"/>
  <c r="V85" i="76"/>
  <c r="V90" i="76"/>
  <c r="V96" i="76"/>
  <c r="V53" i="76"/>
  <c r="V77" i="76"/>
  <c r="V58" i="76"/>
  <c r="V63" i="76"/>
  <c r="V67" i="76"/>
  <c r="V89" i="76"/>
  <c r="V86" i="76"/>
  <c r="V80" i="76"/>
  <c r="V94" i="76"/>
  <c r="V88" i="76"/>
  <c r="V84" i="76"/>
  <c r="V62" i="76"/>
  <c r="V92" i="76"/>
  <c r="V79" i="76"/>
  <c r="V52" i="76"/>
  <c r="V56" i="76"/>
  <c r="V73" i="76"/>
  <c r="V69" i="76"/>
  <c r="AD64" i="76"/>
  <c r="AD74" i="76"/>
  <c r="AD54" i="76"/>
  <c r="AD59" i="76"/>
  <c r="AD77" i="76"/>
  <c r="AD53" i="76"/>
  <c r="AD58" i="76"/>
  <c r="AD63" i="76"/>
  <c r="AD67" i="76"/>
  <c r="AD57" i="76"/>
  <c r="AD66" i="76"/>
  <c r="AD71" i="76"/>
  <c r="AD76" i="76"/>
  <c r="AD81" i="76"/>
  <c r="AD93" i="76"/>
  <c r="AD60" i="76"/>
  <c r="AD65" i="76"/>
  <c r="AD94" i="76"/>
  <c r="AD70" i="76"/>
  <c r="AD89" i="76"/>
  <c r="AD96" i="76"/>
  <c r="AD86" i="76"/>
  <c r="AD75" i="76"/>
  <c r="AD80" i="76"/>
  <c r="AD90" i="76"/>
  <c r="AD85" i="76"/>
  <c r="AD79" i="76"/>
  <c r="AD84" i="76"/>
  <c r="AD92" i="76"/>
  <c r="AD62" i="76"/>
  <c r="AD52" i="76"/>
  <c r="AD88" i="76"/>
  <c r="AD73" i="76"/>
  <c r="AD5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0" i="76"/>
  <c r="Q65" i="76"/>
  <c r="Q70" i="76"/>
  <c r="Q75" i="76"/>
  <c r="Q80" i="76"/>
  <c r="Q86" i="76"/>
  <c r="Q56" i="76"/>
  <c r="Q84" i="76"/>
  <c r="Q52" i="76"/>
  <c r="Q92" i="76"/>
  <c r="Q62" i="76"/>
  <c r="Q79" i="76"/>
  <c r="Q88" i="76"/>
  <c r="Q73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60" i="76"/>
  <c r="AC65" i="76"/>
  <c r="AC70" i="76"/>
  <c r="AC75" i="76"/>
  <c r="AC80" i="76"/>
  <c r="AC86" i="76"/>
  <c r="AC84" i="76"/>
  <c r="AC92" i="76"/>
  <c r="AC88" i="76"/>
  <c r="AC62" i="76"/>
  <c r="AC79" i="76"/>
  <c r="AC52" i="76"/>
  <c r="AC73" i="76"/>
  <c r="AC56" i="76"/>
  <c r="Y69" i="76"/>
  <c r="AC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91" i="78" l="1"/>
  <c r="CD83" i="78"/>
  <c r="CD84" i="78"/>
  <c r="CD87" i="78"/>
  <c r="CD85" i="78"/>
  <c r="CD109" i="78"/>
  <c r="CD90" i="78"/>
  <c r="CD97" i="78"/>
  <c r="CD105" i="78"/>
  <c r="CD117" i="78"/>
  <c r="CD94" i="78"/>
  <c r="CD98" i="78"/>
  <c r="CD93" i="78"/>
  <c r="CD86" i="78"/>
  <c r="CD82" i="78"/>
  <c r="CD96" i="78"/>
  <c r="CD95" i="78"/>
  <c r="CD89" i="78"/>
  <c r="CD88" i="78"/>
  <c r="CD101" i="78"/>
  <c r="CD106" i="78"/>
  <c r="CD107" i="78"/>
  <c r="CL107" i="78"/>
  <c r="CD92" i="78"/>
  <c r="CD102" i="78"/>
  <c r="CD104" i="78"/>
  <c r="CD80" i="78"/>
  <c r="CD103" i="78"/>
  <c r="CD100" i="78"/>
  <c r="CP43" i="78"/>
  <c r="CP107" i="78"/>
  <c r="CC80" i="78"/>
  <c r="CB107" i="78"/>
  <c r="CC107" i="78"/>
  <c r="CO6" i="78"/>
  <c r="CO83" i="78" s="1"/>
  <c r="CD43" i="78"/>
  <c r="CE117" i="78"/>
  <c r="CB87" i="78"/>
  <c r="CK1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94" i="78" l="1"/>
  <c r="CO97" i="78"/>
  <c r="CO106" i="78"/>
  <c r="CO85" i="78"/>
  <c r="CO98" i="78"/>
  <c r="CO104" i="78"/>
  <c r="CO103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91" i="78"/>
  <c r="CO87" i="78"/>
  <c r="CO95" i="78"/>
  <c r="CO117" i="78"/>
  <c r="CO109" i="78"/>
  <c r="CN107" i="78"/>
  <c r="CO43" i="78"/>
  <c r="CP117" i="78"/>
  <c r="CM107" i="78"/>
  <c r="CO107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H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35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35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N28" i="80"/>
  <c r="O28" i="80" s="1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H46" i="16" l="1"/>
  <c r="A479" i="76"/>
  <c r="L1" i="16"/>
  <c r="A1" i="16"/>
  <c r="B46" i="16"/>
  <c r="H80" i="16"/>
  <c r="M51" i="75" s="1"/>
  <c r="L39" i="16"/>
  <c r="I46" i="16"/>
  <c r="M152" i="75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E18" i="16"/>
  <c r="C18" i="16"/>
  <c r="Q40" i="80"/>
  <c r="E40" i="80"/>
  <c r="B41" i="80"/>
  <c r="B40" i="80"/>
  <c r="M163" i="75" l="1"/>
  <c r="H36" i="16"/>
  <c r="H27" i="11"/>
  <c r="J27" i="11"/>
  <c r="I27" i="11"/>
  <c r="AB14" i="106"/>
  <c r="Y14" i="106"/>
  <c r="C51" i="18"/>
  <c r="I60" i="18" s="1"/>
  <c r="X14" i="106"/>
  <c r="AC14" i="106"/>
  <c r="AA14" i="106"/>
  <c r="E51" i="18"/>
  <c r="K61" i="18" s="1"/>
  <c r="Z14" i="106"/>
  <c r="F52" i="11"/>
  <c r="F41" i="11"/>
  <c r="D33" i="16"/>
  <c r="H56" i="16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1" i="18" l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F80" i="49" s="1"/>
  <c r="D74" i="49"/>
  <c r="D75" i="49"/>
  <c r="D69" i="49"/>
  <c r="D58" i="49"/>
  <c r="D59" i="49"/>
  <c r="D54" i="49"/>
  <c r="D55" i="49"/>
  <c r="D51" i="49"/>
  <c r="F51" i="49" s="1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C33" i="49" l="1"/>
  <c r="D25" i="49"/>
  <c r="D26" i="49"/>
  <c r="D30" i="49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34" i="16" l="1"/>
  <c r="W54" i="16"/>
  <c r="W72" i="16"/>
  <c r="L54" i="16"/>
  <c r="W34" i="16"/>
  <c r="L72" i="16"/>
  <c r="L50" i="16"/>
  <c r="W30" i="16"/>
  <c r="L68" i="16"/>
  <c r="L30" i="16"/>
  <c r="W50" i="16"/>
  <c r="W68" i="16"/>
  <c r="W46" i="16"/>
  <c r="L46" i="16"/>
  <c r="W26" i="16"/>
  <c r="W64" i="16"/>
  <c r="L64" i="16"/>
  <c r="L26" i="16"/>
  <c r="L33" i="16"/>
  <c r="L71" i="16"/>
  <c r="W53" i="16"/>
  <c r="W71" i="16"/>
  <c r="L53" i="16"/>
  <c r="W33" i="16"/>
  <c r="L70" i="16"/>
  <c r="L32" i="16"/>
  <c r="W32" i="16"/>
  <c r="W52" i="16"/>
  <c r="W70" i="16"/>
  <c r="L52" i="16"/>
  <c r="W31" i="16"/>
  <c r="L69" i="16"/>
  <c r="L31" i="16"/>
  <c r="L51" i="16"/>
  <c r="W69" i="16"/>
  <c r="W51" i="16"/>
  <c r="W67" i="16"/>
  <c r="L49" i="16"/>
  <c r="W29" i="16"/>
  <c r="L67" i="16"/>
  <c r="L29" i="16"/>
  <c r="W49" i="16"/>
  <c r="W66" i="16"/>
  <c r="L48" i="16"/>
  <c r="L66" i="16"/>
  <c r="W28" i="16"/>
  <c r="L28" i="16"/>
  <c r="W48" i="16"/>
  <c r="W47" i="16"/>
  <c r="W65" i="16"/>
  <c r="L47" i="16"/>
  <c r="W27" i="16"/>
  <c r="L65" i="16"/>
  <c r="L27" i="16"/>
  <c r="A51" i="18"/>
  <c r="W56" i="16"/>
  <c r="W74" i="16"/>
  <c r="L56" i="16"/>
  <c r="W36" i="16"/>
  <c r="L74" i="16"/>
  <c r="L36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23" i="76" l="1"/>
  <c r="L70" i="76"/>
  <c r="L49" i="76"/>
  <c r="L96" i="76"/>
  <c r="L23" i="75"/>
  <c r="A87" i="18"/>
  <c r="A96" i="18"/>
  <c r="L18" i="75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9" i="79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109" i="78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339" i="76" l="1"/>
  <c r="A199" i="76"/>
  <c r="A1" i="76"/>
  <c r="A164" i="76"/>
  <c r="A234" i="76"/>
  <c r="A118" i="76"/>
  <c r="A444" i="76"/>
  <c r="A374" i="76"/>
  <c r="A409" i="76"/>
  <c r="A59" i="76"/>
  <c r="A304" i="76"/>
  <c r="A269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B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72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72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X94" i="60" s="1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DD58" i="60"/>
  <c r="DJ58" i="60" s="1"/>
  <c r="DP58" i="60" s="1"/>
  <c r="CX58" i="60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X77" i="60" l="1"/>
  <c r="CR77" i="60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F50" i="49" s="1"/>
  <c r="D52" i="49"/>
  <c r="D53" i="49"/>
  <c r="D56" i="49"/>
  <c r="D57" i="49"/>
  <c r="D60" i="49"/>
  <c r="F60" i="49" s="1"/>
  <c r="C93" i="49"/>
  <c r="C180" i="49" s="1"/>
  <c r="C267" i="49" s="1"/>
  <c r="D93" i="49"/>
  <c r="D180" i="49" s="1"/>
  <c r="D267" i="49" s="1"/>
  <c r="E93" i="49"/>
  <c r="E180" i="49" s="1"/>
  <c r="E267" i="49" s="1"/>
  <c r="F93" i="49"/>
  <c r="F180" i="49" s="1"/>
  <c r="F267" i="49" s="1"/>
  <c r="B93" i="49"/>
  <c r="B180" i="49" s="1"/>
  <c r="B267" i="49" s="1"/>
  <c r="C64" i="49"/>
  <c r="C151" i="49" s="1"/>
  <c r="C238" i="49" s="1"/>
  <c r="D64" i="49"/>
  <c r="D151" i="49" s="1"/>
  <c r="D238" i="49" s="1"/>
  <c r="E64" i="49"/>
  <c r="E151" i="49" s="1"/>
  <c r="E238" i="49" s="1"/>
  <c r="F64" i="49"/>
  <c r="F151" i="49" s="1"/>
  <c r="F238" i="49" s="1"/>
  <c r="B64" i="49"/>
  <c r="B151" i="49" s="1"/>
  <c r="B238" i="49" s="1"/>
  <c r="C35" i="49"/>
  <c r="D35" i="49"/>
  <c r="E35" i="49"/>
  <c r="F35" i="49"/>
  <c r="B35" i="49"/>
  <c r="A33" i="49"/>
  <c r="L41" i="49" l="1" a="1"/>
  <c r="L42" i="49" s="1"/>
  <c r="L19" i="49" a="1"/>
  <c r="L30" i="49" a="1"/>
  <c r="D7" i="49"/>
  <c r="D91" i="49"/>
  <c r="D62" i="49"/>
  <c r="D120" i="49"/>
  <c r="F122" i="49"/>
  <c r="F209" i="49" s="1"/>
  <c r="U35" i="49"/>
  <c r="D122" i="49"/>
  <c r="D209" i="49" s="1"/>
  <c r="S35" i="49"/>
  <c r="E122" i="49"/>
  <c r="E209" i="49" s="1"/>
  <c r="T35" i="49"/>
  <c r="D13" i="49"/>
  <c r="D12" i="49"/>
  <c r="D31" i="49"/>
  <c r="C122" i="49"/>
  <c r="C209" i="49" s="1"/>
  <c r="R35" i="49"/>
  <c r="B122" i="49"/>
  <c r="B209" i="49" s="1"/>
  <c r="Q35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36" i="49"/>
  <c r="N19" i="49" l="1" a="1"/>
  <c r="N27" i="49" s="1"/>
  <c r="N30" i="49" a="1"/>
  <c r="N37" i="49" s="1"/>
  <c r="L46" i="49"/>
  <c r="L43" i="49"/>
  <c r="N41" i="49" a="1"/>
  <c r="N49" i="49" s="1"/>
  <c r="L44" i="49"/>
  <c r="L47" i="49"/>
  <c r="L41" i="49"/>
  <c r="L49" i="49"/>
  <c r="L48" i="49"/>
  <c r="L45" i="49"/>
  <c r="L8" i="49" a="1"/>
  <c r="L30" i="49"/>
  <c r="L35" i="49"/>
  <c r="L37" i="49"/>
  <c r="L33" i="49"/>
  <c r="L34" i="49"/>
  <c r="L32" i="49"/>
  <c r="L31" i="49"/>
  <c r="L38" i="49"/>
  <c r="L36" i="49"/>
  <c r="L19" i="49"/>
  <c r="L26" i="49"/>
  <c r="L20" i="49"/>
  <c r="L27" i="49"/>
  <c r="L25" i="49"/>
  <c r="L24" i="49"/>
  <c r="L23" i="49"/>
  <c r="L22" i="49"/>
  <c r="L21" i="49"/>
  <c r="F91" i="49"/>
  <c r="F120" i="49"/>
  <c r="F62" i="49"/>
  <c r="D33" i="49"/>
  <c r="F9" i="49"/>
  <c r="F10" i="49"/>
  <c r="F18" i="49"/>
  <c r="F13" i="49"/>
  <c r="F19" i="49"/>
  <c r="F24" i="49"/>
  <c r="F14" i="49"/>
  <c r="F21" i="49"/>
  <c r="F31" i="49"/>
  <c r="F20" i="49"/>
  <c r="F8" i="49"/>
  <c r="F23" i="49"/>
  <c r="F27" i="49"/>
  <c r="F15" i="49"/>
  <c r="F7" i="49"/>
  <c r="F28" i="49"/>
  <c r="F12" i="49"/>
  <c r="N19" i="49" l="1"/>
  <c r="N20" i="49"/>
  <c r="N21" i="49"/>
  <c r="N45" i="49"/>
  <c r="N38" i="49"/>
  <c r="N26" i="49"/>
  <c r="N24" i="49"/>
  <c r="N22" i="49"/>
  <c r="N30" i="49"/>
  <c r="N33" i="49"/>
  <c r="N31" i="49"/>
  <c r="N34" i="49"/>
  <c r="N23" i="49"/>
  <c r="N36" i="49"/>
  <c r="N32" i="49"/>
  <c r="N25" i="49"/>
  <c r="N35" i="49"/>
  <c r="N48" i="49"/>
  <c r="N42" i="49"/>
  <c r="N47" i="49"/>
  <c r="N43" i="49"/>
  <c r="N44" i="49"/>
  <c r="N41" i="49"/>
  <c r="N46" i="49"/>
  <c r="L8" i="49"/>
  <c r="L15" i="49"/>
  <c r="L16" i="49"/>
  <c r="L13" i="49"/>
  <c r="L14" i="49"/>
  <c r="L12" i="49"/>
  <c r="L11" i="49"/>
  <c r="L10" i="49"/>
  <c r="L9" i="49"/>
  <c r="N8" i="49" a="1"/>
  <c r="F33" i="49"/>
  <c r="N8" i="49" l="1"/>
  <c r="N15" i="49"/>
  <c r="N10" i="49"/>
  <c r="N9" i="49"/>
  <c r="N11" i="49"/>
  <c r="N14" i="49"/>
  <c r="N16" i="49"/>
  <c r="N13" i="49"/>
  <c r="N12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E38" i="21"/>
  <c r="AF38" i="21"/>
  <c r="AG38" i="2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M2" i="51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43" i="18"/>
  <c r="B39" i="18"/>
  <c r="B34" i="18"/>
  <c r="H89" i="18" s="1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D37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N233" i="21" s="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7" i="76"/>
  <c r="K7" i="15"/>
  <c r="L7" i="15"/>
  <c r="A51" i="51"/>
  <c r="L9" i="15"/>
  <c r="E3" i="44"/>
  <c r="D89" i="18"/>
  <c r="C89" i="18"/>
  <c r="F3" i="44"/>
  <c r="F10" i="44" s="1"/>
  <c r="E89" i="18"/>
  <c r="F89" i="18"/>
  <c r="B89" i="18"/>
  <c r="B59" i="18"/>
  <c r="L41" i="76"/>
  <c r="L88" i="76"/>
  <c r="A1" i="51"/>
  <c r="L37" i="76"/>
  <c r="L84" i="76"/>
  <c r="L32" i="76"/>
  <c r="L79" i="76"/>
  <c r="L26" i="76"/>
  <c r="L73" i="76"/>
  <c r="L22" i="76"/>
  <c r="L69" i="76"/>
  <c r="L15" i="76"/>
  <c r="L62" i="76"/>
  <c r="L45" i="76"/>
  <c r="L92" i="76"/>
  <c r="L9" i="76"/>
  <c r="L56" i="76"/>
  <c r="N230" i="21"/>
  <c r="H17" i="11"/>
  <c r="C118" i="15"/>
  <c r="N11" i="19" s="1"/>
  <c r="C113" i="15"/>
  <c r="N16" i="19" s="1"/>
  <c r="C109" i="15"/>
  <c r="N20" i="19" s="1"/>
  <c r="C104" i="15"/>
  <c r="N25" i="19" s="1"/>
  <c r="C98" i="15"/>
  <c r="N31" i="19" s="1"/>
  <c r="C93" i="15"/>
  <c r="N36" i="19" s="1"/>
  <c r="C89" i="15"/>
  <c r="N40" i="19" s="1"/>
  <c r="C122" i="15"/>
  <c r="N7" i="19" s="1"/>
  <c r="C117" i="15"/>
  <c r="N12" i="19" s="1"/>
  <c r="C112" i="15"/>
  <c r="N17" i="19" s="1"/>
  <c r="C108" i="15"/>
  <c r="N21" i="19" s="1"/>
  <c r="C103" i="15"/>
  <c r="N26" i="19" s="1"/>
  <c r="C97" i="15"/>
  <c r="N32" i="19" s="1"/>
  <c r="C92" i="15"/>
  <c r="N37" i="19" s="1"/>
  <c r="C114" i="15"/>
  <c r="N15" i="19" s="1"/>
  <c r="C105" i="15"/>
  <c r="N24" i="19" s="1"/>
  <c r="C95" i="15"/>
  <c r="N34" i="19" s="1"/>
  <c r="C120" i="15"/>
  <c r="N9" i="19" s="1"/>
  <c r="C115" i="15"/>
  <c r="N14" i="19" s="1"/>
  <c r="C111" i="15"/>
  <c r="N18" i="19" s="1"/>
  <c r="C107" i="15"/>
  <c r="N22" i="19" s="1"/>
  <c r="C102" i="15"/>
  <c r="N27" i="19" s="1"/>
  <c r="C96" i="15"/>
  <c r="N33" i="19" s="1"/>
  <c r="C91" i="15"/>
  <c r="N38" i="19" s="1"/>
  <c r="C119" i="15"/>
  <c r="N10" i="19" s="1"/>
  <c r="C110" i="15"/>
  <c r="N19" i="19" s="1"/>
  <c r="C100" i="15"/>
  <c r="N29" i="19" s="1"/>
  <c r="C90" i="15"/>
  <c r="N39" i="19" s="1"/>
  <c r="C3" i="44"/>
  <c r="L15" i="15"/>
  <c r="B3" i="44"/>
  <c r="F12" i="44"/>
  <c r="F11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59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A53" i="18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4" i="18"/>
  <c r="H96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E46" i="44" l="1"/>
  <c r="B5" i="44"/>
  <c r="B7" i="44"/>
  <c r="B9" i="44"/>
  <c r="B11" i="44"/>
  <c r="B13" i="44"/>
  <c r="B10" i="44"/>
  <c r="B12" i="44"/>
  <c r="B6" i="44"/>
  <c r="B8" i="44"/>
  <c r="E7" i="44"/>
  <c r="E9" i="44"/>
  <c r="E11" i="44"/>
  <c r="E13" i="44"/>
  <c r="E5" i="44"/>
  <c r="E8" i="44"/>
  <c r="E10" i="44"/>
  <c r="E38" i="44" s="1"/>
  <c r="E12" i="44"/>
  <c r="E54" i="44" s="1"/>
  <c r="E6" i="44"/>
  <c r="C7" i="44"/>
  <c r="C9" i="44"/>
  <c r="C11" i="44"/>
  <c r="C13" i="44"/>
  <c r="C5" i="44"/>
  <c r="C6" i="44"/>
  <c r="C8" i="44"/>
  <c r="C10" i="44"/>
  <c r="C12" i="44"/>
  <c r="D7" i="44"/>
  <c r="D9" i="44"/>
  <c r="D11" i="44"/>
  <c r="D13" i="44"/>
  <c r="D5" i="44"/>
  <c r="D8" i="44"/>
  <c r="D10" i="44"/>
  <c r="F52" i="44" s="1"/>
  <c r="D12" i="44"/>
  <c r="F40" i="44" s="1"/>
  <c r="D6" i="44"/>
  <c r="F5" i="44"/>
  <c r="F13" i="44"/>
  <c r="F6" i="44"/>
  <c r="A1" i="44"/>
  <c r="F7" i="44"/>
  <c r="F8" i="44"/>
  <c r="F18" i="44"/>
  <c r="F9" i="44"/>
  <c r="E32" i="44"/>
  <c r="E18" i="44"/>
  <c r="C18" i="44"/>
  <c r="C32" i="44"/>
  <c r="B18" i="44"/>
  <c r="L234" i="21"/>
  <c r="L264" i="21" s="1"/>
  <c r="L235" i="21"/>
  <c r="L265" i="21" s="1"/>
  <c r="L233" i="21"/>
  <c r="L263" i="21" s="1"/>
  <c r="L232" i="21"/>
  <c r="L262" i="21" s="1"/>
  <c r="L236" i="21"/>
  <c r="L266" i="21" s="1"/>
  <c r="L231" i="21"/>
  <c r="L261" i="21" s="1"/>
  <c r="B32" i="44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E33" i="44" l="1"/>
  <c r="E55" i="44"/>
  <c r="E50" i="44"/>
  <c r="F33" i="44"/>
  <c r="E49" i="44"/>
  <c r="E40" i="44"/>
  <c r="E52" i="44"/>
  <c r="E36" i="44"/>
  <c r="D48" i="44"/>
  <c r="E35" i="44"/>
  <c r="E51" i="44"/>
  <c r="F50" i="44"/>
  <c r="F49" i="44"/>
  <c r="E48" i="44"/>
  <c r="E47" i="44"/>
  <c r="E34" i="44"/>
  <c r="E15" i="44"/>
  <c r="E24" i="44" s="1"/>
  <c r="E39" i="44"/>
  <c r="E41" i="44"/>
  <c r="E53" i="44"/>
  <c r="D53" i="44"/>
  <c r="F15" i="44"/>
  <c r="F19" i="44" s="1"/>
  <c r="E37" i="44"/>
  <c r="B41" i="44"/>
  <c r="B52" i="44"/>
  <c r="B47" i="44"/>
  <c r="B35" i="44"/>
  <c r="B40" i="44"/>
  <c r="B33" i="44"/>
  <c r="B34" i="44"/>
  <c r="B38" i="44"/>
  <c r="B36" i="44"/>
  <c r="B54" i="44"/>
  <c r="B50" i="44"/>
  <c r="B15" i="44"/>
  <c r="B21" i="44" s="1"/>
  <c r="B48" i="44"/>
  <c r="B53" i="44"/>
  <c r="B39" i="44"/>
  <c r="B55" i="44"/>
  <c r="C41" i="44"/>
  <c r="B37" i="44"/>
  <c r="B51" i="44"/>
  <c r="C15" i="44"/>
  <c r="C20" i="44" s="1"/>
  <c r="B49" i="44"/>
  <c r="C37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E20" i="44" l="1"/>
  <c r="E21" i="44"/>
  <c r="E26" i="44"/>
  <c r="E22" i="44"/>
  <c r="F24" i="44"/>
  <c r="E19" i="44"/>
  <c r="E27" i="44"/>
  <c r="E23" i="44"/>
  <c r="F20" i="44"/>
  <c r="F23" i="44"/>
  <c r="F29" i="44"/>
  <c r="E25" i="44"/>
  <c r="F26" i="44"/>
  <c r="E43" i="44"/>
  <c r="E29" i="44"/>
  <c r="E57" i="44"/>
  <c r="F22" i="44"/>
  <c r="F25" i="44"/>
  <c r="F27" i="44"/>
  <c r="F21" i="44"/>
  <c r="B25" i="44"/>
  <c r="B24" i="44"/>
  <c r="C24" i="44"/>
  <c r="B22" i="44"/>
  <c r="B26" i="44"/>
  <c r="B19" i="44"/>
  <c r="B29" i="44"/>
  <c r="B27" i="44"/>
  <c r="B20" i="44"/>
  <c r="B23" i="44"/>
  <c r="C27" i="44"/>
  <c r="C26" i="44"/>
  <c r="C25" i="44"/>
  <c r="C21" i="44"/>
  <c r="B43" i="44"/>
  <c r="C29" i="44"/>
  <c r="B57" i="44"/>
  <c r="C23" i="44"/>
  <c r="C19" i="44"/>
  <c r="C22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72" i="78"/>
  <c r="U109" i="78" s="1"/>
  <c r="J21" i="71"/>
  <c r="J14" i="71"/>
  <c r="J29" i="71"/>
  <c r="J22" i="71"/>
  <c r="J20" i="71"/>
  <c r="J10" i="71"/>
  <c r="J25" i="71"/>
  <c r="J13" i="71"/>
  <c r="J15" i="71"/>
  <c r="J35" i="71" l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72" i="71" l="1"/>
  <c r="Q64" i="31"/>
  <c r="J109" i="71"/>
  <c r="I47" i="16" l="1"/>
  <c r="I50" i="16"/>
  <c r="I52" i="16"/>
  <c r="I49" i="16"/>
  <c r="I54" i="16"/>
  <c r="C85" i="60"/>
  <c r="I85" i="60" s="1"/>
  <c r="O85" i="60" s="1"/>
  <c r="U85" i="60" s="1"/>
  <c r="J8" i="16" l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J26" i="16" l="1"/>
  <c r="J46" i="16" s="1"/>
  <c r="I56" i="16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9" i="15"/>
  <c r="M10" i="19" s="1"/>
  <c r="B93" i="15"/>
  <c r="M36" i="19" s="1"/>
  <c r="B114" i="15"/>
  <c r="M15" i="19" s="1"/>
  <c r="B110" i="15"/>
  <c r="M19" i="19" s="1"/>
  <c r="B105" i="15"/>
  <c r="M24" i="19" s="1"/>
  <c r="B112" i="15"/>
  <c r="M17" i="19" s="1"/>
  <c r="B108" i="15"/>
  <c r="M21" i="19" s="1"/>
  <c r="B103" i="15"/>
  <c r="M26" i="19" s="1"/>
  <c r="B113" i="15"/>
  <c r="M16" i="19" s="1"/>
  <c r="B118" i="15"/>
  <c r="M11" i="19" s="1"/>
  <c r="B109" i="15"/>
  <c r="M20" i="19" s="1"/>
  <c r="B120" i="15"/>
  <c r="M9" i="19" s="1"/>
  <c r="B104" i="15"/>
  <c r="M25" i="19" s="1"/>
  <c r="B115" i="15"/>
  <c r="M14" i="19" s="1"/>
  <c r="B111" i="15"/>
  <c r="M18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77" i="12"/>
  <c r="B104" i="12"/>
  <c r="B100" i="12"/>
  <c r="B73" i="12"/>
  <c r="B97" i="12"/>
  <c r="B70" i="12"/>
  <c r="B95" i="12"/>
  <c r="B68" i="12"/>
  <c r="B10" i="15"/>
  <c r="B92" i="15" s="1"/>
  <c r="M37" i="19" s="1"/>
  <c r="B101" i="12"/>
  <c r="B74" i="12"/>
  <c r="B90" i="12"/>
  <c r="B8" i="15"/>
  <c r="B90" i="15" s="1"/>
  <c r="M39" i="19" s="1"/>
  <c r="B9" i="15"/>
  <c r="B91" i="15" s="1"/>
  <c r="M38" i="19" s="1"/>
  <c r="B91" i="12"/>
  <c r="B64" i="12"/>
  <c r="B20" i="15"/>
  <c r="B102" i="15" s="1"/>
  <c r="M27" i="19" s="1"/>
  <c r="M8" i="11"/>
  <c r="B48" i="11"/>
  <c r="B78" i="12"/>
  <c r="B105" i="12"/>
  <c r="M5" i="11"/>
  <c r="B45" i="11"/>
  <c r="B14" i="11"/>
  <c r="N268" i="21" s="1"/>
  <c r="B7" i="15"/>
  <c r="B89" i="15" s="1"/>
  <c r="B99" i="12"/>
  <c r="B72" i="12"/>
  <c r="B49" i="11"/>
  <c r="B25" i="15"/>
  <c r="B107" i="15" s="1"/>
  <c r="M22" i="19" s="1"/>
  <c r="M9" i="11"/>
  <c r="B76" i="12"/>
  <c r="B103" i="12"/>
  <c r="B96" i="12"/>
  <c r="B69" i="12"/>
  <c r="B98" i="12"/>
  <c r="B71" i="12"/>
  <c r="B102" i="12"/>
  <c r="B75" i="12"/>
  <c r="B65" i="12"/>
  <c r="B92" i="12"/>
  <c r="B14" i="15"/>
  <c r="B96" i="15" s="1"/>
  <c r="M33" i="19" s="1"/>
  <c r="H54" i="15" l="1"/>
  <c r="M40" i="19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B52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B50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<sst xmlns="http://schemas.openxmlformats.org/spreadsheetml/2006/main" count="3243" uniqueCount="547">
  <si>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</si>
  <si>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</si>
  <si>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</si>
  <si>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</si>
  <si>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</si>
  <si>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</si>
  <si>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</si>
  <si>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</si>
  <si>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</si>
  <si>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</si>
  <si>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</si>
  <si>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</si>
  <si>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</si>
  <si>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</si>
  <si>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</si>
  <si>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</si>
  <si>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</si>
  <si>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</si>
  <si>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</si>
  <si>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</si>
  <si>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</si>
  <si>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</si>
  <si>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</si>
  <si>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</si>
  <si>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</si>
  <si>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</si>
  <si>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</si>
  <si>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</si>
  <si>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</si>
  <si>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</si>
  <si>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</si>
  <si>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</si>
  <si>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</si>
  <si>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</si>
  <si>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</si>
  <si>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</si>
  <si>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% per annum</t>
  </si>
  <si>
    <t>All qualifications</t>
  </si>
  <si>
    <t>Qualification</t>
  </si>
  <si>
    <t>Total Requirement</t>
  </si>
  <si>
    <t>Net Change</t>
  </si>
  <si>
    <t>Growth % per annum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</si>
  <si>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</si>
  <si>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</si>
  <si>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</si>
  <si>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</si>
  <si>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</si>
  <si>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</si>
  <si>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</si>
  <si>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</si>
  <si>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</si>
  <si>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</si>
  <si>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</si>
  <si>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</si>
  <si>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</si>
  <si>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</si>
  <si>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</si>
  <si>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</si>
  <si>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</si>
  <si>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</si>
  <si>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</si>
  <si>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</si>
  <si>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</si>
  <si>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</si>
  <si>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</si>
  <si>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</si>
  <si>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</si>
  <si>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</si>
  <si>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</si>
  <si>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</si>
  <si>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</si>
  <si>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</si>
  <si>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</si>
  <si>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</si>
  <si>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</si>
  <si>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</si>
  <si>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</si>
  <si>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</si>
  <si>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</si>
  <si>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</si>
  <si>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</si>
  <si>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</si>
  <si>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</si>
  <si>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</si>
  <si>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</si>
  <si>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</si>
  <si>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</si>
  <si>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</si>
  <si>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</si>
  <si>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</si>
  <si>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</si>
  <si>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</si>
  <si>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</si>
  <si>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</si>
  <si>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</si>
  <si>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</si>
  <si>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</si>
  <si>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</si>
  <si>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</si>
  <si>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</si>
  <si>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</si>
  <si>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</si>
  <si>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</si>
  <si>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</si>
  <si>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</si>
  <si>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</si>
  <si>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</si>
  <si>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</si>
  <si>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</si>
  <si>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</si>
  <si>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</si>
  <si>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</si>
  <si>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</si>
  <si>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</si>
  <si>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</si>
  <si>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</si>
  <si>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</si>
  <si>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</si>
  <si>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</si>
  <si>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</si>
  <si>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</si>
  <si>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</si>
  <si>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</si>
  <si>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</si>
  <si>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</si>
  <si>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</si>
  <si>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</si>
  <si>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</si>
  <si>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</si>
  <si>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</si>
  <si>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</si>
  <si>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</si>
  <si>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</si>
  <si>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</si>
  <si>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</si>
  <si>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</si>
  <si>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</si>
  <si>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</si>
  <si>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</si>
  <si>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</si>
  <si>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</si>
  <si>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</si>
  <si>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</si>
  <si>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</si>
  <si>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</si>
  <si>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</si>
  <si>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</si>
  <si>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</si>
  <si>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</si>
  <si>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</si>
  <si>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</si>
  <si>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</si>
  <si>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</si>
  <si>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</si>
  <si>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</si>
  <si>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</si>
  <si>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</si>
  <si>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</si>
  <si>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</si>
  <si>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</si>
  <si>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</si>
  <si>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</si>
  <si>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</si>
  <si>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</si>
  <si>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</si>
  <si>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</si>
  <si>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</si>
  <si>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</si>
  <si>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</si>
  <si>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</si>
  <si>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</si>
  <si>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</si>
  <si>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</si>
  <si>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</si>
  <si>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</si>
  <si>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</si>
  <si>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</si>
  <si>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</si>
  <si>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</si>
  <si>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</si>
  <si>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</si>
  <si>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</si>
  <si>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</si>
  <si>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</si>
  <si>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</si>
  <si>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</si>
  <si>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</si>
  <si>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</si>
  <si>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</si>
  <si>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</si>
  <si>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</si>
  <si>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</si>
  <si>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</si>
  <si>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</si>
  <si>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</si>
  <si>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</si>
  <si>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</si>
  <si>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</si>
  <si>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</si>
  <si>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</si>
  <si>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</si>
  <si>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</si>
  <si>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</si>
  <si>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</si>
  <si>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</si>
  <si>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</si>
  <si>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</si>
  <si>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</si>
  <si>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</si>
  <si>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</si>
  <si>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</si>
  <si>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</si>
  <si>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</si>
  <si>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</si>
  <si>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</si>
  <si>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</si>
  <si>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</si>
  <si>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</si>
  <si>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</si>
  <si>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</si>
  <si>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</si>
  <si>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</si>
  <si>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</si>
  <si>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</si>
  <si>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</si>
  <si>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</si>
  <si>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</si>
  <si>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</si>
  <si>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</si>
  <si>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</si>
  <si>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</si>
  <si>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</si>
  <si>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</si>
  <si>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</si>
  <si>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</si>
  <si>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</si>
  <si>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</si>
  <si>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</si>
  <si>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</si>
  <si>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</si>
  <si>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</si>
  <si>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</si>
  <si>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</si>
  <si>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</si>
  <si>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</si>
  <si>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</si>
  <si>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</si>
  <si>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</si>
  <si>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</si>
  <si>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</si>
  <si>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</si>
  <si>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</si>
  <si>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</si>
  <si>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</si>
  <si>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</si>
  <si>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</si>
  <si>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</si>
  <si>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</si>
  <si>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</si>
  <si>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</si>
  <si>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</si>
  <si>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</si>
  <si>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</si>
  <si>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</si>
  <si>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</si>
  <si>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</si>
  <si>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</si>
  <si>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</si>
  <si>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</si>
  <si>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</si>
  <si>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</si>
  <si>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</si>
  <si>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</si>
  <si>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</si>
  <si>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</si>
  <si>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</si>
  <si>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</si>
  <si>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</si>
  <si>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</si>
  <si>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</si>
  <si>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</si>
  <si>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</si>
  <si>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</si>
  <si>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</si>
  <si>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</si>
  <si>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</si>
  <si>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</si>
  <si>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</si>
  <si>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</si>
  <si>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</si>
  <si>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</si>
  <si>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</si>
  <si>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</si>
  <si>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</si>
  <si>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</si>
  <si>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</si>
  <si>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</si>
  <si>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</si>
  <si>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</si>
  <si>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</si>
  <si>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</si>
  <si>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</si>
  <si>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</si>
  <si>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</si>
  <si>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</si>
  <si>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</si>
  <si>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</si>
  <si>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</si>
  <si>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</si>
  <si>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</si>
  <si>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</si>
  <si>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</si>
  <si>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</si>
  <si>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</si>
  <si>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</si>
  <si>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</si>
  <si>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</si>
  <si>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</si>
  <si>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</si>
  <si>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</si>
  <si>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</si>
  <si>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</si>
  <si>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</si>
  <si>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</si>
  <si>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</si>
  <si>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</si>
  <si>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</si>
  <si>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</si>
  <si>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</si>
  <si>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</si>
  <si>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</si>
  <si>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</si>
  <si>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</si>
  <si>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</si>
  <si>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</si>
  <si>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</si>
  <si>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</si>
  <si>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</si>
  <si>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</si>
  <si>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</si>
  <si>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</si>
  <si>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</si>
  <si>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</si>
  <si>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</si>
  <si>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</si>
  <si>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</si>
  <si>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</si>
  <si>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</si>
  <si>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</si>
  <si>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</si>
  <si>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</si>
  <si>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Aggregation of 9-Qualifications to 6-Qualification groups</t>
  </si>
  <si>
    <t>Female</t>
  </si>
  <si>
    <t>Male</t>
  </si>
  <si>
    <t>Total employment</t>
  </si>
  <si>
    <t>Male employment</t>
  </si>
  <si>
    <t>Female employment</t>
  </si>
  <si>
    <t>Industry 22 Total</t>
  </si>
  <si>
    <t>Industry 21 Total</t>
  </si>
  <si>
    <t>Industry 20 Total</t>
  </si>
  <si>
    <t>Industry 17 Total</t>
  </si>
  <si>
    <t>Industry 16 Total</t>
  </si>
  <si>
    <t>Industry 14 Total</t>
  </si>
  <si>
    <t>Industry 13 Total</t>
  </si>
  <si>
    <t>Industry 12 Total</t>
  </si>
  <si>
    <t>Industry 11 Total</t>
  </si>
  <si>
    <t>Industry 10 Total</t>
  </si>
  <si>
    <t>Industry 9 Total</t>
  </si>
  <si>
    <t>Industry 8 Total</t>
  </si>
  <si>
    <t>Industry 7 Total</t>
  </si>
  <si>
    <t>Industry 5 Total</t>
  </si>
  <si>
    <t>Industry 4 Total</t>
  </si>
  <si>
    <t>Industry 3 Total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</si>
  <si>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</si>
  <si>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</si>
  <si>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</si>
  <si>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</si>
  <si>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</si>
  <si>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</si>
  <si>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</si>
  <si>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</si>
  <si>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</si>
  <si>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</si>
  <si>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</si>
  <si>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</si>
  <si>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</si>
  <si>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Ind T3</t>
  </si>
  <si>
    <t>Occ T3</t>
  </si>
  <si>
    <t>Employment by Industry (75 industries)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</si>
  <si>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</si>
  <si>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</si>
  <si>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</si>
  <si>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</si>
  <si>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</si>
  <si>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</si>
  <si>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Employment Status by Industry and Gender (75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</si>
  <si>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</si>
  <si>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</si>
  <si>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</si>
  <si>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</si>
  <si>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</si>
  <si>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</si>
  <si>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Occupation Composition by Gender (9 occupations by 75 industries)</t>
  </si>
  <si>
    <t>Occupation Composition by Employment Status (9 occupations by 75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</si>
  <si>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</si>
  <si>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</si>
  <si>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</si>
  <si>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</si>
  <si>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</si>
  <si>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</si>
  <si>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</si>
  <si>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</si>
  <si>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</si>
  <si>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</si>
  <si>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</si>
  <si>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</si>
  <si>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</si>
  <si>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</si>
  <si>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</si>
  <si>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</si>
  <si>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</si>
  <si>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</si>
  <si>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</si>
  <si>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</si>
  <si>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</si>
  <si>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</si>
  <si>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</si>
  <si>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</si>
  <si>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</si>
  <si>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</si>
  <si>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</si>
  <si>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</si>
  <si>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</si>
  <si>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</si>
  <si>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</si>
  <si>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</si>
  <si>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</si>
  <si>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</si>
  <si>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</si>
  <si>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</si>
  <si>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</si>
  <si>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</si>
  <si>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axis bounds</t>
  </si>
  <si>
    <t>major unit</t>
  </si>
  <si>
    <t>max</t>
  </si>
  <si>
    <t>min</t>
  </si>
  <si>
    <t>Scenario</t>
  </si>
  <si>
    <t>.Main</t>
  </si>
  <si>
    <t>MDM version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</si>
  <si>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</si>
  <si>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</si>
  <si>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RQF7 Other higher degree</t>
  </si>
  <si>
    <t>RQF6 First degree</t>
  </si>
  <si>
    <t>RQF5 Foundation degree;Nursing;Teaching</t>
  </si>
  <si>
    <t>RQF4 HE below degree level</t>
  </si>
  <si>
    <t>RQF3 A level &amp; equivalent</t>
  </si>
  <si>
    <t>RQF2 GCSE(A-C) &amp; equivalent</t>
  </si>
  <si>
    <t>RQF1 GCSE(below grade C) &amp; equivalent</t>
  </si>
  <si>
    <t>RQF 7-8</t>
  </si>
  <si>
    <t>RQF 4-6</t>
  </si>
  <si>
    <t>6-Qualification groups (RQF)</t>
  </si>
  <si>
    <t>6-Qualifications (RQF)</t>
  </si>
  <si>
    <t>Non-marketed services</t>
  </si>
  <si>
    <t>Shares (%)</t>
  </si>
  <si>
    <t>Shares of all occupations (%)</t>
  </si>
  <si>
    <t>Shares of all qualifications (%)</t>
  </si>
  <si>
    <t>Qualification levels (000s)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</si>
  <si>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</si>
  <si>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</si>
  <si>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</si>
  <si>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</si>
  <si>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</si>
  <si>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</si>
  <si>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</si>
  <si>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26-Occupation</t>
  </si>
  <si>
    <t>11 Corporate managers and directors</t>
  </si>
  <si>
    <t>12 Other managers and proprietors</t>
  </si>
  <si>
    <t>21 Science, research, engineering and technology professionals</t>
  </si>
  <si>
    <t>Associate professional occupations</t>
  </si>
  <si>
    <t>22 Health professionals</t>
  </si>
  <si>
    <t>Administrative and secretarial occupations</t>
  </si>
  <si>
    <t>23 Teaching and other educational professionals</t>
  </si>
  <si>
    <t>24 Business, media and public service professionals</t>
  </si>
  <si>
    <t>Caring, leisure and other service occupations</t>
  </si>
  <si>
    <t>31 Science, engineering and technology associate professionals</t>
  </si>
  <si>
    <t>Sales and customer service occupations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</si>
  <si>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</si>
  <si>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</si>
  <si>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</si>
  <si>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</si>
  <si>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</si>
  <si>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</si>
  <si>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</si>
  <si>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</si>
  <si>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</si>
  <si>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</si>
  <si>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</si>
  <si>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</si>
  <si>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</si>
  <si>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</si>
  <si>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</si>
  <si>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</si>
  <si>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</si>
  <si>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</si>
  <si>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</si>
  <si>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Aggregation of 26-Sub major occupation groups to 9-Major occupation groups</t>
  </si>
  <si>
    <t>9-Occupation (SOC2020)</t>
  </si>
  <si>
    <t>SOC2020 Sub-Major Groups</t>
  </si>
  <si>
    <t>Aggregation 26 occupations to 9 Major group names: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</si>
  <si>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</si>
  <si>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</si>
  <si>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</si>
  <si>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</si>
  <si>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</si>
  <si>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</si>
  <si>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</si>
  <si>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</si>
  <si>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</si>
  <si>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</si>
  <si>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Nuffield - Rev 13547</t>
  </si>
  <si>
    <t>Date database created</t>
  </si>
  <si>
    <t>26-Occupation (SOC2020)</t>
  </si>
  <si>
    <t>Region/Nation</t>
  </si>
  <si>
    <t>Region/Nation name</t>
  </si>
  <si>
    <t>Copyright:  Warwick Institute for Employment Research / Cambridge Econometrics, 2023</t>
  </si>
  <si>
    <t>M:\IE\Projects\Nuffield via NFER AI and automation\Data\Results\Workbooks\GB\v2 Main\GB_Database.Main.xlsx</t>
  </si>
  <si>
    <t>M:\IE\Projects\Nuffield via NFER AI and automation\Data\Results\Workbooks\UK\v2 Main\UK_Database.Main.xlsx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</si>
  <si>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</si>
  <si>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</si>
  <si>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</si>
  <si>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</si>
  <si>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</si>
  <si>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</si>
  <si>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75 Industries</t>
  </si>
  <si>
    <t>6 + 22 Industries</t>
  </si>
  <si>
    <t>9 Occupations by 75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</si>
  <si>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</si>
  <si>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</si>
  <si>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</si>
  <si>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</si>
  <si>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</si>
  <si>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</si>
  <si>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</si>
  <si>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automation/Data/Results/Workbooks/LO/LO_Database.Main.xlsx</t>
  </si>
  <si>
    <t>1. London</t>
  </si>
  <si>
    <t>London</t>
  </si>
  <si>
    <t>02 10 2023 04:56:31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</si>
</sst>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89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0" fontId="5" fillId="0" borderId="1" xfId="0" applyFont="1" applyBorder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0" fontId="3" fillId="0" borderId="7" xfId="0" applyFont="1" applyBorder="1"/>
    <xf numFmtId="0" fontId="3" fillId="0" borderId="2" xfId="0" applyFont="1" applyBorder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0" applyNumberFormat="1" applyFont="1" applyAlignment="1">
      <alignment wrapText="1"/>
    </xf>
    <xf numFmtId="0" fontId="10" fillId="0" borderId="10" xfId="0" applyFont="1" applyBorder="1"/>
    <xf numFmtId="1" fontId="3" fillId="0" borderId="0" xfId="0" applyNumberFormat="1" applyFont="1" applyAlignment="1">
      <alignment horizontal="right" wrapText="1"/>
    </xf>
    <xf numFmtId="167" fontId="3" fillId="0" borderId="10" xfId="10" applyNumberFormat="1" applyFont="1" applyBorder="1" applyAlignment="1">
      <alignment wrapText="1"/>
    </xf>
    <xf numFmtId="1" fontId="3" fillId="0" borderId="0" xfId="0" applyNumberFormat="1" applyFont="1" applyAlignment="1">
      <alignment horizontal="right"/>
    </xf>
    <xf numFmtId="0" fontId="27" fillId="0" borderId="0" xfId="7" applyFont="1" applyAlignment="1">
      <alignment horizontal="center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168" fontId="0" fillId="0" borderId="10" xfId="1" applyNumberFormat="1" applyFont="1" applyBorder="1" applyAlignment="1"/>
    <xf numFmtId="168" fontId="3" fillId="0" borderId="10" xfId="1" applyNumberFormat="1" applyFont="1" applyBorder="1" applyAlignment="1">
      <alignment wrapText="1"/>
    </xf>
    <xf numFmtId="4" fontId="5" fillId="0" borderId="0" xfId="0" applyNumberFormat="1" applyFont="1"/>
    <xf numFmtId="0" fontId="1" fillId="0" borderId="0" xfId="7" applyFont="1" applyAlignment="1">
      <alignment horizontal="center" vertical="center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7" fillId="0" borderId="0" xfId="7" applyFont="1" applyAlignment="1">
      <alignment horizont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1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0" xfId="4" applyFont="1" applyAlignment="1">
      <alignment horizontal="center"/>
    </xf>
    <xf numFmtId="0" fontId="5" fillId="0" borderId="11" xfId="4" applyFont="1" applyBorder="1" applyAlignment="1">
      <alignment horizontal="center"/>
    </xf>
    <xf numFmtId="0" fontId="14" fillId="0" borderId="0" xfId="0" applyFont="1" applyAlignment="1">
      <alignment horizontal="left" vertical="top" wrapText="1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D000000}"/>
    <cellStyle name="Normal_WarningSheet" xfId="13" xr:uid="{00000000-0005-0000-0000-00000E000000}"/>
    <cellStyle name="Percent" xfId="11" builtinId="5"/>
    <cellStyle name="Percent 2" xfId="10" xr:uid="{00000000-0005-0000-0000-000010000000}"/>
  </cellStyles>
  <dxfs count="15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1.2727282491479919</c:v>
                </c:pt>
                <c:pt idx="2">
                  <c:v>1.5992766587172635</c:v>
                </c:pt>
                <c:pt idx="3">
                  <c:v>0.2063877596956365</c:v>
                </c:pt>
                <c:pt idx="4">
                  <c:v>3.1985557702367551</c:v>
                </c:pt>
                <c:pt idx="5">
                  <c:v>1.4163242472674309</c:v>
                </c:pt>
                <c:pt idx="7">
                  <c:v>1.1060202008799536</c:v>
                </c:pt>
                <c:pt idx="8">
                  <c:v>0.68688316048137743</c:v>
                </c:pt>
                <c:pt idx="9">
                  <c:v>0.44364838701653753</c:v>
                </c:pt>
                <c:pt idx="10">
                  <c:v>0.51683541238407571</c:v>
                </c:pt>
                <c:pt idx="11">
                  <c:v>3.3436557441688164</c:v>
                </c:pt>
                <c:pt idx="12">
                  <c:v>1.6460883793693037</c:v>
                </c:pt>
                <c:pt idx="13">
                  <c:v>4.8932070991159815</c:v>
                </c:pt>
                <c:pt idx="14">
                  <c:v>0.90429420728816989</c:v>
                </c:pt>
                <c:pt idx="15">
                  <c:v>1.3563588585384423</c:v>
                </c:pt>
                <c:pt idx="17">
                  <c:v>2.937456598337973</c:v>
                </c:pt>
                <c:pt idx="18">
                  <c:v>2.203071128018208</c:v>
                </c:pt>
                <c:pt idx="19">
                  <c:v>-0.83227360318059995</c:v>
                </c:pt>
                <c:pt idx="20">
                  <c:v>0.9410877943524687</c:v>
                </c:pt>
                <c:pt idx="22">
                  <c:v>0.57172619733880659</c:v>
                </c:pt>
                <c:pt idx="24">
                  <c:v>0.51612219187953112</c:v>
                </c:pt>
                <c:pt idx="25">
                  <c:v>7.073002553035912</c:v>
                </c:pt>
                <c:pt idx="26">
                  <c:v>9.3891146319594387</c:v>
                </c:pt>
                <c:pt idx="27">
                  <c:v>3.3696737105162633</c:v>
                </c:pt>
                <c:pt idx="29">
                  <c:v>1.0797558040424038</c:v>
                </c:pt>
                <c:pt idx="30">
                  <c:v>3.8333587275375836</c:v>
                </c:pt>
                <c:pt idx="31">
                  <c:v>-8.7050994087933269</c:v>
                </c:pt>
                <c:pt idx="32">
                  <c:v>-9.4052772227722681</c:v>
                </c:pt>
                <c:pt idx="33">
                  <c:v>0.48385972480005091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0.58547928810912531</c:v>
                </c:pt>
                <c:pt idx="2">
                  <c:v>0.36507612778460263</c:v>
                </c:pt>
                <c:pt idx="3">
                  <c:v>-4.1713644230245706E-2</c:v>
                </c:pt>
                <c:pt idx="4">
                  <c:v>8.0935652064972885E-2</c:v>
                </c:pt>
                <c:pt idx="5">
                  <c:v>0.17293697280205134</c:v>
                </c:pt>
                <c:pt idx="7">
                  <c:v>1.1762310985454993</c:v>
                </c:pt>
                <c:pt idx="8">
                  <c:v>1.3197442190671982</c:v>
                </c:pt>
                <c:pt idx="9">
                  <c:v>0.65516814549995139</c:v>
                </c:pt>
                <c:pt idx="10">
                  <c:v>0.76292671150786084</c:v>
                </c:pt>
                <c:pt idx="11">
                  <c:v>1.7827854648544417E-3</c:v>
                </c:pt>
                <c:pt idx="12">
                  <c:v>0.17992959247232765</c:v>
                </c:pt>
                <c:pt idx="13">
                  <c:v>1.1200962191241892</c:v>
                </c:pt>
                <c:pt idx="14">
                  <c:v>0.46297201269123178</c:v>
                </c:pt>
                <c:pt idx="15">
                  <c:v>0.71053691243967432</c:v>
                </c:pt>
                <c:pt idx="17">
                  <c:v>1.4780568012429773</c:v>
                </c:pt>
                <c:pt idx="18">
                  <c:v>0.51442312599598861</c:v>
                </c:pt>
                <c:pt idx="19">
                  <c:v>-6.9921004002171383E-2</c:v>
                </c:pt>
                <c:pt idx="20">
                  <c:v>0.57395434455076444</c:v>
                </c:pt>
                <c:pt idx="22">
                  <c:v>1.6318143954479725</c:v>
                </c:pt>
                <c:pt idx="24">
                  <c:v>-1.5230107137572224</c:v>
                </c:pt>
                <c:pt idx="25">
                  <c:v>2.0094371947205758</c:v>
                </c:pt>
                <c:pt idx="26">
                  <c:v>-3.5344079878696366E-2</c:v>
                </c:pt>
                <c:pt idx="27">
                  <c:v>-0.64584506543633458</c:v>
                </c:pt>
                <c:pt idx="29">
                  <c:v>1.4993105296175147</c:v>
                </c:pt>
                <c:pt idx="30">
                  <c:v>1.393900587611796E-2</c:v>
                </c:pt>
                <c:pt idx="31">
                  <c:v>-3.2605268559289469</c:v>
                </c:pt>
                <c:pt idx="32">
                  <c:v>0.41296657343674603</c:v>
                </c:pt>
                <c:pt idx="33">
                  <c:v>0.62372037197229169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5.8999999999400657E-2</c:v>
                </c:pt>
                <c:pt idx="1">
                  <c:v>0.81599999998585693</c:v>
                </c:pt>
                <c:pt idx="2">
                  <c:v>1.8829999999936111</c:v>
                </c:pt>
                <c:pt idx="3">
                  <c:v>0.14699999999906618</c:v>
                </c:pt>
                <c:pt idx="4">
                  <c:v>2.6430000000189966</c:v>
                </c:pt>
                <c:pt idx="5">
                  <c:v>1.6959999999793451</c:v>
                </c:pt>
                <c:pt idx="6">
                  <c:v>0.11799999999861827</c:v>
                </c:pt>
                <c:pt idx="7">
                  <c:v>3.5930000001151101</c:v>
                </c:pt>
                <c:pt idx="8">
                  <c:v>2.3770000000122269</c:v>
                </c:pt>
                <c:pt idx="9">
                  <c:v>4.5530000000011261</c:v>
                </c:pt>
                <c:pt idx="10">
                  <c:v>1.0350000000023996</c:v>
                </c:pt>
                <c:pt idx="11">
                  <c:v>1.0429999999957791</c:v>
                </c:pt>
                <c:pt idx="12">
                  <c:v>1.0500000000118552</c:v>
                </c:pt>
                <c:pt idx="13">
                  <c:v>1.0620000000072327</c:v>
                </c:pt>
                <c:pt idx="14">
                  <c:v>1.0690000000096658</c:v>
                </c:pt>
                <c:pt idx="15">
                  <c:v>1.0710000000172895</c:v>
                </c:pt>
                <c:pt idx="16">
                  <c:v>1.0740000000142842</c:v>
                </c:pt>
                <c:pt idx="17">
                  <c:v>1.0770000000167115</c:v>
                </c:pt>
                <c:pt idx="18">
                  <c:v>1.0780000000122192</c:v>
                </c:pt>
                <c:pt idx="19">
                  <c:v>1.0810000000165687</c:v>
                </c:pt>
                <c:pt idx="20">
                  <c:v>1.0850000000154434</c:v>
                </c:pt>
                <c:pt idx="21">
                  <c:v>1.0880000000140233</c:v>
                </c:pt>
                <c:pt idx="22">
                  <c:v>1.0910000000179572</c:v>
                </c:pt>
                <c:pt idx="23">
                  <c:v>1.0950000000157105</c:v>
                </c:pt>
                <c:pt idx="24" formatCode="#,##0.00">
                  <c:v>1.0980000000173047</c:v>
                </c:pt>
                <c:pt idx="25">
                  <c:v>1.1010000000043316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2.7779999999917151</c:v>
                </c:pt>
                <c:pt idx="1">
                  <c:v>3.1730000000322209</c:v>
                </c:pt>
                <c:pt idx="2">
                  <c:v>4.8649999999783855</c:v>
                </c:pt>
                <c:pt idx="3">
                  <c:v>4.3669999999648637</c:v>
                </c:pt>
                <c:pt idx="4">
                  <c:v>4.1919999999915643</c:v>
                </c:pt>
                <c:pt idx="5">
                  <c:v>4.2619999999754201</c:v>
                </c:pt>
                <c:pt idx="6">
                  <c:v>3.5209999999604884</c:v>
                </c:pt>
                <c:pt idx="7">
                  <c:v>2.6280000000104176</c:v>
                </c:pt>
                <c:pt idx="8">
                  <c:v>3.6149999999964781</c:v>
                </c:pt>
                <c:pt idx="9">
                  <c:v>2.242999999978549</c:v>
                </c:pt>
                <c:pt idx="10">
                  <c:v>2.7030000000111776</c:v>
                </c:pt>
                <c:pt idx="11">
                  <c:v>2.5710000000052613</c:v>
                </c:pt>
                <c:pt idx="12">
                  <c:v>2.5200000000292841</c:v>
                </c:pt>
                <c:pt idx="13">
                  <c:v>2.4050000000176421</c:v>
                </c:pt>
                <c:pt idx="14">
                  <c:v>2.2880000000272753</c:v>
                </c:pt>
                <c:pt idx="15">
                  <c:v>2.1960000000236986</c:v>
                </c:pt>
                <c:pt idx="16">
                  <c:v>2.1240000000167041</c:v>
                </c:pt>
                <c:pt idx="17">
                  <c:v>2.0520000000255516</c:v>
                </c:pt>
                <c:pt idx="18">
                  <c:v>1.9890000000158736</c:v>
                </c:pt>
                <c:pt idx="19">
                  <c:v>1.9290000000218939</c:v>
                </c:pt>
                <c:pt idx="20">
                  <c:v>1.8790000000160123</c:v>
                </c:pt>
                <c:pt idx="21">
                  <c:v>1.8220000000179661</c:v>
                </c:pt>
                <c:pt idx="22">
                  <c:v>1.7730000000241837</c:v>
                </c:pt>
                <c:pt idx="23">
                  <c:v>1.7260000000158662</c:v>
                </c:pt>
                <c:pt idx="24" formatCode="#,##0.00">
                  <c:v>1.6830000000185315</c:v>
                </c:pt>
                <c:pt idx="25">
                  <c:v>1.6440000000162167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5.5299999999895135</c:v>
                </c:pt>
                <c:pt idx="1">
                  <c:v>7.2690000000086403</c:v>
                </c:pt>
                <c:pt idx="2">
                  <c:v>6.3219999999740795</c:v>
                </c:pt>
                <c:pt idx="3">
                  <c:v>7.1819999999751589</c:v>
                </c:pt>
                <c:pt idx="4">
                  <c:v>8.5710000000281656</c:v>
                </c:pt>
                <c:pt idx="5">
                  <c:v>10.292999999952817</c:v>
                </c:pt>
                <c:pt idx="6">
                  <c:v>10.472999999968547</c:v>
                </c:pt>
                <c:pt idx="7">
                  <c:v>9.9940000000614528</c:v>
                </c:pt>
                <c:pt idx="8">
                  <c:v>17.849000000001983</c:v>
                </c:pt>
                <c:pt idx="9">
                  <c:v>15.214999999958104</c:v>
                </c:pt>
                <c:pt idx="10">
                  <c:v>12.42299999999452</c:v>
                </c:pt>
                <c:pt idx="11">
                  <c:v>12.411000000040321</c:v>
                </c:pt>
                <c:pt idx="12">
                  <c:v>12.239000000052714</c:v>
                </c:pt>
                <c:pt idx="13">
                  <c:v>12.203000000035299</c:v>
                </c:pt>
                <c:pt idx="14">
                  <c:v>12.214000000075844</c:v>
                </c:pt>
                <c:pt idx="15">
                  <c:v>12.218000000079176</c:v>
                </c:pt>
                <c:pt idx="16">
                  <c:v>12.220000000033894</c:v>
                </c:pt>
                <c:pt idx="17">
                  <c:v>12.230000000099876</c:v>
                </c:pt>
                <c:pt idx="18">
                  <c:v>12.239000000063459</c:v>
                </c:pt>
                <c:pt idx="19">
                  <c:v>12.257000000062122</c:v>
                </c:pt>
                <c:pt idx="20">
                  <c:v>12.28300000009216</c:v>
                </c:pt>
                <c:pt idx="21">
                  <c:v>12.312000000078166</c:v>
                </c:pt>
                <c:pt idx="22">
                  <c:v>12.343000000100343</c:v>
                </c:pt>
                <c:pt idx="23">
                  <c:v>12.377000000067781</c:v>
                </c:pt>
                <c:pt idx="24" formatCode="#,##0.00">
                  <c:v>12.412000000111663</c:v>
                </c:pt>
                <c:pt idx="25">
                  <c:v>12.449000000055946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18.377000000203072</c:v>
                </c:pt>
                <c:pt idx="1">
                  <c:v>19.567999999619193</c:v>
                </c:pt>
                <c:pt idx="2">
                  <c:v>18.305000000109253</c:v>
                </c:pt>
                <c:pt idx="3">
                  <c:v>15.747000000123418</c:v>
                </c:pt>
                <c:pt idx="4">
                  <c:v>20.152999999693563</c:v>
                </c:pt>
                <c:pt idx="5">
                  <c:v>15.843000000190715</c:v>
                </c:pt>
                <c:pt idx="6">
                  <c:v>14.615000000124285</c:v>
                </c:pt>
                <c:pt idx="7">
                  <c:v>16.87699999984633</c:v>
                </c:pt>
                <c:pt idx="8">
                  <c:v>14.990000000160164</c:v>
                </c:pt>
                <c:pt idx="9">
                  <c:v>16.931000000182586</c:v>
                </c:pt>
                <c:pt idx="10">
                  <c:v>16.71699999980563</c:v>
                </c:pt>
                <c:pt idx="11">
                  <c:v>16.459999999820088</c:v>
                </c:pt>
                <c:pt idx="12">
                  <c:v>16.433999999720829</c:v>
                </c:pt>
                <c:pt idx="13">
                  <c:v>16.81399999980691</c:v>
                </c:pt>
                <c:pt idx="14">
                  <c:v>17.666999999665101</c:v>
                </c:pt>
                <c:pt idx="15">
                  <c:v>18.196999999791018</c:v>
                </c:pt>
                <c:pt idx="16">
                  <c:v>18.599999999837646</c:v>
                </c:pt>
                <c:pt idx="17">
                  <c:v>18.93099999969467</c:v>
                </c:pt>
                <c:pt idx="18">
                  <c:v>19.210999999795625</c:v>
                </c:pt>
                <c:pt idx="19">
                  <c:v>19.47999999971217</c:v>
                </c:pt>
                <c:pt idx="20">
                  <c:v>19.729999999837364</c:v>
                </c:pt>
                <c:pt idx="21">
                  <c:v>19.968999999761024</c:v>
                </c:pt>
                <c:pt idx="22">
                  <c:v>20.195999999659858</c:v>
                </c:pt>
                <c:pt idx="23">
                  <c:v>20.435999999814889</c:v>
                </c:pt>
                <c:pt idx="24" formatCode="#,##0.00">
                  <c:v>20.649999999745042</c:v>
                </c:pt>
                <c:pt idx="25">
                  <c:v>20.897999999631903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708868519262555"/>
          <c:y val="0.9404955394969049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26.489000000414954</c:v>
                </c:pt>
                <c:pt idx="1">
                  <c:v>26.381999999116001</c:v>
                </c:pt>
                <c:pt idx="2">
                  <c:v>32.390000000138656</c:v>
                </c:pt>
                <c:pt idx="3">
                  <c:v>34.529000000381181</c:v>
                </c:pt>
                <c:pt idx="4">
                  <c:v>33.068999999459557</c:v>
                </c:pt>
                <c:pt idx="5">
                  <c:v>28.49100000053776</c:v>
                </c:pt>
                <c:pt idx="6">
                  <c:v>29.544000000296752</c:v>
                </c:pt>
                <c:pt idx="7">
                  <c:v>36.130999999703285</c:v>
                </c:pt>
                <c:pt idx="8">
                  <c:v>37.308000000593339</c:v>
                </c:pt>
                <c:pt idx="9">
                  <c:v>43.139000000567805</c:v>
                </c:pt>
                <c:pt idx="10">
                  <c:v>44.624999999315129</c:v>
                </c:pt>
                <c:pt idx="11">
                  <c:v>44.77199999956251</c:v>
                </c:pt>
                <c:pt idx="12">
                  <c:v>44.963999999251165</c:v>
                </c:pt>
                <c:pt idx="13">
                  <c:v>45.353999999533066</c:v>
                </c:pt>
                <c:pt idx="14">
                  <c:v>45.417999999244529</c:v>
                </c:pt>
                <c:pt idx="15">
                  <c:v>45.290999999783502</c:v>
                </c:pt>
                <c:pt idx="16">
                  <c:v>45.253999999773164</c:v>
                </c:pt>
                <c:pt idx="17">
                  <c:v>45.184999999675654</c:v>
                </c:pt>
                <c:pt idx="18">
                  <c:v>45.093999999863755</c:v>
                </c:pt>
                <c:pt idx="19">
                  <c:v>44.997999999700355</c:v>
                </c:pt>
                <c:pt idx="20">
                  <c:v>44.910000000112937</c:v>
                </c:pt>
                <c:pt idx="21">
                  <c:v>44.817999999880328</c:v>
                </c:pt>
                <c:pt idx="22">
                  <c:v>44.72299999972055</c:v>
                </c:pt>
                <c:pt idx="23">
                  <c:v>44.618000000060576</c:v>
                </c:pt>
                <c:pt idx="24" formatCode="#,##0.00">
                  <c:v>44.507999999940466</c:v>
                </c:pt>
                <c:pt idx="25">
                  <c:v>44.388999999243552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11.423000000007185</c:v>
                </c:pt>
                <c:pt idx="1">
                  <c:v>12.032999999987858</c:v>
                </c:pt>
                <c:pt idx="2">
                  <c:v>14.659999999975396</c:v>
                </c:pt>
                <c:pt idx="3">
                  <c:v>13.123000000006771</c:v>
                </c:pt>
                <c:pt idx="4">
                  <c:v>11.823999999977334</c:v>
                </c:pt>
                <c:pt idx="5">
                  <c:v>9.7510000000010404</c:v>
                </c:pt>
                <c:pt idx="6">
                  <c:v>12.44300000001166</c:v>
                </c:pt>
                <c:pt idx="7">
                  <c:v>9.3669999999970699</c:v>
                </c:pt>
                <c:pt idx="8">
                  <c:v>10.545000000029319</c:v>
                </c:pt>
                <c:pt idx="9">
                  <c:v>13.439000000010228</c:v>
                </c:pt>
                <c:pt idx="10">
                  <c:v>13.722999999966838</c:v>
                </c:pt>
                <c:pt idx="11">
                  <c:v>14.943999999960871</c:v>
                </c:pt>
                <c:pt idx="12">
                  <c:v>15.505999999963311</c:v>
                </c:pt>
                <c:pt idx="13">
                  <c:v>16.252999999974229</c:v>
                </c:pt>
                <c:pt idx="14">
                  <c:v>16.954999999948782</c:v>
                </c:pt>
                <c:pt idx="15">
                  <c:v>17.333000000023976</c:v>
                </c:pt>
                <c:pt idx="16">
                  <c:v>17.444000000036272</c:v>
                </c:pt>
                <c:pt idx="17">
                  <c:v>17.547999999993706</c:v>
                </c:pt>
                <c:pt idx="18">
                  <c:v>17.649000000006563</c:v>
                </c:pt>
                <c:pt idx="19">
                  <c:v>17.748000000005351</c:v>
                </c:pt>
                <c:pt idx="20">
                  <c:v>17.893000000031687</c:v>
                </c:pt>
                <c:pt idx="21">
                  <c:v>18.019000000009996</c:v>
                </c:pt>
                <c:pt idx="22">
                  <c:v>18.145000000012175</c:v>
                </c:pt>
                <c:pt idx="23">
                  <c:v>18.266000000034026</c:v>
                </c:pt>
                <c:pt idx="24" formatCode="#,##0.00">
                  <c:v>18.382000000047938</c:v>
                </c:pt>
                <c:pt idx="25">
                  <c:v>18.494999999974297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92.107000000386378</c:v>
                </c:pt>
                <c:pt idx="1">
                  <c:v>84.19399999917151</c:v>
                </c:pt>
                <c:pt idx="2">
                  <c:v>80.95399999988409</c:v>
                </c:pt>
                <c:pt idx="3">
                  <c:v>75.550000000056272</c:v>
                </c:pt>
                <c:pt idx="4">
                  <c:v>96.647999999293319</c:v>
                </c:pt>
                <c:pt idx="5">
                  <c:v>85.718000000498563</c:v>
                </c:pt>
                <c:pt idx="6">
                  <c:v>94.476000000307039</c:v>
                </c:pt>
                <c:pt idx="7">
                  <c:v>77.405999999753988</c:v>
                </c:pt>
                <c:pt idx="8">
                  <c:v>90.38100000051665</c:v>
                </c:pt>
                <c:pt idx="9">
                  <c:v>78.65300000028445</c:v>
                </c:pt>
                <c:pt idx="10">
                  <c:v>87.952999999439029</c:v>
                </c:pt>
                <c:pt idx="11">
                  <c:v>86.976999999370307</c:v>
                </c:pt>
                <c:pt idx="12">
                  <c:v>85.256999999553287</c:v>
                </c:pt>
                <c:pt idx="13">
                  <c:v>83.263999999774015</c:v>
                </c:pt>
                <c:pt idx="14">
                  <c:v>81.93199999954291</c:v>
                </c:pt>
                <c:pt idx="15">
                  <c:v>80.534000000092234</c:v>
                </c:pt>
                <c:pt idx="16">
                  <c:v>79.287000000192918</c:v>
                </c:pt>
                <c:pt idx="17">
                  <c:v>78.059000000082037</c:v>
                </c:pt>
                <c:pt idx="18">
                  <c:v>76.895000000221543</c:v>
                </c:pt>
                <c:pt idx="19">
                  <c:v>75.786000000195372</c:v>
                </c:pt>
                <c:pt idx="20">
                  <c:v>74.742000000342983</c:v>
                </c:pt>
                <c:pt idx="21">
                  <c:v>73.683000000199556</c:v>
                </c:pt>
                <c:pt idx="22">
                  <c:v>72.668000000191483</c:v>
                </c:pt>
                <c:pt idx="23">
                  <c:v>71.690000000381815</c:v>
                </c:pt>
                <c:pt idx="24" formatCode="#,##0.00">
                  <c:v>70.75500000019484</c:v>
                </c:pt>
                <c:pt idx="25">
                  <c:v>69.866999999763976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230.90600000461157</c:v>
                </c:pt>
                <c:pt idx="1">
                  <c:v>241.44399999010039</c:v>
                </c:pt>
                <c:pt idx="2">
                  <c:v>272.10100000103665</c:v>
                </c:pt>
                <c:pt idx="3">
                  <c:v>286.80800000151578</c:v>
                </c:pt>
                <c:pt idx="4">
                  <c:v>281.77899998889677</c:v>
                </c:pt>
                <c:pt idx="5">
                  <c:v>289.43400000057773</c:v>
                </c:pt>
                <c:pt idx="6">
                  <c:v>318.72599999947334</c:v>
                </c:pt>
                <c:pt idx="7">
                  <c:v>345.41599999327138</c:v>
                </c:pt>
                <c:pt idx="8">
                  <c:v>316.57500000583707</c:v>
                </c:pt>
                <c:pt idx="9">
                  <c:v>319.71500000728588</c:v>
                </c:pt>
                <c:pt idx="10">
                  <c:v>297.80299999075265</c:v>
                </c:pt>
                <c:pt idx="11">
                  <c:v>297.19799999008131</c:v>
                </c:pt>
                <c:pt idx="12">
                  <c:v>303.41999998328345</c:v>
                </c:pt>
                <c:pt idx="13">
                  <c:v>315.77099998516843</c:v>
                </c:pt>
                <c:pt idx="14">
                  <c:v>325.57799998036018</c:v>
                </c:pt>
                <c:pt idx="15">
                  <c:v>330.64299998375026</c:v>
                </c:pt>
                <c:pt idx="16">
                  <c:v>335.41799998494446</c:v>
                </c:pt>
                <c:pt idx="17">
                  <c:v>339.54699998153865</c:v>
                </c:pt>
                <c:pt idx="18">
                  <c:v>344.08799998210429</c:v>
                </c:pt>
                <c:pt idx="19">
                  <c:v>348.51599998203636</c:v>
                </c:pt>
                <c:pt idx="20">
                  <c:v>353.39699998370253</c:v>
                </c:pt>
                <c:pt idx="21">
                  <c:v>358.40499998405033</c:v>
                </c:pt>
                <c:pt idx="22">
                  <c:v>363.54899997982778</c:v>
                </c:pt>
                <c:pt idx="23">
                  <c:v>368.8149999847958</c:v>
                </c:pt>
                <c:pt idx="24" formatCode="#,##0.00">
                  <c:v>374.17999998145456</c:v>
                </c:pt>
                <c:pt idx="25">
                  <c:v>379.64199998098906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575.33200000775616</c:v>
                </c:pt>
                <c:pt idx="1">
                  <c:v>572.13499997678764</c:v>
                </c:pt>
                <c:pt idx="2">
                  <c:v>635.21700000123678</c:v>
                </c:pt>
                <c:pt idx="3">
                  <c:v>601.66300000803687</c:v>
                </c:pt>
                <c:pt idx="4">
                  <c:v>631.93800000384942</c:v>
                </c:pt>
                <c:pt idx="5">
                  <c:v>665.94600001948652</c:v>
                </c:pt>
                <c:pt idx="6">
                  <c:v>628.40100001470648</c:v>
                </c:pt>
                <c:pt idx="7">
                  <c:v>657.48400000540414</c:v>
                </c:pt>
                <c:pt idx="8">
                  <c:v>667.76300001450181</c:v>
                </c:pt>
                <c:pt idx="9">
                  <c:v>638.43700001312141</c:v>
                </c:pt>
                <c:pt idx="10">
                  <c:v>638.69099999360083</c:v>
                </c:pt>
                <c:pt idx="11">
                  <c:v>632.96999999624688</c:v>
                </c:pt>
                <c:pt idx="12">
                  <c:v>629.8839999934861</c:v>
                </c:pt>
                <c:pt idx="13">
                  <c:v>630.80699999853709</c:v>
                </c:pt>
                <c:pt idx="14">
                  <c:v>631.37999999649276</c:v>
                </c:pt>
                <c:pt idx="15">
                  <c:v>631.94400000136363</c:v>
                </c:pt>
                <c:pt idx="16">
                  <c:v>631.96199999715759</c:v>
                </c:pt>
                <c:pt idx="17">
                  <c:v>631.74500000002718</c:v>
                </c:pt>
                <c:pt idx="18">
                  <c:v>631.49000000064268</c:v>
                </c:pt>
                <c:pt idx="19">
                  <c:v>631.20299999873009</c:v>
                </c:pt>
                <c:pt idx="20">
                  <c:v>631.0210000047631</c:v>
                </c:pt>
                <c:pt idx="21">
                  <c:v>630.96000000339768</c:v>
                </c:pt>
                <c:pt idx="22">
                  <c:v>630.95300000158443</c:v>
                </c:pt>
                <c:pt idx="23">
                  <c:v>631.26300000359095</c:v>
                </c:pt>
                <c:pt idx="24" formatCode="#,##0.00">
                  <c:v>631.60600000727788</c:v>
                </c:pt>
                <c:pt idx="25">
                  <c:v>632.02499999279519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250.13000000285584</c:v>
                </c:pt>
                <c:pt idx="1">
                  <c:v>262.70099998888929</c:v>
                </c:pt>
                <c:pt idx="2">
                  <c:v>264.9629999993312</c:v>
                </c:pt>
                <c:pt idx="3">
                  <c:v>264.02500000282396</c:v>
                </c:pt>
                <c:pt idx="4">
                  <c:v>274.42599999314461</c:v>
                </c:pt>
                <c:pt idx="5">
                  <c:v>286.79100000660156</c:v>
                </c:pt>
                <c:pt idx="6">
                  <c:v>288.09600000557873</c:v>
                </c:pt>
                <c:pt idx="7">
                  <c:v>315.93699999233098</c:v>
                </c:pt>
                <c:pt idx="8">
                  <c:v>277.60300000211072</c:v>
                </c:pt>
                <c:pt idx="9">
                  <c:v>321.04600000112316</c:v>
                </c:pt>
                <c:pt idx="10">
                  <c:v>319.80499999526324</c:v>
                </c:pt>
                <c:pt idx="11">
                  <c:v>335.45099999822423</c:v>
                </c:pt>
                <c:pt idx="12">
                  <c:v>340.72099999544668</c:v>
                </c:pt>
                <c:pt idx="13">
                  <c:v>342.67999999843039</c:v>
                </c:pt>
                <c:pt idx="14">
                  <c:v>344.09299999539292</c:v>
                </c:pt>
                <c:pt idx="15">
                  <c:v>344.99899999899509</c:v>
                </c:pt>
                <c:pt idx="16">
                  <c:v>345.10999999953924</c:v>
                </c:pt>
                <c:pt idx="17">
                  <c:v>345.16299999727488</c:v>
                </c:pt>
                <c:pt idx="18">
                  <c:v>345.19700000021027</c:v>
                </c:pt>
                <c:pt idx="19">
                  <c:v>345.26199999727686</c:v>
                </c:pt>
                <c:pt idx="20">
                  <c:v>345.39800000179957</c:v>
                </c:pt>
                <c:pt idx="21">
                  <c:v>345.45799999903909</c:v>
                </c:pt>
                <c:pt idx="22">
                  <c:v>345.48799999762775</c:v>
                </c:pt>
                <c:pt idx="23">
                  <c:v>345.47900000029119</c:v>
                </c:pt>
                <c:pt idx="24" formatCode="#,##0.00">
                  <c:v>345.43900000036314</c:v>
                </c:pt>
                <c:pt idx="25">
                  <c:v>345.39099999613535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323.39300000610251</c:v>
                </c:pt>
                <c:pt idx="1">
                  <c:v>317.18399998744837</c:v>
                </c:pt>
                <c:pt idx="2">
                  <c:v>343.04900000300847</c:v>
                </c:pt>
                <c:pt idx="3">
                  <c:v>357.93300000705506</c:v>
                </c:pt>
                <c:pt idx="4">
                  <c:v>380.56899999955857</c:v>
                </c:pt>
                <c:pt idx="5">
                  <c:v>370.31000000963365</c:v>
                </c:pt>
                <c:pt idx="6">
                  <c:v>407.45600000853477</c:v>
                </c:pt>
                <c:pt idx="7">
                  <c:v>400.81600000241309</c:v>
                </c:pt>
                <c:pt idx="8">
                  <c:v>443.45300000915199</c:v>
                </c:pt>
                <c:pt idx="9">
                  <c:v>458.7850000089548</c:v>
                </c:pt>
                <c:pt idx="10">
                  <c:v>427.98899999458945</c:v>
                </c:pt>
                <c:pt idx="11">
                  <c:v>409.83699999803946</c:v>
                </c:pt>
                <c:pt idx="12">
                  <c:v>416.76899999502211</c:v>
                </c:pt>
                <c:pt idx="13">
                  <c:v>430.97999999824799</c:v>
                </c:pt>
                <c:pt idx="14">
                  <c:v>444.65199999711734</c:v>
                </c:pt>
                <c:pt idx="15">
                  <c:v>455.0790000003509</c:v>
                </c:pt>
                <c:pt idx="16">
                  <c:v>464.22399999728015</c:v>
                </c:pt>
                <c:pt idx="17">
                  <c:v>472.6130000003331</c:v>
                </c:pt>
                <c:pt idx="18">
                  <c:v>480.65000000058939</c:v>
                </c:pt>
                <c:pt idx="19">
                  <c:v>488.44299999967285</c:v>
                </c:pt>
                <c:pt idx="20">
                  <c:v>496.20100000422428</c:v>
                </c:pt>
                <c:pt idx="21">
                  <c:v>503.84800000377021</c:v>
                </c:pt>
                <c:pt idx="22">
                  <c:v>511.41200000300068</c:v>
                </c:pt>
                <c:pt idx="23">
                  <c:v>518.82500000432856</c:v>
                </c:pt>
                <c:pt idx="24" formatCode="#,##0.00">
                  <c:v>526.12400000778166</c:v>
                </c:pt>
                <c:pt idx="25">
                  <c:v>533.3529999958871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146.83699999879553</c:v>
                </c:pt>
                <c:pt idx="1">
                  <c:v>165.96100000218232</c:v>
                </c:pt>
                <c:pt idx="2">
                  <c:v>165.24899999904645</c:v>
                </c:pt>
                <c:pt idx="3">
                  <c:v>167.7089999985734</c:v>
                </c:pt>
                <c:pt idx="4">
                  <c:v>184.9380000007063</c:v>
                </c:pt>
                <c:pt idx="5">
                  <c:v>169.83099999940578</c:v>
                </c:pt>
                <c:pt idx="6">
                  <c:v>170.02899999916005</c:v>
                </c:pt>
                <c:pt idx="7">
                  <c:v>193.09399999991973</c:v>
                </c:pt>
                <c:pt idx="8">
                  <c:v>192.36799999943426</c:v>
                </c:pt>
                <c:pt idx="9">
                  <c:v>167.90699999903583</c:v>
                </c:pt>
                <c:pt idx="10">
                  <c:v>177.65000000121492</c:v>
                </c:pt>
                <c:pt idx="11">
                  <c:v>180.82200000038236</c:v>
                </c:pt>
                <c:pt idx="12">
                  <c:v>182.59300000310785</c:v>
                </c:pt>
                <c:pt idx="13">
                  <c:v>184.35800000283132</c:v>
                </c:pt>
                <c:pt idx="14">
                  <c:v>185.9230000033011</c:v>
                </c:pt>
                <c:pt idx="15">
                  <c:v>186.16600000392299</c:v>
                </c:pt>
                <c:pt idx="16">
                  <c:v>186.5970000039444</c:v>
                </c:pt>
                <c:pt idx="17">
                  <c:v>186.99400000445635</c:v>
                </c:pt>
                <c:pt idx="18">
                  <c:v>187.39000000455238</c:v>
                </c:pt>
                <c:pt idx="19">
                  <c:v>187.76400000472805</c:v>
                </c:pt>
                <c:pt idx="20">
                  <c:v>188.15100000437786</c:v>
                </c:pt>
                <c:pt idx="21">
                  <c:v>188.53200000396384</c:v>
                </c:pt>
                <c:pt idx="22">
                  <c:v>188.95000000477637</c:v>
                </c:pt>
                <c:pt idx="23">
                  <c:v>189.39900000434847</c:v>
                </c:pt>
                <c:pt idx="24" formatCode="#,##0.00">
                  <c:v>189.88000000394078</c:v>
                </c:pt>
                <c:pt idx="25">
                  <c:v>190.39500000259883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201.35299999728949</c:v>
                </c:pt>
                <c:pt idx="1">
                  <c:v>211.23300000473182</c:v>
                </c:pt>
                <c:pt idx="2">
                  <c:v>199.26199999813633</c:v>
                </c:pt>
                <c:pt idx="3">
                  <c:v>221.95099999696069</c:v>
                </c:pt>
                <c:pt idx="4">
                  <c:v>251.70700000280206</c:v>
                </c:pt>
                <c:pt idx="5">
                  <c:v>262.03799999552723</c:v>
                </c:pt>
                <c:pt idx="6">
                  <c:v>279.71699999606318</c:v>
                </c:pt>
                <c:pt idx="7">
                  <c:v>283.70700000247547</c:v>
                </c:pt>
                <c:pt idx="8">
                  <c:v>296.57699999679414</c:v>
                </c:pt>
                <c:pt idx="9">
                  <c:v>316.03299999552212</c:v>
                </c:pt>
                <c:pt idx="10">
                  <c:v>332.73700000238267</c:v>
                </c:pt>
                <c:pt idx="11">
                  <c:v>341.25300000151225</c:v>
                </c:pt>
                <c:pt idx="12">
                  <c:v>344.48900000565129</c:v>
                </c:pt>
                <c:pt idx="13">
                  <c:v>350.97400000384511</c:v>
                </c:pt>
                <c:pt idx="14">
                  <c:v>356.05400000598644</c:v>
                </c:pt>
                <c:pt idx="15">
                  <c:v>360.24400000624183</c:v>
                </c:pt>
                <c:pt idx="16">
                  <c:v>364.17300000532583</c:v>
                </c:pt>
                <c:pt idx="17">
                  <c:v>367.61900000739422</c:v>
                </c:pt>
                <c:pt idx="18">
                  <c:v>370.89400000565757</c:v>
                </c:pt>
                <c:pt idx="19">
                  <c:v>374.15000000724274</c:v>
                </c:pt>
                <c:pt idx="20">
                  <c:v>377.57200000583049</c:v>
                </c:pt>
                <c:pt idx="21">
                  <c:v>380.92700000600286</c:v>
                </c:pt>
                <c:pt idx="22">
                  <c:v>384.21600000782922</c:v>
                </c:pt>
                <c:pt idx="23">
                  <c:v>387.37700000611238</c:v>
                </c:pt>
                <c:pt idx="24" formatCode="#,##0.00">
                  <c:v>390.38200000662641</c:v>
                </c:pt>
                <c:pt idx="25">
                  <c:v>393.24500000436973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355.93299999682222</c:v>
                </c:pt>
                <c:pt idx="1">
                  <c:v>369.63200000401361</c:v>
                </c:pt>
                <c:pt idx="2">
                  <c:v>380.62299999707324</c:v>
                </c:pt>
                <c:pt idx="3">
                  <c:v>360.28699999594221</c:v>
                </c:pt>
                <c:pt idx="4">
                  <c:v>365.48300000253499</c:v>
                </c:pt>
                <c:pt idx="5">
                  <c:v>372.22399999473578</c:v>
                </c:pt>
                <c:pt idx="6">
                  <c:v>392.3909999952906</c:v>
                </c:pt>
                <c:pt idx="7">
                  <c:v>390.94300000230606</c:v>
                </c:pt>
                <c:pt idx="8">
                  <c:v>384.27699999643198</c:v>
                </c:pt>
                <c:pt idx="9">
                  <c:v>408.94599999445853</c:v>
                </c:pt>
                <c:pt idx="10">
                  <c:v>403.88500000181784</c:v>
                </c:pt>
                <c:pt idx="11">
                  <c:v>410.45100000018391</c:v>
                </c:pt>
                <c:pt idx="12">
                  <c:v>410.55900000643936</c:v>
                </c:pt>
                <c:pt idx="13">
                  <c:v>410.72800000472182</c:v>
                </c:pt>
                <c:pt idx="14">
                  <c:v>410.15800000686477</c:v>
                </c:pt>
                <c:pt idx="15">
                  <c:v>410.36400000884646</c:v>
                </c:pt>
                <c:pt idx="16">
                  <c:v>411.03100000855341</c:v>
                </c:pt>
                <c:pt idx="17">
                  <c:v>411.64600001009984</c:v>
                </c:pt>
                <c:pt idx="18">
                  <c:v>412.21600000829471</c:v>
                </c:pt>
                <c:pt idx="19">
                  <c:v>412.76200001070197</c:v>
                </c:pt>
                <c:pt idx="20">
                  <c:v>413.35700000823721</c:v>
                </c:pt>
                <c:pt idx="21">
                  <c:v>413.67900000851358</c:v>
                </c:pt>
                <c:pt idx="22">
                  <c:v>414.0000000108376</c:v>
                </c:pt>
                <c:pt idx="23">
                  <c:v>414.31400000920132</c:v>
                </c:pt>
                <c:pt idx="24" formatCode="#,##0.00">
                  <c:v>414.61600000901859</c:v>
                </c:pt>
                <c:pt idx="25">
                  <c:v>414.92400000529392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116.85899999953055</c:v>
                </c:pt>
                <c:pt idx="1">
                  <c:v>110.28200000033553</c:v>
                </c:pt>
                <c:pt idx="2">
                  <c:v>116.6209999994506</c:v>
                </c:pt>
                <c:pt idx="3">
                  <c:v>116.30399999935869</c:v>
                </c:pt>
                <c:pt idx="4">
                  <c:v>115.31500000049283</c:v>
                </c:pt>
                <c:pt idx="5">
                  <c:v>136.39699999923894</c:v>
                </c:pt>
                <c:pt idx="6">
                  <c:v>136.8599999993541</c:v>
                </c:pt>
                <c:pt idx="7">
                  <c:v>116.24900000054406</c:v>
                </c:pt>
                <c:pt idx="8">
                  <c:v>138.09899999958228</c:v>
                </c:pt>
                <c:pt idx="9">
                  <c:v>130.66799999922634</c:v>
                </c:pt>
                <c:pt idx="10">
                  <c:v>160.77699999999172</c:v>
                </c:pt>
                <c:pt idx="11">
                  <c:v>158.33100000046875</c:v>
                </c:pt>
                <c:pt idx="12">
                  <c:v>155.27900000081917</c:v>
                </c:pt>
                <c:pt idx="13">
                  <c:v>153.3340000004186</c:v>
                </c:pt>
                <c:pt idx="14">
                  <c:v>152.51800000097361</c:v>
                </c:pt>
                <c:pt idx="15">
                  <c:v>152.81600000129112</c:v>
                </c:pt>
                <c:pt idx="16">
                  <c:v>153.44400000083292</c:v>
                </c:pt>
                <c:pt idx="17">
                  <c:v>154.22700000167558</c:v>
                </c:pt>
                <c:pt idx="18">
                  <c:v>155.07900000113742</c:v>
                </c:pt>
                <c:pt idx="19">
                  <c:v>155.95400000149817</c:v>
                </c:pt>
                <c:pt idx="20">
                  <c:v>156.82200000152693</c:v>
                </c:pt>
                <c:pt idx="21">
                  <c:v>157.68800000147047</c:v>
                </c:pt>
                <c:pt idx="22">
                  <c:v>158.53000000191253</c:v>
                </c:pt>
                <c:pt idx="23">
                  <c:v>159.33800000153238</c:v>
                </c:pt>
                <c:pt idx="24" formatCode="#,##0.00">
                  <c:v>160.10200000173282</c:v>
                </c:pt>
                <c:pt idx="25">
                  <c:v>160.82000000072313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625.56699998810018</c:v>
                </c:pt>
                <c:pt idx="1">
                  <c:v>603.42000001647114</c:v>
                </c:pt>
                <c:pt idx="2">
                  <c:v>640.12499999268982</c:v>
                </c:pt>
                <c:pt idx="3">
                  <c:v>685.06399998572442</c:v>
                </c:pt>
                <c:pt idx="4">
                  <c:v>747.81000000602705</c:v>
                </c:pt>
                <c:pt idx="5">
                  <c:v>758.16899998468455</c:v>
                </c:pt>
                <c:pt idx="6">
                  <c:v>804.01099998504981</c:v>
                </c:pt>
                <c:pt idx="7">
                  <c:v>817.3750000038375</c:v>
                </c:pt>
                <c:pt idx="8">
                  <c:v>817.26399998836098</c:v>
                </c:pt>
                <c:pt idx="9">
                  <c:v>830.1189999851465</c:v>
                </c:pt>
                <c:pt idx="10">
                  <c:v>777.96500000840217</c:v>
                </c:pt>
                <c:pt idx="11">
                  <c:v>797.61199999942289</c:v>
                </c:pt>
                <c:pt idx="12">
                  <c:v>804.19700001982631</c:v>
                </c:pt>
                <c:pt idx="13">
                  <c:v>811.20400001553423</c:v>
                </c:pt>
                <c:pt idx="14">
                  <c:v>818.35600001914611</c:v>
                </c:pt>
                <c:pt idx="15">
                  <c:v>823.48100002307376</c:v>
                </c:pt>
                <c:pt idx="16">
                  <c:v>828.09900002410757</c:v>
                </c:pt>
                <c:pt idx="17">
                  <c:v>832.84200002530554</c:v>
                </c:pt>
                <c:pt idx="18">
                  <c:v>837.682000023461</c:v>
                </c:pt>
                <c:pt idx="19">
                  <c:v>842.62500002815602</c:v>
                </c:pt>
                <c:pt idx="20">
                  <c:v>847.80200002162098</c:v>
                </c:pt>
                <c:pt idx="21">
                  <c:v>852.67900002172564</c:v>
                </c:pt>
                <c:pt idx="22">
                  <c:v>857.54100002701693</c:v>
                </c:pt>
                <c:pt idx="23">
                  <c:v>862.36400002401706</c:v>
                </c:pt>
                <c:pt idx="24" formatCode="#,##0.00">
                  <c:v>867.15100002133192</c:v>
                </c:pt>
                <c:pt idx="25">
                  <c:v>871.91000001357156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486.61600000349654</c:v>
                </c:pt>
                <c:pt idx="1">
                  <c:v>492.65699999261949</c:v>
                </c:pt>
                <c:pt idx="2">
                  <c:v>509.74400000248295</c:v>
                </c:pt>
                <c:pt idx="3">
                  <c:v>519.46600000476599</c:v>
                </c:pt>
                <c:pt idx="4">
                  <c:v>546.53099999896085</c:v>
                </c:pt>
                <c:pt idx="5">
                  <c:v>570.41700000629999</c:v>
                </c:pt>
                <c:pt idx="6">
                  <c:v>591.77200000383198</c:v>
                </c:pt>
                <c:pt idx="7">
                  <c:v>624.06899999981113</c:v>
                </c:pt>
                <c:pt idx="8">
                  <c:v>604.53100000429254</c:v>
                </c:pt>
                <c:pt idx="9">
                  <c:v>610.37800000496702</c:v>
                </c:pt>
                <c:pt idx="10">
                  <c:v>583.18299999631267</c:v>
                </c:pt>
                <c:pt idx="11">
                  <c:v>590.77700000136747</c:v>
                </c:pt>
                <c:pt idx="12">
                  <c:v>600.43299999545911</c:v>
                </c:pt>
                <c:pt idx="13">
                  <c:v>605.13199999661276</c:v>
                </c:pt>
                <c:pt idx="14">
                  <c:v>608.98099999612884</c:v>
                </c:pt>
                <c:pt idx="15">
                  <c:v>611.80199999737363</c:v>
                </c:pt>
                <c:pt idx="16">
                  <c:v>615.08199999666158</c:v>
                </c:pt>
                <c:pt idx="17">
                  <c:v>618.28999999827738</c:v>
                </c:pt>
                <c:pt idx="18">
                  <c:v>621.44099999878154</c:v>
                </c:pt>
                <c:pt idx="19">
                  <c:v>624.58199999762041</c:v>
                </c:pt>
                <c:pt idx="20">
                  <c:v>627.83400000042673</c:v>
                </c:pt>
                <c:pt idx="21">
                  <c:v>630.92099999895129</c:v>
                </c:pt>
                <c:pt idx="22">
                  <c:v>634.00099999827614</c:v>
                </c:pt>
                <c:pt idx="23">
                  <c:v>637.07099999955722</c:v>
                </c:pt>
                <c:pt idx="24" formatCode="#,##0.00">
                  <c:v>640.13499999873591</c:v>
                </c:pt>
                <c:pt idx="25">
                  <c:v>643.19999999696086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147.79999999924789</c:v>
                </c:pt>
                <c:pt idx="1">
                  <c:v>150.82900000133748</c:v>
                </c:pt>
                <c:pt idx="2">
                  <c:v>170.97900000013399</c:v>
                </c:pt>
                <c:pt idx="3">
                  <c:v>168.6309999994624</c:v>
                </c:pt>
                <c:pt idx="4">
                  <c:v>185.80200000072676</c:v>
                </c:pt>
                <c:pt idx="5">
                  <c:v>201.18200000085997</c:v>
                </c:pt>
                <c:pt idx="6">
                  <c:v>200.51299999956714</c:v>
                </c:pt>
                <c:pt idx="7">
                  <c:v>174.3669999999384</c:v>
                </c:pt>
                <c:pt idx="8">
                  <c:v>201.43500000023414</c:v>
                </c:pt>
                <c:pt idx="9">
                  <c:v>194.08599999986981</c:v>
                </c:pt>
                <c:pt idx="10">
                  <c:v>208.18700000079011</c:v>
                </c:pt>
                <c:pt idx="11">
                  <c:v>213.45399999938783</c:v>
                </c:pt>
                <c:pt idx="12">
                  <c:v>219.35500000345419</c:v>
                </c:pt>
                <c:pt idx="13">
                  <c:v>224.83400000350551</c:v>
                </c:pt>
                <c:pt idx="14">
                  <c:v>228.23700000355555</c:v>
                </c:pt>
                <c:pt idx="15">
                  <c:v>230.31100000422029</c:v>
                </c:pt>
                <c:pt idx="16">
                  <c:v>232.65400000455929</c:v>
                </c:pt>
                <c:pt idx="17">
                  <c:v>235.16800000624076</c:v>
                </c:pt>
                <c:pt idx="18">
                  <c:v>237.16700000728608</c:v>
                </c:pt>
                <c:pt idx="19">
                  <c:v>239.03400000726666</c:v>
                </c:pt>
                <c:pt idx="20">
                  <c:v>241.16000000684249</c:v>
                </c:pt>
                <c:pt idx="21">
                  <c:v>243.51400000623502</c:v>
                </c:pt>
                <c:pt idx="22">
                  <c:v>245.99900000723053</c:v>
                </c:pt>
                <c:pt idx="23">
                  <c:v>248.49100000722549</c:v>
                </c:pt>
                <c:pt idx="24" formatCode="#,##0.00">
                  <c:v>250.96900000413652</c:v>
                </c:pt>
                <c:pt idx="25">
                  <c:v>253.43400000291831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147.31499999915565</c:v>
                </c:pt>
                <c:pt idx="1">
                  <c:v>147.14500000110269</c:v>
                </c:pt>
                <c:pt idx="2">
                  <c:v>136.75599999948201</c:v>
                </c:pt>
                <c:pt idx="3">
                  <c:v>164.92199999925441</c:v>
                </c:pt>
                <c:pt idx="4">
                  <c:v>158.66000000040506</c:v>
                </c:pt>
                <c:pt idx="5">
                  <c:v>151.50899999931821</c:v>
                </c:pt>
                <c:pt idx="6">
                  <c:v>158.32499999941388</c:v>
                </c:pt>
                <c:pt idx="7">
                  <c:v>173.40200000031459</c:v>
                </c:pt>
                <c:pt idx="8">
                  <c:v>161.11899999943108</c:v>
                </c:pt>
                <c:pt idx="9">
                  <c:v>167.58999999963598</c:v>
                </c:pt>
                <c:pt idx="10">
                  <c:v>160.07500000048768</c:v>
                </c:pt>
                <c:pt idx="11">
                  <c:v>169.84400000015634</c:v>
                </c:pt>
                <c:pt idx="12">
                  <c:v>175.4220000016868</c:v>
                </c:pt>
                <c:pt idx="13">
                  <c:v>177.28800000152114</c:v>
                </c:pt>
                <c:pt idx="14">
                  <c:v>179.04200000177684</c:v>
                </c:pt>
                <c:pt idx="15">
                  <c:v>179.80400000206797</c:v>
                </c:pt>
                <c:pt idx="16">
                  <c:v>180.45600000183691</c:v>
                </c:pt>
                <c:pt idx="17">
                  <c:v>181.14900000262807</c:v>
                </c:pt>
                <c:pt idx="18">
                  <c:v>181.93300000264688</c:v>
                </c:pt>
                <c:pt idx="19">
                  <c:v>182.82400000258849</c:v>
                </c:pt>
                <c:pt idx="20">
                  <c:v>183.89500000267751</c:v>
                </c:pt>
                <c:pt idx="21">
                  <c:v>185.09100000233883</c:v>
                </c:pt>
                <c:pt idx="22">
                  <c:v>186.38300000263965</c:v>
                </c:pt>
                <c:pt idx="23">
                  <c:v>187.75500000252103</c:v>
                </c:pt>
                <c:pt idx="24" formatCode="#,##0.00">
                  <c:v>189.20900000200245</c:v>
                </c:pt>
                <c:pt idx="25">
                  <c:v>190.7660000008876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234.788999998327</c:v>
                </c:pt>
                <c:pt idx="1">
                  <c:v>220.26600000310466</c:v>
                </c:pt>
                <c:pt idx="2">
                  <c:v>220.5229999992203</c:v>
                </c:pt>
                <c:pt idx="3">
                  <c:v>220.3219999981622</c:v>
                </c:pt>
                <c:pt idx="4">
                  <c:v>222.62100000041491</c:v>
                </c:pt>
                <c:pt idx="5">
                  <c:v>217.89999999797885</c:v>
                </c:pt>
                <c:pt idx="6">
                  <c:v>221.38299999848988</c:v>
                </c:pt>
                <c:pt idx="7">
                  <c:v>223.46600000024307</c:v>
                </c:pt>
                <c:pt idx="8">
                  <c:v>233.8759999983821</c:v>
                </c:pt>
                <c:pt idx="9">
                  <c:v>240.23199999824902</c:v>
                </c:pt>
                <c:pt idx="10">
                  <c:v>255.05000000187471</c:v>
                </c:pt>
                <c:pt idx="11">
                  <c:v>255.40200000040235</c:v>
                </c:pt>
                <c:pt idx="12">
                  <c:v>257.29600000265521</c:v>
                </c:pt>
                <c:pt idx="13">
                  <c:v>258.22000000200427</c:v>
                </c:pt>
                <c:pt idx="14">
                  <c:v>259.35800000266414</c:v>
                </c:pt>
                <c:pt idx="15">
                  <c:v>259.68400000200432</c:v>
                </c:pt>
                <c:pt idx="16">
                  <c:v>259.55400000229497</c:v>
                </c:pt>
                <c:pt idx="17">
                  <c:v>259.35200000230651</c:v>
                </c:pt>
                <c:pt idx="18">
                  <c:v>259.14600000194173</c:v>
                </c:pt>
                <c:pt idx="19">
                  <c:v>258.93500000255045</c:v>
                </c:pt>
                <c:pt idx="20">
                  <c:v>258.75200000124221</c:v>
                </c:pt>
                <c:pt idx="21">
                  <c:v>258.58100000175386</c:v>
                </c:pt>
                <c:pt idx="22">
                  <c:v>258.44400000236681</c:v>
                </c:pt>
                <c:pt idx="23">
                  <c:v>258.31300000146535</c:v>
                </c:pt>
                <c:pt idx="24" formatCode="#,##0.00">
                  <c:v>258.21500000165133</c:v>
                </c:pt>
                <c:pt idx="25">
                  <c:v>258.16400000249814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362.83699999522594</c:v>
                </c:pt>
                <c:pt idx="1">
                  <c:v>361.012000026929</c:v>
                </c:pt>
                <c:pt idx="2">
                  <c:v>371.06800000860903</c:v>
                </c:pt>
                <c:pt idx="3">
                  <c:v>376.17400000341399</c:v>
                </c:pt>
                <c:pt idx="4">
                  <c:v>415.97900000365672</c:v>
                </c:pt>
                <c:pt idx="5">
                  <c:v>424.52899999628681</c:v>
                </c:pt>
                <c:pt idx="6">
                  <c:v>415.52599999888633</c:v>
                </c:pt>
                <c:pt idx="7">
                  <c:v>407.88699999148895</c:v>
                </c:pt>
                <c:pt idx="8">
                  <c:v>405.58999998948929</c:v>
                </c:pt>
                <c:pt idx="9">
                  <c:v>401.33599999756444</c:v>
                </c:pt>
                <c:pt idx="10">
                  <c:v>428.92800001602853</c:v>
                </c:pt>
                <c:pt idx="11">
                  <c:v>421.24200001900795</c:v>
                </c:pt>
                <c:pt idx="12">
                  <c:v>414.09700000130334</c:v>
                </c:pt>
                <c:pt idx="13">
                  <c:v>414.10899999794498</c:v>
                </c:pt>
                <c:pt idx="14">
                  <c:v>414.84399999985169</c:v>
                </c:pt>
                <c:pt idx="15">
                  <c:v>416.31699997814604</c:v>
                </c:pt>
                <c:pt idx="16">
                  <c:v>417.00699998489137</c:v>
                </c:pt>
                <c:pt idx="17">
                  <c:v>417.58199998061832</c:v>
                </c:pt>
                <c:pt idx="18">
                  <c:v>418.21099998500227</c:v>
                </c:pt>
                <c:pt idx="19">
                  <c:v>418.92399998263045</c:v>
                </c:pt>
                <c:pt idx="20">
                  <c:v>420.00499997633403</c:v>
                </c:pt>
                <c:pt idx="21">
                  <c:v>421.16699998070965</c:v>
                </c:pt>
                <c:pt idx="22">
                  <c:v>422.3779999797847</c:v>
                </c:pt>
                <c:pt idx="23">
                  <c:v>423.60299997724729</c:v>
                </c:pt>
                <c:pt idx="24" formatCode="#,##0.00">
                  <c:v>424.89199997466704</c:v>
                </c:pt>
                <c:pt idx="25">
                  <c:v>426.25200001051866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461.38400000035762</c:v>
                </c:pt>
                <c:pt idx="1">
                  <c:v>473.97300001032858</c:v>
                </c:pt>
                <c:pt idx="2">
                  <c:v>497.19900000408825</c:v>
                </c:pt>
                <c:pt idx="3">
                  <c:v>530.34000000307196</c:v>
                </c:pt>
                <c:pt idx="4">
                  <c:v>544.10100000174577</c:v>
                </c:pt>
                <c:pt idx="5">
                  <c:v>540.82499999233198</c:v>
                </c:pt>
                <c:pt idx="6">
                  <c:v>559.7789999995249</c:v>
                </c:pt>
                <c:pt idx="7">
                  <c:v>584.79800000006992</c:v>
                </c:pt>
                <c:pt idx="8">
                  <c:v>585.91299999083412</c:v>
                </c:pt>
                <c:pt idx="9">
                  <c:v>590.66599999311893</c:v>
                </c:pt>
                <c:pt idx="10">
                  <c:v>585.4770000032878</c:v>
                </c:pt>
                <c:pt idx="11">
                  <c:v>593.34500000682465</c:v>
                </c:pt>
                <c:pt idx="12">
                  <c:v>598.25200000154848</c:v>
                </c:pt>
                <c:pt idx="13">
                  <c:v>601.46999999948866</c:v>
                </c:pt>
                <c:pt idx="14">
                  <c:v>606.17500000109283</c:v>
                </c:pt>
                <c:pt idx="15">
                  <c:v>608.80399999924236</c:v>
                </c:pt>
                <c:pt idx="16">
                  <c:v>610.20999999992239</c:v>
                </c:pt>
                <c:pt idx="17">
                  <c:v>611.19499999525237</c:v>
                </c:pt>
                <c:pt idx="18">
                  <c:v>612.07099999421996</c:v>
                </c:pt>
                <c:pt idx="19">
                  <c:v>612.88999999333055</c:v>
                </c:pt>
                <c:pt idx="20">
                  <c:v>613.7019999933525</c:v>
                </c:pt>
                <c:pt idx="21">
                  <c:v>614.54899999275005</c:v>
                </c:pt>
                <c:pt idx="22">
                  <c:v>615.42099999281902</c:v>
                </c:pt>
                <c:pt idx="23">
                  <c:v>616.31599999086507</c:v>
                </c:pt>
                <c:pt idx="24" formatCode="#,##0.00">
                  <c:v>617.29399999558882</c:v>
                </c:pt>
                <c:pt idx="25">
                  <c:v>618.37100000262308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26.744000000183703</c:v>
                </c:pt>
                <c:pt idx="1">
                  <c:v>30.825999999645912</c:v>
                </c:pt>
                <c:pt idx="2">
                  <c:v>31.37500000005533</c:v>
                </c:pt>
                <c:pt idx="3">
                  <c:v>27.443000000062504</c:v>
                </c:pt>
                <c:pt idx="4">
                  <c:v>35.558999999732293</c:v>
                </c:pt>
                <c:pt idx="5">
                  <c:v>32.094000000098298</c:v>
                </c:pt>
                <c:pt idx="6">
                  <c:v>28.727000000051937</c:v>
                </c:pt>
                <c:pt idx="7">
                  <c:v>33.092000000033309</c:v>
                </c:pt>
                <c:pt idx="8">
                  <c:v>38.831000000170853</c:v>
                </c:pt>
                <c:pt idx="9">
                  <c:v>38.942000000120366</c:v>
                </c:pt>
                <c:pt idx="10">
                  <c:v>32.877999999813724</c:v>
                </c:pt>
                <c:pt idx="11">
                  <c:v>32.484999999861451</c:v>
                </c:pt>
                <c:pt idx="12">
                  <c:v>32.242999999814685</c:v>
                </c:pt>
                <c:pt idx="13">
                  <c:v>32.483999999867081</c:v>
                </c:pt>
                <c:pt idx="14">
                  <c:v>33.237999999777884</c:v>
                </c:pt>
                <c:pt idx="15">
                  <c:v>33.681999999911184</c:v>
                </c:pt>
                <c:pt idx="16">
                  <c:v>34.017999999902528</c:v>
                </c:pt>
                <c:pt idx="17">
                  <c:v>34.289999999836809</c:v>
                </c:pt>
                <c:pt idx="18">
                  <c:v>34.516999999887176</c:v>
                </c:pt>
                <c:pt idx="19">
                  <c:v>34.746999999812758</c:v>
                </c:pt>
                <c:pt idx="20">
                  <c:v>34.976999999960981</c:v>
                </c:pt>
                <c:pt idx="21">
                  <c:v>35.190999999871181</c:v>
                </c:pt>
                <c:pt idx="22">
                  <c:v>35.40299999980234</c:v>
                </c:pt>
                <c:pt idx="23">
                  <c:v>35.633999999914245</c:v>
                </c:pt>
                <c:pt idx="24">
                  <c:v>35.842999999892541</c:v>
                </c:pt>
                <c:pt idx="25">
                  <c:v>36.091999999708399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130.01900000080852</c:v>
                </c:pt>
                <c:pt idx="1">
                  <c:v>122.60899999827537</c:v>
                </c:pt>
                <c:pt idx="2">
                  <c:v>128.00399999999814</c:v>
                </c:pt>
                <c:pt idx="3">
                  <c:v>123.20200000044423</c:v>
                </c:pt>
                <c:pt idx="4">
                  <c:v>141.5409999987302</c:v>
                </c:pt>
                <c:pt idx="5">
                  <c:v>123.96000000103737</c:v>
                </c:pt>
                <c:pt idx="6">
                  <c:v>136.46300000061547</c:v>
                </c:pt>
                <c:pt idx="7">
                  <c:v>122.90399999945434</c:v>
                </c:pt>
                <c:pt idx="8">
                  <c:v>138.23400000113929</c:v>
                </c:pt>
                <c:pt idx="9">
                  <c:v>135.23100000086248</c:v>
                </c:pt>
                <c:pt idx="10">
                  <c:v>146.30099999872101</c:v>
                </c:pt>
                <c:pt idx="11">
                  <c:v>146.6929999988937</c:v>
                </c:pt>
                <c:pt idx="12">
                  <c:v>145.72699999876778</c:v>
                </c:pt>
                <c:pt idx="13">
                  <c:v>144.87099999928131</c:v>
                </c:pt>
                <c:pt idx="14">
                  <c:v>144.30499999873621</c:v>
                </c:pt>
                <c:pt idx="15">
                  <c:v>143.15799999989972</c:v>
                </c:pt>
                <c:pt idx="16">
                  <c:v>141.98500000000234</c:v>
                </c:pt>
                <c:pt idx="17">
                  <c:v>140.7919999997514</c:v>
                </c:pt>
                <c:pt idx="18">
                  <c:v>139.63800000009186</c:v>
                </c:pt>
                <c:pt idx="19">
                  <c:v>138.53199999990107</c:v>
                </c:pt>
                <c:pt idx="20">
                  <c:v>137.54500000048762</c:v>
                </c:pt>
                <c:pt idx="21">
                  <c:v>136.52000000008988</c:v>
                </c:pt>
                <c:pt idx="22">
                  <c:v>135.5359999999242</c:v>
                </c:pt>
                <c:pt idx="23">
                  <c:v>134.57400000047642</c:v>
                </c:pt>
                <c:pt idx="24">
                  <c:v>133.64500000018324</c:v>
                </c:pt>
                <c:pt idx="25">
                  <c:v>132.75099999898183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230.90600000461157</c:v>
                </c:pt>
                <c:pt idx="1">
                  <c:v>241.44399999010039</c:v>
                </c:pt>
                <c:pt idx="2">
                  <c:v>272.10100000103665</c:v>
                </c:pt>
                <c:pt idx="3">
                  <c:v>286.80800000151578</c:v>
                </c:pt>
                <c:pt idx="4">
                  <c:v>281.77899998889677</c:v>
                </c:pt>
                <c:pt idx="5">
                  <c:v>289.43400000057773</c:v>
                </c:pt>
                <c:pt idx="6">
                  <c:v>318.72599999947334</c:v>
                </c:pt>
                <c:pt idx="7">
                  <c:v>345.41599999327138</c:v>
                </c:pt>
                <c:pt idx="8">
                  <c:v>316.57500000583707</c:v>
                </c:pt>
                <c:pt idx="9">
                  <c:v>319.71500000728588</c:v>
                </c:pt>
                <c:pt idx="10">
                  <c:v>297.80299999075265</c:v>
                </c:pt>
                <c:pt idx="11">
                  <c:v>297.19799999008131</c:v>
                </c:pt>
                <c:pt idx="12">
                  <c:v>303.41999998328345</c:v>
                </c:pt>
                <c:pt idx="13">
                  <c:v>315.77099998516843</c:v>
                </c:pt>
                <c:pt idx="14">
                  <c:v>325.57799998036018</c:v>
                </c:pt>
                <c:pt idx="15">
                  <c:v>330.64299998375026</c:v>
                </c:pt>
                <c:pt idx="16">
                  <c:v>335.41799998494446</c:v>
                </c:pt>
                <c:pt idx="17">
                  <c:v>339.54699998153865</c:v>
                </c:pt>
                <c:pt idx="18">
                  <c:v>344.08799998210429</c:v>
                </c:pt>
                <c:pt idx="19">
                  <c:v>348.51599998203636</c:v>
                </c:pt>
                <c:pt idx="20">
                  <c:v>353.39699998370253</c:v>
                </c:pt>
                <c:pt idx="21">
                  <c:v>358.40499998405033</c:v>
                </c:pt>
                <c:pt idx="22">
                  <c:v>363.54899997982778</c:v>
                </c:pt>
                <c:pt idx="23">
                  <c:v>368.8149999847958</c:v>
                </c:pt>
                <c:pt idx="24" formatCode="#,##0.00">
                  <c:v>374.17999998145456</c:v>
                </c:pt>
                <c:pt idx="25">
                  <c:v>379.64199998098906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1148.8550000167145</c:v>
                </c:pt>
                <c:pt idx="1">
                  <c:v>1152.0199999531253</c:v>
                </c:pt>
                <c:pt idx="2">
                  <c:v>1243.2290000035764</c:v>
                </c:pt>
                <c:pt idx="3">
                  <c:v>1223.6210000179158</c:v>
                </c:pt>
                <c:pt idx="4">
                  <c:v>1286.9329999965526</c:v>
                </c:pt>
                <c:pt idx="5">
                  <c:v>1323.0470000357218</c:v>
                </c:pt>
                <c:pt idx="6">
                  <c:v>1323.95300002882</c:v>
                </c:pt>
                <c:pt idx="7">
                  <c:v>1374.2370000001483</c:v>
                </c:pt>
                <c:pt idx="8">
                  <c:v>1388.8190000257646</c:v>
                </c:pt>
                <c:pt idx="9">
                  <c:v>1418.2680000231994</c:v>
                </c:pt>
                <c:pt idx="10">
                  <c:v>1386.4849999834535</c:v>
                </c:pt>
                <c:pt idx="11">
                  <c:v>1378.2579999925106</c:v>
                </c:pt>
                <c:pt idx="12">
                  <c:v>1387.3739999839549</c:v>
                </c:pt>
                <c:pt idx="13">
                  <c:v>1404.4669999952155</c:v>
                </c:pt>
                <c:pt idx="14">
                  <c:v>1420.1249999890031</c:v>
                </c:pt>
                <c:pt idx="15">
                  <c:v>1432.0220000007098</c:v>
                </c:pt>
                <c:pt idx="16">
                  <c:v>1441.2959999939769</c:v>
                </c:pt>
                <c:pt idx="17">
                  <c:v>1449.5209999976353</c:v>
                </c:pt>
                <c:pt idx="18">
                  <c:v>1457.3370000014424</c:v>
                </c:pt>
                <c:pt idx="19">
                  <c:v>1464.9079999956798</c:v>
                </c:pt>
                <c:pt idx="20">
                  <c:v>1472.620000010787</c:v>
                </c:pt>
                <c:pt idx="21">
                  <c:v>1480.2660000062069</c:v>
                </c:pt>
                <c:pt idx="22">
                  <c:v>1487.8530000022129</c:v>
                </c:pt>
                <c:pt idx="23">
                  <c:v>1495.5670000082107</c:v>
                </c:pt>
                <c:pt idx="24">
                  <c:v>1503.1690000154226</c:v>
                </c:pt>
                <c:pt idx="25">
                  <c:v>1510.7689999848176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2228.2799999824379</c:v>
                </c:pt>
                <c:pt idx="1">
                  <c:v>2251.1590000227943</c:v>
                </c:pt>
                <c:pt idx="2">
                  <c:v>2319.3589999884953</c:v>
                </c:pt>
                <c:pt idx="3">
                  <c:v>2404.3339999800419</c:v>
                </c:pt>
                <c:pt idx="4">
                  <c:v>2556.2460000126557</c:v>
                </c:pt>
                <c:pt idx="5">
                  <c:v>2621.7669999800705</c:v>
                </c:pt>
                <c:pt idx="6">
                  <c:v>2733.6179999777305</c:v>
                </c:pt>
                <c:pt idx="7">
                  <c:v>2773.2060000091469</c:v>
                </c:pt>
                <c:pt idx="8">
                  <c:v>2795.6699999845614</c:v>
                </c:pt>
                <c:pt idx="9">
                  <c:v>2825.7269999778619</c:v>
                </c:pt>
                <c:pt idx="10">
                  <c:v>2804.4590000113999</c:v>
                </c:pt>
                <c:pt idx="11">
                  <c:v>2862.5440000028816</c:v>
                </c:pt>
                <c:pt idx="12">
                  <c:v>2892.3270000364441</c:v>
                </c:pt>
                <c:pt idx="13">
                  <c:v>2917.8520000289905</c:v>
                </c:pt>
                <c:pt idx="14">
                  <c:v>2939.2690000377333</c:v>
                </c:pt>
                <c:pt idx="15">
                  <c:v>2954.9880000470375</c:v>
                </c:pt>
                <c:pt idx="16">
                  <c:v>2971.5360000458218</c:v>
                </c:pt>
                <c:pt idx="17">
                  <c:v>2987.9350000560776</c:v>
                </c:pt>
                <c:pt idx="18">
                  <c:v>3003.8020000518177</c:v>
                </c:pt>
                <c:pt idx="19">
                  <c:v>3019.6950000598022</c:v>
                </c:pt>
                <c:pt idx="20">
                  <c:v>3036.5930000515405</c:v>
                </c:pt>
                <c:pt idx="21">
                  <c:v>3053.0310000492018</c:v>
                </c:pt>
                <c:pt idx="22">
                  <c:v>3069.620000060519</c:v>
                </c:pt>
                <c:pt idx="23">
                  <c:v>3086.1090000545155</c:v>
                </c:pt>
                <c:pt idx="24">
                  <c:v>3102.4440000475256</c:v>
                </c:pt>
                <c:pt idx="25">
                  <c:v>3118.6940000273239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1059.0099999939105</c:v>
                </c:pt>
                <c:pt idx="1">
                  <c:v>1055.2510000403622</c:v>
                </c:pt>
                <c:pt idx="2">
                  <c:v>1088.7900000119175</c:v>
                </c:pt>
                <c:pt idx="3">
                  <c:v>1126.8360000046482</c:v>
                </c:pt>
                <c:pt idx="4">
                  <c:v>1182.7010000058174</c:v>
                </c:pt>
                <c:pt idx="5">
                  <c:v>1183.2539999865976</c:v>
                </c:pt>
                <c:pt idx="6">
                  <c:v>1196.687999996901</c:v>
                </c:pt>
                <c:pt idx="7">
                  <c:v>1216.1509999918021</c:v>
                </c:pt>
                <c:pt idx="8">
                  <c:v>1225.3789999787055</c:v>
                </c:pt>
                <c:pt idx="9">
                  <c:v>1232.2339999889323</c:v>
                </c:pt>
                <c:pt idx="10">
                  <c:v>1269.4550000211912</c:v>
                </c:pt>
                <c:pt idx="11">
                  <c:v>1269.9890000262349</c:v>
                </c:pt>
                <c:pt idx="12">
                  <c:v>1269.645000005507</c:v>
                </c:pt>
                <c:pt idx="13">
                  <c:v>1273.7989999994379</c:v>
                </c:pt>
                <c:pt idx="14">
                  <c:v>1280.3770000036088</c:v>
                </c:pt>
                <c:pt idx="15">
                  <c:v>1284.8049999793927</c:v>
                </c:pt>
                <c:pt idx="16">
                  <c:v>1286.7709999871086</c:v>
                </c:pt>
                <c:pt idx="17">
                  <c:v>1288.1289999781773</c:v>
                </c:pt>
                <c:pt idx="18">
                  <c:v>1289.4279999811638</c:v>
                </c:pt>
                <c:pt idx="19">
                  <c:v>1290.7489999785114</c:v>
                </c:pt>
                <c:pt idx="20">
                  <c:v>1292.4589999709287</c:v>
                </c:pt>
                <c:pt idx="21">
                  <c:v>1294.2969999752136</c:v>
                </c:pt>
                <c:pt idx="22">
                  <c:v>1296.2429999749706</c:v>
                </c:pt>
                <c:pt idx="23">
                  <c:v>1298.2319999695778</c:v>
                </c:pt>
                <c:pt idx="24">
                  <c:v>1300.4009999719071</c:v>
                </c:pt>
                <c:pt idx="25">
                  <c:v>1302.7870000156399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21.229785795383176</c:v>
                </c:pt>
                <c:pt idx="1">
                  <c:v>21.380723251885829</c:v>
                </c:pt>
                <c:pt idx="2">
                  <c:v>20.102457514682211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47.039394597957582</c:v>
                </c:pt>
                <c:pt idx="1">
                  <c:v>47.233940351964634</c:v>
                </c:pt>
                <c:pt idx="2">
                  <c:v>48.122535484381537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23.737933198029189</c:v>
                </c:pt>
                <c:pt idx="1">
                  <c:v>23.35179433460997</c:v>
                </c:pt>
                <c:pt idx="2">
                  <c:v>23.311692269211413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5.1929863089267361</c:v>
                </c:pt>
                <c:pt idx="1">
                  <c:v>5.0157299993125815</c:v>
                </c:pt>
                <c:pt idx="2">
                  <c:v>5.8580083891804255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2.2240738229049128</c:v>
                </c:pt>
                <c:pt idx="1">
                  <c:v>2.4640662271562097</c:v>
                </c:pt>
                <c:pt idx="2">
                  <c:v>2.0483942021827617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0.57582627679841503</c:v>
                </c:pt>
                <c:pt idx="1">
                  <c:v>0.55374583507078634</c:v>
                </c:pt>
                <c:pt idx="2">
                  <c:v>0.55691214036165415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86.201000034593335</c:v>
                </c:pt>
                <c:pt idx="1">
                  <c:v>182.69200003132846</c:v>
                </c:pt>
                <c:pt idx="2">
                  <c:v>63.437999947731669</c:v>
                </c:pt>
                <c:pt idx="3">
                  <c:v>8.3689999901749843</c:v>
                </c:pt>
                <c:pt idx="4">
                  <c:v>22.340999997683596</c:v>
                </c:pt>
                <c:pt idx="5">
                  <c:v>0.78399999971542655</c:v>
                </c:pt>
                <c:pt idx="7">
                  <c:v>363.82500000122764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33.331999994448779</c:v>
                </c:pt>
                <c:pt idx="1">
                  <c:v>314.23500001592492</c:v>
                </c:pt>
                <c:pt idx="2">
                  <c:v>124.28400000136412</c:v>
                </c:pt>
                <c:pt idx="3">
                  <c:v>81.838999990236346</c:v>
                </c:pt>
                <c:pt idx="4">
                  <c:v>-13.549999999739157</c:v>
                </c:pt>
                <c:pt idx="5">
                  <c:v>3.2139999998946678</c:v>
                </c:pt>
                <c:pt idx="7">
                  <c:v>543.35400000212962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0.58547928810914751</c:v>
                </c:pt>
                <c:pt idx="2">
                  <c:v>0.15972083562194594</c:v>
                </c:pt>
                <c:pt idx="3">
                  <c:v>-1.8103167248515462</c:v>
                </c:pt>
                <c:pt idx="4">
                  <c:v>4.089746290780738E-2</c:v>
                </c:pt>
                <c:pt idx="6">
                  <c:v>0.63686721950468872</c:v>
                </c:pt>
                <c:pt idx="7">
                  <c:v>1.8580526599982328</c:v>
                </c:pt>
                <c:pt idx="8">
                  <c:v>0.82723344550887923</c:v>
                </c:pt>
                <c:pt idx="10">
                  <c:v>2.2031734214792431</c:v>
                </c:pt>
                <c:pt idx="11">
                  <c:v>-0.85324916714627497</c:v>
                </c:pt>
                <c:pt idx="12">
                  <c:v>-1.0924905154785503E-2</c:v>
                </c:pt>
                <c:pt idx="14">
                  <c:v>-0.78258900030340195</c:v>
                </c:pt>
                <c:pt idx="15">
                  <c:v>0.89860008763829047</c:v>
                </c:pt>
                <c:pt idx="16">
                  <c:v>0.90565627312546582</c:v>
                </c:pt>
                <c:pt idx="17">
                  <c:v>0.87535136851821793</c:v>
                </c:pt>
                <c:pt idx="19">
                  <c:v>0.75432219661022426</c:v>
                </c:pt>
                <c:pt idx="20">
                  <c:v>1.3599665941593786</c:v>
                </c:pt>
                <c:pt idx="21">
                  <c:v>4.7365195685378225E-2</c:v>
                </c:pt>
                <c:pt idx="22">
                  <c:v>1.6985561885287215</c:v>
                </c:pt>
                <c:pt idx="23">
                  <c:v>0.81362447515980207</c:v>
                </c:pt>
                <c:pt idx="25">
                  <c:v>-0.81010293674509404</c:v>
                </c:pt>
                <c:pt idx="26">
                  <c:v>-1.2226699966289556</c:v>
                </c:pt>
                <c:pt idx="27">
                  <c:v>-1.1465285201289421</c:v>
                </c:pt>
                <c:pt idx="29">
                  <c:v>4.652395193225356E-2</c:v>
                </c:pt>
                <c:pt idx="30">
                  <c:v>0.87403537750601057</c:v>
                </c:pt>
                <c:pt idx="31">
                  <c:v>1.9720145703349345</c:v>
                </c:pt>
                <c:pt idx="32">
                  <c:v>0.20158910823686593</c:v>
                </c:pt>
                <c:pt idx="33">
                  <c:v>-0.10943294985110708</c:v>
                </c:pt>
                <c:pt idx="34">
                  <c:v>0.39073917218710452</c:v>
                </c:pt>
                <c:pt idx="36">
                  <c:v>1.487820890278968</c:v>
                </c:pt>
                <c:pt idx="37">
                  <c:v>0.59772691405810541</c:v>
                </c:pt>
                <c:pt idx="38">
                  <c:v>0.54812575904370497</c:v>
                </c:pt>
                <c:pt idx="39">
                  <c:v>1.2621036641635719</c:v>
                </c:pt>
                <c:pt idx="40">
                  <c:v>1.1145540086237915</c:v>
                </c:pt>
                <c:pt idx="42">
                  <c:v>2.3765497394548474</c:v>
                </c:pt>
                <c:pt idx="43">
                  <c:v>0.20753766374692617</c:v>
                </c:pt>
                <c:pt idx="44">
                  <c:v>0.86793071555335555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1.2727282491479697</c:v>
                </c:pt>
                <c:pt idx="2">
                  <c:v>-0.58209241903665054</c:v>
                </c:pt>
                <c:pt idx="3">
                  <c:v>-4.0643549512796024</c:v>
                </c:pt>
                <c:pt idx="4">
                  <c:v>-0.84573849278366531</c:v>
                </c:pt>
                <c:pt idx="6">
                  <c:v>0.1323259908861063</c:v>
                </c:pt>
                <c:pt idx="7">
                  <c:v>-2.5721019221459973</c:v>
                </c:pt>
                <c:pt idx="8">
                  <c:v>-0.28829626392248286</c:v>
                </c:pt>
                <c:pt idx="10">
                  <c:v>1.6831019696085914</c:v>
                </c:pt>
                <c:pt idx="11">
                  <c:v>-2.6943186427201171</c:v>
                </c:pt>
                <c:pt idx="12">
                  <c:v>-1.7668687472097377</c:v>
                </c:pt>
                <c:pt idx="14">
                  <c:v>2.5621387633103732</c:v>
                </c:pt>
                <c:pt idx="15">
                  <c:v>-0.13877369678618745</c:v>
                </c:pt>
                <c:pt idx="16">
                  <c:v>-6.6590122866416745E-2</c:v>
                </c:pt>
                <c:pt idx="17">
                  <c:v>-4.0896577623117381E-2</c:v>
                </c:pt>
                <c:pt idx="19">
                  <c:v>-2.5807187082415028</c:v>
                </c:pt>
                <c:pt idx="20">
                  <c:v>-7.202602914515877</c:v>
                </c:pt>
                <c:pt idx="21">
                  <c:v>-1.5027441930260177</c:v>
                </c:pt>
                <c:pt idx="22">
                  <c:v>-0.82717854264899859</c:v>
                </c:pt>
                <c:pt idx="23">
                  <c:v>-3.7631793800655067</c:v>
                </c:pt>
                <c:pt idx="25">
                  <c:v>-2.7258854795243037</c:v>
                </c:pt>
                <c:pt idx="26">
                  <c:v>0.18941024333676282</c:v>
                </c:pt>
                <c:pt idx="27">
                  <c:v>-0.37537807140950452</c:v>
                </c:pt>
                <c:pt idx="29">
                  <c:v>1.7884366470028779</c:v>
                </c:pt>
                <c:pt idx="30">
                  <c:v>1.8112849230487615</c:v>
                </c:pt>
                <c:pt idx="31">
                  <c:v>2.6809480949242515</c:v>
                </c:pt>
                <c:pt idx="32">
                  <c:v>2.5645759397642243</c:v>
                </c:pt>
                <c:pt idx="33">
                  <c:v>5.182184761858033</c:v>
                </c:pt>
                <c:pt idx="34">
                  <c:v>2.2358834644008008</c:v>
                </c:pt>
                <c:pt idx="36">
                  <c:v>4.7449564103496877</c:v>
                </c:pt>
                <c:pt idx="37">
                  <c:v>1.584786086936707</c:v>
                </c:pt>
                <c:pt idx="38">
                  <c:v>2.7269118245508261</c:v>
                </c:pt>
                <c:pt idx="39">
                  <c:v>4.408845610371781</c:v>
                </c:pt>
                <c:pt idx="40">
                  <c:v>3.6504387798138804</c:v>
                </c:pt>
                <c:pt idx="42">
                  <c:v>1.1874144187313806</c:v>
                </c:pt>
                <c:pt idx="43">
                  <c:v>3.687284863990592</c:v>
                </c:pt>
                <c:pt idx="44">
                  <c:v>2.966850529847509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87.251672873265079</c:v>
                </c:pt>
                <c:pt idx="1">
                  <c:v>11.359567497708071</c:v>
                </c:pt>
                <c:pt idx="2">
                  <c:v>82.241659212574746</c:v>
                </c:pt>
                <c:pt idx="3">
                  <c:v>36.483512459303512</c:v>
                </c:pt>
                <c:pt idx="4">
                  <c:v>28.024304339779917</c:v>
                </c:pt>
                <c:pt idx="5">
                  <c:v>150.99801697212547</c:v>
                </c:pt>
                <c:pt idx="6">
                  <c:v>23.538518297442081</c:v>
                </c:pt>
                <c:pt idx="7">
                  <c:v>13.04105098255522</c:v>
                </c:pt>
                <c:pt idx="8">
                  <c:v>9.3926305320832029</c:v>
                </c:pt>
                <c:pt idx="9">
                  <c:v>20.990131562635185</c:v>
                </c:pt>
                <c:pt idx="10">
                  <c:v>46.654437501960899</c:v>
                </c:pt>
                <c:pt idx="11">
                  <c:v>3.8010498622587079</c:v>
                </c:pt>
                <c:pt idx="12">
                  <c:v>-13.147047350942401</c:v>
                </c:pt>
                <c:pt idx="13">
                  <c:v>-1.0696672903411901</c:v>
                </c:pt>
                <c:pt idx="14">
                  <c:v>-8.7408853175172396</c:v>
                </c:pt>
                <c:pt idx="15">
                  <c:v>-50.874300625038813</c:v>
                </c:pt>
                <c:pt idx="16">
                  <c:v>-15.806547679988526</c:v>
                </c:pt>
                <c:pt idx="17">
                  <c:v>-0.84125879604016518</c:v>
                </c:pt>
                <c:pt idx="18">
                  <c:v>-0.69322682335047148</c:v>
                </c:pt>
                <c:pt idx="19">
                  <c:v>0.80073079242837863</c:v>
                </c:pt>
                <c:pt idx="20">
                  <c:v>-40.549052088594294</c:v>
                </c:pt>
                <c:pt idx="21">
                  <c:v>6.7988592212827683</c:v>
                </c:pt>
                <c:pt idx="22">
                  <c:v>-4.3285796839095774</c:v>
                </c:pt>
                <c:pt idx="23">
                  <c:v>1.2089285941375181</c:v>
                </c:pt>
                <c:pt idx="24">
                  <c:v>-8.265901079087584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16.642273917947023</c:v>
                </c:pt>
                <c:pt idx="1">
                  <c:v>83.711253683744047</c:v>
                </c:pt>
                <c:pt idx="2">
                  <c:v>87.731004275463022</c:v>
                </c:pt>
                <c:pt idx="3">
                  <c:v>24.768766466038869</c:v>
                </c:pt>
                <c:pt idx="4">
                  <c:v>34.659957418558406</c:v>
                </c:pt>
                <c:pt idx="5">
                  <c:v>180.99168028432575</c:v>
                </c:pt>
                <c:pt idx="6">
                  <c:v>-1.7176329840366975</c:v>
                </c:pt>
                <c:pt idx="7">
                  <c:v>3.3630844646808526</c:v>
                </c:pt>
                <c:pt idx="8">
                  <c:v>25.799277619357383</c:v>
                </c:pt>
                <c:pt idx="9">
                  <c:v>34.094880115172089</c:v>
                </c:pt>
                <c:pt idx="10">
                  <c:v>3.8511552954906847</c:v>
                </c:pt>
                <c:pt idx="11">
                  <c:v>-68.015637264586644</c:v>
                </c:pt>
                <c:pt idx="12">
                  <c:v>-10.190195123432233</c:v>
                </c:pt>
                <c:pt idx="13">
                  <c:v>7.2502245720960268</c:v>
                </c:pt>
                <c:pt idx="14">
                  <c:v>0.79225371216502083</c:v>
                </c:pt>
                <c:pt idx="15">
                  <c:v>25.214282216333601</c:v>
                </c:pt>
                <c:pt idx="16">
                  <c:v>13.504767237485424</c:v>
                </c:pt>
                <c:pt idx="17">
                  <c:v>36.515259559435719</c:v>
                </c:pt>
                <c:pt idx="18">
                  <c:v>14.287823757126247</c:v>
                </c:pt>
                <c:pt idx="19">
                  <c:v>-0.74918241123257179</c:v>
                </c:pt>
                <c:pt idx="20">
                  <c:v>-33.424625420297446</c:v>
                </c:pt>
                <c:pt idx="21">
                  <c:v>32.831816452192797</c:v>
                </c:pt>
                <c:pt idx="22">
                  <c:v>9.8930954599275189</c:v>
                </c:pt>
                <c:pt idx="23">
                  <c:v>18.32782440398978</c:v>
                </c:pt>
                <c:pt idx="24">
                  <c:v>-8.5936962311807612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8315200485707968"/>
              <c:y val="0.9497821224051539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98.611240370973178</c:v>
                </c:pt>
                <c:pt idx="1">
                  <c:v>297.74749298378379</c:v>
                </c:pt>
                <c:pt idx="2">
                  <c:v>113.61676887667659</c:v>
                </c:pt>
                <c:pt idx="3">
                  <c:v>-9.345997488683679</c:v>
                </c:pt>
                <c:pt idx="4">
                  <c:v>-76.491400912885808</c:v>
                </c:pt>
                <c:pt idx="5">
                  <c:v>-0.7337548269622971</c:v>
                </c:pt>
                <c:pt idx="6">
                  <c:v>-33.750192867311512</c:v>
                </c:pt>
                <c:pt idx="7">
                  <c:v>-3.1196510897720486</c:v>
                </c:pt>
                <c:pt idx="8">
                  <c:v>-22.709505044596426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6-49AD-83CA-ED2B408A2B3B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100.35352760169098</c:v>
                </c:pt>
                <c:pt idx="1">
                  <c:v>328.15140844438588</c:v>
                </c:pt>
                <c:pt idx="2">
                  <c:v>65.39076451066444</c:v>
                </c:pt>
                <c:pt idx="3">
                  <c:v>-78.205832388018848</c:v>
                </c:pt>
                <c:pt idx="4">
                  <c:v>46.761527738080076</c:v>
                </c:pt>
                <c:pt idx="5">
                  <c:v>50.053900905329442</c:v>
                </c:pt>
                <c:pt idx="6">
                  <c:v>-0.59280896810463446</c:v>
                </c:pt>
                <c:pt idx="7">
                  <c:v>28.220919863917288</c:v>
                </c:pt>
                <c:pt idx="8">
                  <c:v>3.2205922941874405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6-49AD-83CA-ED2B408A2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341.69895718208096</c:v>
                </c:pt>
                <c:pt idx="1">
                  <c:v>374.75161785008839</c:v>
                </c:pt>
                <c:pt idx="2">
                  <c:v>400.13879879333081</c:v>
                </c:pt>
                <c:pt idx="3">
                  <c:v>406.32688326000448</c:v>
                </c:pt>
                <c:pt idx="4">
                  <c:v>414.00457996123407</c:v>
                </c:pt>
                <c:pt idx="5">
                  <c:v>439.61936541253647</c:v>
                </c:pt>
                <c:pt idx="6">
                  <c:v>475.56946439483755</c:v>
                </c:pt>
                <c:pt idx="7">
                  <c:v>494.15645119724348</c:v>
                </c:pt>
                <c:pt idx="8">
                  <c:v>502.67784152828949</c:v>
                </c:pt>
                <c:pt idx="9">
                  <c:v>523.51058807019922</c:v>
                </c:pt>
                <c:pt idx="10">
                  <c:v>526.87103828580155</c:v>
                </c:pt>
                <c:pt idx="11">
                  <c:v>481.36748976639524</c:v>
                </c:pt>
                <c:pt idx="12">
                  <c:v>486.90842639575663</c:v>
                </c:pt>
                <c:pt idx="13">
                  <c:v>493.12147066781978</c:v>
                </c:pt>
                <c:pt idx="14">
                  <c:v>499.02091418735682</c:v>
                </c:pt>
                <c:pt idx="15">
                  <c:v>503.60123376081771</c:v>
                </c:pt>
                <c:pt idx="16">
                  <c:v>507.80578781165201</c:v>
                </c:pt>
                <c:pt idx="17">
                  <c:v>511.59827513121024</c:v>
                </c:pt>
                <c:pt idx="18">
                  <c:v>515.33143624142213</c:v>
                </c:pt>
                <c:pt idx="19">
                  <c:v>519.17019377244333</c:v>
                </c:pt>
                <c:pt idx="20">
                  <c:v>523.19782403713475</c:v>
                </c:pt>
                <c:pt idx="21">
                  <c:v>527.21399695573098</c:v>
                </c:pt>
                <c:pt idx="22">
                  <c:v>531.27246573641787</c:v>
                </c:pt>
                <c:pt idx="23">
                  <c:v>535.25380088419865</c:v>
                </c:pt>
                <c:pt idx="24">
                  <c:v>539.21286534848286</c:v>
                </c:pt>
                <c:pt idx="25">
                  <c:v>543.51331220374857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143.21372988085906</c:v>
                </c:pt>
                <c:pt idx="1">
                  <c:v>158.34836256842064</c:v>
                </c:pt>
                <c:pt idx="2">
                  <c:v>168.40606223736424</c:v>
                </c:pt>
                <c:pt idx="3">
                  <c:v>166.75847653978832</c:v>
                </c:pt>
                <c:pt idx="4">
                  <c:v>194.59769932758735</c:v>
                </c:pt>
                <c:pt idx="5">
                  <c:v>186.84262660144509</c:v>
                </c:pt>
                <c:pt idx="6">
                  <c:v>175.99516389745401</c:v>
                </c:pt>
                <c:pt idx="7">
                  <c:v>189.97063253499996</c:v>
                </c:pt>
                <c:pt idx="8">
                  <c:v>200.90634921522678</c:v>
                </c:pt>
                <c:pt idx="9">
                  <c:v>201.36033731346231</c:v>
                </c:pt>
                <c:pt idx="10">
                  <c:v>198.20219409915316</c:v>
                </c:pt>
                <c:pt idx="11">
                  <c:v>234.71149939463453</c:v>
                </c:pt>
                <c:pt idx="12">
                  <c:v>238.71781379371146</c:v>
                </c:pt>
                <c:pt idx="13">
                  <c:v>243.02150699104732</c:v>
                </c:pt>
                <c:pt idx="14">
                  <c:v>247.09707705419717</c:v>
                </c:pt>
                <c:pt idx="15">
                  <c:v>250.48939255217397</c:v>
                </c:pt>
                <c:pt idx="16">
                  <c:v>253.69876216945718</c:v>
                </c:pt>
                <c:pt idx="17">
                  <c:v>256.52654043705792</c:v>
                </c:pt>
                <c:pt idx="18">
                  <c:v>259.36718914874018</c:v>
                </c:pt>
                <c:pt idx="19">
                  <c:v>262.25842604832252</c:v>
                </c:pt>
                <c:pt idx="20">
                  <c:v>265.30754146216003</c:v>
                </c:pt>
                <c:pt idx="21">
                  <c:v>268.34337772045814</c:v>
                </c:pt>
                <c:pt idx="22">
                  <c:v>271.56694380172502</c:v>
                </c:pt>
                <c:pt idx="23">
                  <c:v>274.7769166664545</c:v>
                </c:pt>
                <c:pt idx="24">
                  <c:v>277.4685360851413</c:v>
                </c:pt>
                <c:pt idx="25">
                  <c:v>281.91344778289721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286.09917024619034</c:v>
                </c:pt>
                <c:pt idx="1">
                  <c:v>281.36041941650637</c:v>
                </c:pt>
                <c:pt idx="2">
                  <c:v>289.8562402047682</c:v>
                </c:pt>
                <c:pt idx="3">
                  <c:v>294.41242607005802</c:v>
                </c:pt>
                <c:pt idx="4">
                  <c:v>326.68636860338705</c:v>
                </c:pt>
                <c:pt idx="5">
                  <c:v>341.5971984313648</c:v>
                </c:pt>
                <c:pt idx="6">
                  <c:v>371.76295834605867</c:v>
                </c:pt>
                <c:pt idx="7">
                  <c:v>364.21649800849082</c:v>
                </c:pt>
                <c:pt idx="8">
                  <c:v>390.49799404642698</c:v>
                </c:pt>
                <c:pt idx="9">
                  <c:v>405.77951277913274</c:v>
                </c:pt>
                <c:pt idx="10">
                  <c:v>423.83885764393955</c:v>
                </c:pt>
                <c:pt idx="11">
                  <c:v>435.31854207983656</c:v>
                </c:pt>
                <c:pt idx="12">
                  <c:v>442.09879154213553</c:v>
                </c:pt>
                <c:pt idx="13">
                  <c:v>449.27155561524665</c:v>
                </c:pt>
                <c:pt idx="14">
                  <c:v>456.03409462154514</c:v>
                </c:pt>
                <c:pt idx="15">
                  <c:v>461.74616557018186</c:v>
                </c:pt>
                <c:pt idx="16">
                  <c:v>467.17938979092509</c:v>
                </c:pt>
                <c:pt idx="17">
                  <c:v>472.05984516353124</c:v>
                </c:pt>
                <c:pt idx="18">
                  <c:v>476.7326939427391</c:v>
                </c:pt>
                <c:pt idx="19">
                  <c:v>481.58741607675756</c:v>
                </c:pt>
                <c:pt idx="20">
                  <c:v>486.52876244024105</c:v>
                </c:pt>
                <c:pt idx="21">
                  <c:v>491.47995355621043</c:v>
                </c:pt>
                <c:pt idx="22">
                  <c:v>496.39563398963145</c:v>
                </c:pt>
                <c:pt idx="23">
                  <c:v>501.53824226349576</c:v>
                </c:pt>
                <c:pt idx="24">
                  <c:v>506.46547483367294</c:v>
                </c:pt>
                <c:pt idx="25">
                  <c:v>511.56986191940257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195.67975073936142</c:v>
                </c:pt>
                <c:pt idx="1">
                  <c:v>210.97331920924745</c:v>
                </c:pt>
                <c:pt idx="2">
                  <c:v>227.20784444734645</c:v>
                </c:pt>
                <c:pt idx="3">
                  <c:v>242.54786287896755</c:v>
                </c:pt>
                <c:pt idx="4">
                  <c:v>252.50179416020609</c:v>
                </c:pt>
                <c:pt idx="5">
                  <c:v>253.3802593272118</c:v>
                </c:pt>
                <c:pt idx="6">
                  <c:v>264.62795804453998</c:v>
                </c:pt>
                <c:pt idx="7">
                  <c:v>276.49058511916218</c:v>
                </c:pt>
                <c:pt idx="8">
                  <c:v>282.88490933551384</c:v>
                </c:pt>
                <c:pt idx="9">
                  <c:v>292.86266274936236</c:v>
                </c:pt>
                <c:pt idx="10">
                  <c:v>289.86377178651531</c:v>
                </c:pt>
                <c:pt idx="11">
                  <c:v>299.18555383654206</c:v>
                </c:pt>
                <c:pt idx="12">
                  <c:v>301.13045519400185</c:v>
                </c:pt>
                <c:pt idx="13">
                  <c:v>303.17505627891865</c:v>
                </c:pt>
                <c:pt idx="14">
                  <c:v>305.37278660657057</c:v>
                </c:pt>
                <c:pt idx="15">
                  <c:v>306.86800344284825</c:v>
                </c:pt>
                <c:pt idx="16">
                  <c:v>307.88289172331798</c:v>
                </c:pt>
                <c:pt idx="17">
                  <c:v>308.59523447230646</c:v>
                </c:pt>
                <c:pt idx="18">
                  <c:v>309.19535449309774</c:v>
                </c:pt>
                <c:pt idx="19">
                  <c:v>309.78247232439708</c:v>
                </c:pt>
                <c:pt idx="20">
                  <c:v>310.46174044426022</c:v>
                </c:pt>
                <c:pt idx="21">
                  <c:v>311.31589994557874</c:v>
                </c:pt>
                <c:pt idx="22">
                  <c:v>312.18506017476335</c:v>
                </c:pt>
                <c:pt idx="23">
                  <c:v>312.97677300894571</c:v>
                </c:pt>
                <c:pt idx="24">
                  <c:v>313.77322103097629</c:v>
                </c:pt>
                <c:pt idx="25">
                  <c:v>314.63253825255418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292.3271959134558</c:v>
                </c:pt>
                <c:pt idx="1">
                  <c:v>295.85117018018803</c:v>
                </c:pt>
                <c:pt idx="2">
                  <c:v>302.96227547676165</c:v>
                </c:pt>
                <c:pt idx="3">
                  <c:v>307.43991125266939</c:v>
                </c:pt>
                <c:pt idx="4">
                  <c:v>336.36466438885492</c:v>
                </c:pt>
                <c:pt idx="5">
                  <c:v>342.63322989670951</c:v>
                </c:pt>
                <c:pt idx="6">
                  <c:v>347.74826840393479</c:v>
                </c:pt>
                <c:pt idx="7">
                  <c:v>341.52063495291242</c:v>
                </c:pt>
                <c:pt idx="8">
                  <c:v>342.84489113120122</c:v>
                </c:pt>
                <c:pt idx="9">
                  <c:v>347.72429910691096</c:v>
                </c:pt>
                <c:pt idx="10">
                  <c:v>370.65753423648943</c:v>
                </c:pt>
                <c:pt idx="11">
                  <c:v>368.24217308188281</c:v>
                </c:pt>
                <c:pt idx="12">
                  <c:v>367.61959701598192</c:v>
                </c:pt>
                <c:pt idx="13">
                  <c:v>371.04873507635818</c:v>
                </c:pt>
                <c:pt idx="14">
                  <c:v>374.77266100085615</c:v>
                </c:pt>
                <c:pt idx="15">
                  <c:v>378.16676625518454</c:v>
                </c:pt>
                <c:pt idx="16">
                  <c:v>381.20355471041466</c:v>
                </c:pt>
                <c:pt idx="17">
                  <c:v>383.83496949235081</c:v>
                </c:pt>
                <c:pt idx="18">
                  <c:v>386.31167094697747</c:v>
                </c:pt>
                <c:pt idx="19">
                  <c:v>388.83309812737599</c:v>
                </c:pt>
                <c:pt idx="20">
                  <c:v>391.39952851641436</c:v>
                </c:pt>
                <c:pt idx="21">
                  <c:v>394.01472231530488</c:v>
                </c:pt>
                <c:pt idx="22">
                  <c:v>396.76617831380378</c:v>
                </c:pt>
                <c:pt idx="23">
                  <c:v>399.51569149990524</c:v>
                </c:pt>
                <c:pt idx="24">
                  <c:v>402.35690268680491</c:v>
                </c:pt>
                <c:pt idx="25">
                  <c:v>405.31749165504783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534.13018541577742</c:v>
                </c:pt>
                <c:pt idx="1">
                  <c:v>508.23484615047079</c:v>
                </c:pt>
                <c:pt idx="2">
                  <c:v>532.89825824204866</c:v>
                </c:pt>
                <c:pt idx="3">
                  <c:v>559.70364899158324</c:v>
                </c:pt>
                <c:pt idx="4">
                  <c:v>588.96824952961822</c:v>
                </c:pt>
                <c:pt idx="5">
                  <c:v>578.85510824114158</c:v>
                </c:pt>
                <c:pt idx="6">
                  <c:v>628.776339258495</c:v>
                </c:pt>
                <c:pt idx="7">
                  <c:v>649.96479867943958</c:v>
                </c:pt>
                <c:pt idx="8">
                  <c:v>675.47401442467742</c:v>
                </c:pt>
                <c:pt idx="9">
                  <c:v>694.78884008845557</c:v>
                </c:pt>
                <c:pt idx="10">
                  <c:v>729.85312521326705</c:v>
                </c:pt>
                <c:pt idx="11">
                  <c:v>783.95012565521188</c:v>
                </c:pt>
                <c:pt idx="12">
                  <c:v>796.82194482140574</c:v>
                </c:pt>
                <c:pt idx="13">
                  <c:v>809.07660299666964</c:v>
                </c:pt>
                <c:pt idx="14">
                  <c:v>820.96827115511815</c:v>
                </c:pt>
                <c:pt idx="15">
                  <c:v>830.41431555582767</c:v>
                </c:pt>
                <c:pt idx="16">
                  <c:v>838.88551623020112</c:v>
                </c:pt>
                <c:pt idx="17">
                  <c:v>846.74511208084743</c:v>
                </c:pt>
                <c:pt idx="18">
                  <c:v>854.33258375609512</c:v>
                </c:pt>
                <c:pt idx="19">
                  <c:v>861.99838309133622</c:v>
                </c:pt>
                <c:pt idx="20">
                  <c:v>870.11676797085477</c:v>
                </c:pt>
                <c:pt idx="21">
                  <c:v>878.16492569592219</c:v>
                </c:pt>
                <c:pt idx="22">
                  <c:v>886.2915801487012</c:v>
                </c:pt>
                <c:pt idx="23">
                  <c:v>894.43390610890083</c:v>
                </c:pt>
                <c:pt idx="24">
                  <c:v>902.54682170223498</c:v>
                </c:pt>
                <c:pt idx="25">
                  <c:v>910.8448054975928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"/>
          <c:y val="0.89684729480371306"/>
          <c:w val="0.97366171734883677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77.372085795049344</c:v>
                </c:pt>
                <c:pt idx="1">
                  <c:v>78.115070350713921</c:v>
                </c:pt>
                <c:pt idx="2">
                  <c:v>81.468686863930245</c:v>
                </c:pt>
                <c:pt idx="3">
                  <c:v>84.219809107300136</c:v>
                </c:pt>
                <c:pt idx="4">
                  <c:v>81.139789341643933</c:v>
                </c:pt>
                <c:pt idx="5">
                  <c:v>81.903763878624659</c:v>
                </c:pt>
                <c:pt idx="6">
                  <c:v>90.540053758386748</c:v>
                </c:pt>
                <c:pt idx="7">
                  <c:v>99.005820335807897</c:v>
                </c:pt>
                <c:pt idx="8">
                  <c:v>101.25824644776363</c:v>
                </c:pt>
                <c:pt idx="9">
                  <c:v>99.312809298538895</c:v>
                </c:pt>
                <c:pt idx="10">
                  <c:v>105.44228217606674</c:v>
                </c:pt>
                <c:pt idx="11">
                  <c:v>92.124192266295935</c:v>
                </c:pt>
                <c:pt idx="12">
                  <c:v>93.10459230717457</c:v>
                </c:pt>
                <c:pt idx="13">
                  <c:v>94.331863791791733</c:v>
                </c:pt>
                <c:pt idx="14">
                  <c:v>95.505879910444051</c:v>
                </c:pt>
                <c:pt idx="15">
                  <c:v>96.372111679440593</c:v>
                </c:pt>
                <c:pt idx="16">
                  <c:v>97.140823135091182</c:v>
                </c:pt>
                <c:pt idx="17">
                  <c:v>97.903981791359072</c:v>
                </c:pt>
                <c:pt idx="18">
                  <c:v>98.635362076411667</c:v>
                </c:pt>
                <c:pt idx="19">
                  <c:v>99.393820004384153</c:v>
                </c:pt>
                <c:pt idx="20">
                  <c:v>100.11024724668545</c:v>
                </c:pt>
                <c:pt idx="21">
                  <c:v>100.79250832469215</c:v>
                </c:pt>
                <c:pt idx="22">
                  <c:v>101.46106593885088</c:v>
                </c:pt>
                <c:pt idx="23">
                  <c:v>102.18898576107182</c:v>
                </c:pt>
                <c:pt idx="24">
                  <c:v>102.90655550691245</c:v>
                </c:pt>
                <c:pt idx="25">
                  <c:v>103.72464919203004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64.382990862290384</c:v>
                </c:pt>
                <c:pt idx="1">
                  <c:v>86.34093020628211</c:v>
                </c:pt>
                <c:pt idx="2">
                  <c:v>88.692229358298192</c:v>
                </c:pt>
                <c:pt idx="3">
                  <c:v>91.489675538475652</c:v>
                </c:pt>
                <c:pt idx="4">
                  <c:v>94.847122686569378</c:v>
                </c:pt>
                <c:pt idx="5">
                  <c:v>96.617057225558284</c:v>
                </c:pt>
                <c:pt idx="6">
                  <c:v>100.19172450579192</c:v>
                </c:pt>
                <c:pt idx="7">
                  <c:v>100.97372500528678</c:v>
                </c:pt>
                <c:pt idx="8">
                  <c:v>110.62146233291323</c:v>
                </c:pt>
                <c:pt idx="9">
                  <c:v>108.31678735553254</c:v>
                </c:pt>
                <c:pt idx="10">
                  <c:v>109.6581082081135</c:v>
                </c:pt>
                <c:pt idx="11">
                  <c:v>106.20703280520506</c:v>
                </c:pt>
                <c:pt idx="12">
                  <c:v>106.96556570783386</c:v>
                </c:pt>
                <c:pt idx="13">
                  <c:v>107.73145494102927</c:v>
                </c:pt>
                <c:pt idx="14">
                  <c:v>108.55498604780203</c:v>
                </c:pt>
                <c:pt idx="15">
                  <c:v>109.13228559280523</c:v>
                </c:pt>
                <c:pt idx="16">
                  <c:v>109.56441060748172</c:v>
                </c:pt>
                <c:pt idx="17">
                  <c:v>109.85877899639499</c:v>
                </c:pt>
                <c:pt idx="18">
                  <c:v>110.16821214449627</c:v>
                </c:pt>
                <c:pt idx="19">
                  <c:v>110.42201449964703</c:v>
                </c:pt>
                <c:pt idx="20">
                  <c:v>110.72687905245074</c:v>
                </c:pt>
                <c:pt idx="21">
                  <c:v>111.02850135869041</c:v>
                </c:pt>
                <c:pt idx="22">
                  <c:v>111.49635129711375</c:v>
                </c:pt>
                <c:pt idx="23">
                  <c:v>111.9679205295769</c:v>
                </c:pt>
                <c:pt idx="24">
                  <c:v>112.46307181452276</c:v>
                </c:pt>
                <c:pt idx="25">
                  <c:v>113.02119267279436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57.170654429349653</c:v>
                </c:pt>
                <c:pt idx="1">
                  <c:v>67.345666298332944</c:v>
                </c:pt>
                <c:pt idx="2">
                  <c:v>68.554820794838108</c:v>
                </c:pt>
                <c:pt idx="3">
                  <c:v>62.304710601002732</c:v>
                </c:pt>
                <c:pt idx="4">
                  <c:v>64.661781761344017</c:v>
                </c:pt>
                <c:pt idx="5">
                  <c:v>66.411785193429807</c:v>
                </c:pt>
                <c:pt idx="6">
                  <c:v>72.622702773425488</c:v>
                </c:pt>
                <c:pt idx="7">
                  <c:v>70.110025174533178</c:v>
                </c:pt>
                <c:pt idx="8">
                  <c:v>69.288978274572344</c:v>
                </c:pt>
                <c:pt idx="9">
                  <c:v>70.733380140054265</c:v>
                </c:pt>
                <c:pt idx="10">
                  <c:v>75.80441572551301</c:v>
                </c:pt>
                <c:pt idx="11">
                  <c:v>83.997735681357511</c:v>
                </c:pt>
                <c:pt idx="12">
                  <c:v>85.364470841329506</c:v>
                </c:pt>
                <c:pt idx="13">
                  <c:v>86.776212064777567</c:v>
                </c:pt>
                <c:pt idx="14">
                  <c:v>88.115926941729157</c:v>
                </c:pt>
                <c:pt idx="15">
                  <c:v>89.043035973525392</c:v>
                </c:pt>
                <c:pt idx="16">
                  <c:v>90.038468024226646</c:v>
                </c:pt>
                <c:pt idx="17">
                  <c:v>91.119299029360818</c:v>
                </c:pt>
                <c:pt idx="18">
                  <c:v>92.436482333572485</c:v>
                </c:pt>
                <c:pt idx="19">
                  <c:v>93.461891745748559</c:v>
                </c:pt>
                <c:pt idx="20">
                  <c:v>94.776158080332607</c:v>
                </c:pt>
                <c:pt idx="21">
                  <c:v>96.068533162051537</c:v>
                </c:pt>
                <c:pt idx="22">
                  <c:v>97.431705463699373</c:v>
                </c:pt>
                <c:pt idx="23">
                  <c:v>98.732126096989191</c:v>
                </c:pt>
                <c:pt idx="24">
                  <c:v>100.37221464950819</c:v>
                </c:pt>
                <c:pt idx="25">
                  <c:v>101.60369334487039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163.09334523459282</c:v>
                </c:pt>
                <c:pt idx="1">
                  <c:v>164.65729849923105</c:v>
                </c:pt>
                <c:pt idx="2">
                  <c:v>182.86972411647187</c:v>
                </c:pt>
                <c:pt idx="3">
                  <c:v>187.48658753954385</c:v>
                </c:pt>
                <c:pt idx="4">
                  <c:v>219.67320036992822</c:v>
                </c:pt>
                <c:pt idx="5">
                  <c:v>223.52526281482929</c:v>
                </c:pt>
                <c:pt idx="6">
                  <c:v>219.93005734569229</c:v>
                </c:pt>
                <c:pt idx="7">
                  <c:v>227.72920526817296</c:v>
                </c:pt>
                <c:pt idx="8">
                  <c:v>236.5075836303848</c:v>
                </c:pt>
                <c:pt idx="9">
                  <c:v>212.5920837650911</c:v>
                </c:pt>
                <c:pt idx="10">
                  <c:v>244.51539437746447</c:v>
                </c:pt>
                <c:pt idx="11">
                  <c:v>236.28903229623123</c:v>
                </c:pt>
                <c:pt idx="12">
                  <c:v>241.78028213963984</c:v>
                </c:pt>
                <c:pt idx="13">
                  <c:v>246.46762874649568</c:v>
                </c:pt>
                <c:pt idx="14">
                  <c:v>250.23250071299466</c:v>
                </c:pt>
                <c:pt idx="15">
                  <c:v>253.06686198212074</c:v>
                </c:pt>
                <c:pt idx="16">
                  <c:v>255.825127966265</c:v>
                </c:pt>
                <c:pt idx="17">
                  <c:v>258.49234807919078</c:v>
                </c:pt>
                <c:pt idx="18">
                  <c:v>260.95427886086821</c:v>
                </c:pt>
                <c:pt idx="19">
                  <c:v>263.40861082262666</c:v>
                </c:pt>
                <c:pt idx="20">
                  <c:v>266.02059963380145</c:v>
                </c:pt>
                <c:pt idx="21">
                  <c:v>268.56979481812425</c:v>
                </c:pt>
                <c:pt idx="22">
                  <c:v>271.01935623250313</c:v>
                </c:pt>
                <c:pt idx="23">
                  <c:v>273.64596478561396</c:v>
                </c:pt>
                <c:pt idx="24">
                  <c:v>276.25640667325803</c:v>
                </c:pt>
                <c:pt idx="25">
                  <c:v>278.61027449263656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447.38094334500386</c:v>
                </c:pt>
                <c:pt idx="1">
                  <c:v>427.64644986166536</c:v>
                </c:pt>
                <c:pt idx="2">
                  <c:v>463.76293126395188</c:v>
                </c:pt>
                <c:pt idx="3">
                  <c:v>459.96266379547814</c:v>
                </c:pt>
                <c:pt idx="4">
                  <c:v>493.44871672959431</c:v>
                </c:pt>
                <c:pt idx="5">
                  <c:v>503.40328903988308</c:v>
                </c:pt>
                <c:pt idx="6">
                  <c:v>522.5365546378157</c:v>
                </c:pt>
                <c:pt idx="7">
                  <c:v>532.57594857235983</c:v>
                </c:pt>
                <c:pt idx="8">
                  <c:v>528.52096660542395</c:v>
                </c:pt>
                <c:pt idx="9">
                  <c:v>543.9625841820249</c:v>
                </c:pt>
                <c:pt idx="10">
                  <c:v>550.05772654184398</c:v>
                </c:pt>
                <c:pt idx="11">
                  <c:v>521.67292300029158</c:v>
                </c:pt>
                <c:pt idx="12">
                  <c:v>525.40515137226885</c:v>
                </c:pt>
                <c:pt idx="13">
                  <c:v>529.31548083041866</c:v>
                </c:pt>
                <c:pt idx="14">
                  <c:v>533.01336694274005</c:v>
                </c:pt>
                <c:pt idx="15">
                  <c:v>535.63233621079291</c:v>
                </c:pt>
                <c:pt idx="16">
                  <c:v>537.89793664143804</c:v>
                </c:pt>
                <c:pt idx="17">
                  <c:v>540.00015986470191</c:v>
                </c:pt>
                <c:pt idx="18">
                  <c:v>541.89573758172003</c:v>
                </c:pt>
                <c:pt idx="19">
                  <c:v>543.70462643112694</c:v>
                </c:pt>
                <c:pt idx="20">
                  <c:v>545.63237363456312</c:v>
                </c:pt>
                <c:pt idx="21">
                  <c:v>547.42022524456729</c:v>
                </c:pt>
                <c:pt idx="22">
                  <c:v>549.290042321035</c:v>
                </c:pt>
                <c:pt idx="23">
                  <c:v>550.93599159392897</c:v>
                </c:pt>
                <c:pt idx="24">
                  <c:v>552.33875616254772</c:v>
                </c:pt>
                <c:pt idx="25">
                  <c:v>553.90888183733466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364.85800920179452</c:v>
                </c:pt>
                <c:pt idx="1">
                  <c:v>370.06834038364912</c:v>
                </c:pt>
                <c:pt idx="2">
                  <c:v>382.85747901285561</c:v>
                </c:pt>
                <c:pt idx="3">
                  <c:v>370.47620497345679</c:v>
                </c:pt>
                <c:pt idx="4">
                  <c:v>386.28156406221365</c:v>
                </c:pt>
                <c:pt idx="5">
                  <c:v>399.8387719269964</c:v>
                </c:pt>
                <c:pt idx="6">
                  <c:v>387.45723625249894</c:v>
                </c:pt>
                <c:pt idx="7">
                  <c:v>406.01736321975329</c:v>
                </c:pt>
                <c:pt idx="8">
                  <c:v>392.86257075757294</c:v>
                </c:pt>
                <c:pt idx="9">
                  <c:v>391.7440117542651</c:v>
                </c:pt>
                <c:pt idx="10">
                  <c:v>403.63982178925511</c:v>
                </c:pt>
                <c:pt idx="11">
                  <c:v>377.08563150439824</c:v>
                </c:pt>
                <c:pt idx="12">
                  <c:v>373.87253793814801</c:v>
                </c:pt>
                <c:pt idx="13">
                  <c:v>371.83541943668831</c:v>
                </c:pt>
                <c:pt idx="14">
                  <c:v>369.26861666008108</c:v>
                </c:pt>
                <c:pt idx="15">
                  <c:v>365.71005326916145</c:v>
                </c:pt>
                <c:pt idx="16">
                  <c:v>362.15190759118377</c:v>
                </c:pt>
                <c:pt idx="17">
                  <c:v>358.75865108492684</c:v>
                </c:pt>
                <c:pt idx="18">
                  <c:v>355.88453598167973</c:v>
                </c:pt>
                <c:pt idx="19">
                  <c:v>352.81391750504685</c:v>
                </c:pt>
                <c:pt idx="20">
                  <c:v>349.81890984508391</c:v>
                </c:pt>
                <c:pt idx="21">
                  <c:v>346.64748902431705</c:v>
                </c:pt>
                <c:pt idx="22">
                  <c:v>343.6927580626118</c:v>
                </c:pt>
                <c:pt idx="23">
                  <c:v>340.93184899175839</c:v>
                </c:pt>
                <c:pt idx="24">
                  <c:v>338.21536096966315</c:v>
                </c:pt>
                <c:pt idx="25">
                  <c:v>335.62418452466846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116.79667935847937</c:v>
                </c:pt>
                <c:pt idx="1">
                  <c:v>107.05745884104543</c:v>
                </c:pt>
                <c:pt idx="2">
                  <c:v>106.26105486215658</c:v>
                </c:pt>
                <c:pt idx="3">
                  <c:v>108.48333062366034</c:v>
                </c:pt>
                <c:pt idx="4">
                  <c:v>108.19377755394235</c:v>
                </c:pt>
                <c:pt idx="5">
                  <c:v>101.86485631189477</c:v>
                </c:pt>
                <c:pt idx="6">
                  <c:v>99.258579435281746</c:v>
                </c:pt>
                <c:pt idx="7">
                  <c:v>102.43414067520604</c:v>
                </c:pt>
                <c:pt idx="8">
                  <c:v>101.65004992414288</c:v>
                </c:pt>
                <c:pt idx="9">
                  <c:v>93.185877623986343</c:v>
                </c:pt>
                <c:pt idx="10">
                  <c:v>88.717808960952368</c:v>
                </c:pt>
                <c:pt idx="11">
                  <c:v>97.09343452541404</c:v>
                </c:pt>
                <c:pt idx="12">
                  <c:v>94.116554466238767</c:v>
                </c:pt>
                <c:pt idx="13">
                  <c:v>91.723158744722895</c:v>
                </c:pt>
                <c:pt idx="14">
                  <c:v>89.499963481556179</c:v>
                </c:pt>
                <c:pt idx="15">
                  <c:v>88.145303660138566</c:v>
                </c:pt>
                <c:pt idx="16">
                  <c:v>87.342030940775004</c:v>
                </c:pt>
                <c:pt idx="17">
                  <c:v>86.698035974645265</c:v>
                </c:pt>
                <c:pt idx="18">
                  <c:v>85.807055598675348</c:v>
                </c:pt>
                <c:pt idx="19">
                  <c:v>85.369275044490266</c:v>
                </c:pt>
                <c:pt idx="20">
                  <c:v>84.658474482752609</c:v>
                </c:pt>
                <c:pt idx="21">
                  <c:v>83.966625704466423</c:v>
                </c:pt>
                <c:pt idx="22">
                  <c:v>82.805545137662435</c:v>
                </c:pt>
                <c:pt idx="23">
                  <c:v>81.92233301508395</c:v>
                </c:pt>
                <c:pt idx="24">
                  <c:v>82.042031023915342</c:v>
                </c:pt>
                <c:pt idx="25">
                  <c:v>78.527613837520136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20.480458946823109</c:v>
                </c:pt>
                <c:pt idx="1">
                  <c:v>19.379677573152627</c:v>
                </c:pt>
                <c:pt idx="2">
                  <c:v>21.186703819458717</c:v>
                </c:pt>
                <c:pt idx="3">
                  <c:v>23.282718641800816</c:v>
                </c:pt>
                <c:pt idx="4">
                  <c:v>25.532591231354004</c:v>
                </c:pt>
                <c:pt idx="5">
                  <c:v>26.294453584726924</c:v>
                </c:pt>
                <c:pt idx="6">
                  <c:v>27.857915417553389</c:v>
                </c:pt>
                <c:pt idx="7">
                  <c:v>24.577729956580821</c:v>
                </c:pt>
                <c:pt idx="8">
                  <c:v>23.442975313268825</c:v>
                </c:pt>
                <c:pt idx="9">
                  <c:v>26.463703517996674</c:v>
                </c:pt>
                <c:pt idx="10">
                  <c:v>25.224786294385733</c:v>
                </c:pt>
                <c:pt idx="11">
                  <c:v>24.952141686145417</c:v>
                </c:pt>
                <c:pt idx="12">
                  <c:v>25.484441015307731</c:v>
                </c:pt>
                <c:pt idx="13">
                  <c:v>26.082849258028176</c:v>
                </c:pt>
                <c:pt idx="14">
                  <c:v>26.669949426903891</c:v>
                </c:pt>
                <c:pt idx="15">
                  <c:v>27.211602776942538</c:v>
                </c:pt>
                <c:pt idx="16">
                  <c:v>27.750520433165448</c:v>
                </c:pt>
                <c:pt idx="17">
                  <c:v>28.309242402113608</c:v>
                </c:pt>
                <c:pt idx="18">
                  <c:v>28.813799999993527</c:v>
                </c:pt>
                <c:pt idx="19">
                  <c:v>29.297000940426386</c:v>
                </c:pt>
                <c:pt idx="20">
                  <c:v>29.734967251817423</c:v>
                </c:pt>
                <c:pt idx="21">
                  <c:v>30.256999327438255</c:v>
                </c:pt>
                <c:pt idx="22">
                  <c:v>30.791675116713364</c:v>
                </c:pt>
                <c:pt idx="23">
                  <c:v>31.330579612471169</c:v>
                </c:pt>
                <c:pt idx="24">
                  <c:v>31.891041295726094</c:v>
                </c:pt>
                <c:pt idx="25">
                  <c:v>32.47501086648176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102.75211363610242</c:v>
                </c:pt>
                <c:pt idx="1">
                  <c:v>106.33757643962704</c:v>
                </c:pt>
                <c:pt idx="2">
                  <c:v>107.23729125170517</c:v>
                </c:pt>
                <c:pt idx="3">
                  <c:v>111.18510142214929</c:v>
                </c:pt>
                <c:pt idx="4">
                  <c:v>120.70782721853702</c:v>
                </c:pt>
                <c:pt idx="5">
                  <c:v>119.88160092800702</c:v>
                </c:pt>
                <c:pt idx="6">
                  <c:v>124.33175205959481</c:v>
                </c:pt>
                <c:pt idx="7">
                  <c:v>126.09102960196748</c:v>
                </c:pt>
                <c:pt idx="8">
                  <c:v>120.06675854949717</c:v>
                </c:pt>
                <c:pt idx="9">
                  <c:v>126.32773853817437</c:v>
                </c:pt>
                <c:pt idx="10">
                  <c:v>111.14071561048978</c:v>
                </c:pt>
                <c:pt idx="11">
                  <c:v>113.76735392156556</c:v>
                </c:pt>
                <c:pt idx="12">
                  <c:v>114.13691722664569</c:v>
                </c:pt>
                <c:pt idx="13">
                  <c:v>115.19222632418227</c:v>
                </c:pt>
                <c:pt idx="14">
                  <c:v>115.86248507123626</c:v>
                </c:pt>
                <c:pt idx="15">
                  <c:v>115.71265313915445</c:v>
                </c:pt>
                <c:pt idx="16">
                  <c:v>115.35037361354573</c:v>
                </c:pt>
                <c:pt idx="17">
                  <c:v>114.92987856297925</c:v>
                </c:pt>
                <c:pt idx="18">
                  <c:v>114.52751434355942</c:v>
                </c:pt>
                <c:pt idx="19">
                  <c:v>114.09086240147991</c:v>
                </c:pt>
                <c:pt idx="20">
                  <c:v>113.76541145264146</c:v>
                </c:pt>
                <c:pt idx="21">
                  <c:v>113.42578247829714</c:v>
                </c:pt>
                <c:pt idx="22">
                  <c:v>113.05417370540388</c:v>
                </c:pt>
                <c:pt idx="23">
                  <c:v>112.66301672859207</c:v>
                </c:pt>
                <c:pt idx="24">
                  <c:v>112.26714590032984</c:v>
                </c:pt>
                <c:pt idx="25">
                  <c:v>111.9329693226548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128.57027072172519</c:v>
                </c:pt>
                <c:pt idx="1">
                  <c:v>128.85266939086796</c:v>
                </c:pt>
                <c:pt idx="2">
                  <c:v>133.84149514960544</c:v>
                </c:pt>
                <c:pt idx="3">
                  <c:v>150.93746642045201</c:v>
                </c:pt>
                <c:pt idx="4">
                  <c:v>151.54992980554934</c:v>
                </c:pt>
                <c:pt idx="5">
                  <c:v>163.13365486178674</c:v>
                </c:pt>
                <c:pt idx="6">
                  <c:v>159.79656102188531</c:v>
                </c:pt>
                <c:pt idx="7">
                  <c:v>167.5926480623821</c:v>
                </c:pt>
                <c:pt idx="8">
                  <c:v>147.5885259096454</c:v>
                </c:pt>
                <c:pt idx="9">
                  <c:v>142.64094798695422</c:v>
                </c:pt>
                <c:pt idx="10">
                  <c:v>112.25935423674792</c:v>
                </c:pt>
                <c:pt idx="11">
                  <c:v>121.0556649096096</c:v>
                </c:pt>
                <c:pt idx="12">
                  <c:v>122.37959214482044</c:v>
                </c:pt>
                <c:pt idx="13">
                  <c:v>125.30388020717122</c:v>
                </c:pt>
                <c:pt idx="14">
                  <c:v>127.67308529268597</c:v>
                </c:pt>
                <c:pt idx="15">
                  <c:v>128.77074902427728</c:v>
                </c:pt>
                <c:pt idx="16">
                  <c:v>129.81326322454564</c:v>
                </c:pt>
                <c:pt idx="17">
                  <c:v>130.72727953223583</c:v>
                </c:pt>
                <c:pt idx="18">
                  <c:v>131.51769985762965</c:v>
                </c:pt>
                <c:pt idx="19">
                  <c:v>132.29179267443806</c:v>
                </c:pt>
                <c:pt idx="20">
                  <c:v>133.19914785312457</c:v>
                </c:pt>
                <c:pt idx="21">
                  <c:v>134.08851083969046</c:v>
                </c:pt>
                <c:pt idx="22">
                  <c:v>134.96311529001557</c:v>
                </c:pt>
                <c:pt idx="23">
                  <c:v>135.80318573201822</c:v>
                </c:pt>
                <c:pt idx="24">
                  <c:v>136.64049232065548</c:v>
                </c:pt>
                <c:pt idx="25">
                  <c:v>137.47363645308153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103.26287890206535</c:v>
                </c:pt>
                <c:pt idx="1">
                  <c:v>102.49617556492379</c:v>
                </c:pt>
                <c:pt idx="2">
                  <c:v>114.21289644063786</c:v>
                </c:pt>
                <c:pt idx="3">
                  <c:v>114.74219375262416</c:v>
                </c:pt>
                <c:pt idx="4">
                  <c:v>127.37831229037734</c:v>
                </c:pt>
                <c:pt idx="5">
                  <c:v>128.98513495746371</c:v>
                </c:pt>
                <c:pt idx="6">
                  <c:v>129.16815241867459</c:v>
                </c:pt>
                <c:pt idx="7">
                  <c:v>132.30156440690686</c:v>
                </c:pt>
                <c:pt idx="8">
                  <c:v>132.36721391125869</c:v>
                </c:pt>
                <c:pt idx="9">
                  <c:v>128.94983620933522</c:v>
                </c:pt>
                <c:pt idx="10">
                  <c:v>113.17858727747519</c:v>
                </c:pt>
                <c:pt idx="11">
                  <c:v>112.11354093989729</c:v>
                </c:pt>
                <c:pt idx="12">
                  <c:v>113.21605395870048</c:v>
                </c:pt>
                <c:pt idx="13">
                  <c:v>115.06362904236617</c:v>
                </c:pt>
                <c:pt idx="14">
                  <c:v>116.64925989898992</c:v>
                </c:pt>
                <c:pt idx="15">
                  <c:v>117.63642990996956</c:v>
                </c:pt>
                <c:pt idx="16">
                  <c:v>118.55330633047831</c:v>
                </c:pt>
                <c:pt idx="17">
                  <c:v>119.98172993188074</c:v>
                </c:pt>
                <c:pt idx="18">
                  <c:v>121.03036625985447</c:v>
                </c:pt>
                <c:pt idx="19">
                  <c:v>122.01460412501697</c:v>
                </c:pt>
                <c:pt idx="20">
                  <c:v>122.96985639252841</c:v>
                </c:pt>
                <c:pt idx="21">
                  <c:v>123.7821734776865</c:v>
                </c:pt>
                <c:pt idx="22">
                  <c:v>124.56526396849105</c:v>
                </c:pt>
                <c:pt idx="23">
                  <c:v>125.33489489364995</c:v>
                </c:pt>
                <c:pt idx="24">
                  <c:v>125.65233359728285</c:v>
                </c:pt>
                <c:pt idx="25">
                  <c:v>126.68335451496061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80239952009598059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223.96961545078352</c:v>
                </c:pt>
                <c:pt idx="1">
                  <c:v>217.79424729879048</c:v>
                </c:pt>
                <c:pt idx="2">
                  <c:v>219.93814353259373</c:v>
                </c:pt>
                <c:pt idx="3">
                  <c:v>238.95249709786344</c:v>
                </c:pt>
                <c:pt idx="4">
                  <c:v>253.75627065490931</c:v>
                </c:pt>
                <c:pt idx="5">
                  <c:v>253.00446871969206</c:v>
                </c:pt>
                <c:pt idx="6">
                  <c:v>269.34893941505931</c:v>
                </c:pt>
                <c:pt idx="7">
                  <c:v>271.32398609634447</c:v>
                </c:pt>
                <c:pt idx="8">
                  <c:v>266.9360271724338</c:v>
                </c:pt>
                <c:pt idx="9">
                  <c:v>264.85600780962892</c:v>
                </c:pt>
                <c:pt idx="10">
                  <c:v>252.16320992365189</c:v>
                </c:pt>
                <c:pt idx="11">
                  <c:v>264.13721695857942</c:v>
                </c:pt>
                <c:pt idx="12">
                  <c:v>266.11853106908666</c:v>
                </c:pt>
                <c:pt idx="13">
                  <c:v>268.6442304230506</c:v>
                </c:pt>
                <c:pt idx="14">
                  <c:v>271.39221277946751</c:v>
                </c:pt>
                <c:pt idx="15">
                  <c:v>273.32530178928874</c:v>
                </c:pt>
                <c:pt idx="16">
                  <c:v>275.021637778968</c:v>
                </c:pt>
                <c:pt idx="17">
                  <c:v>276.55532225300681</c:v>
                </c:pt>
                <c:pt idx="18">
                  <c:v>278.09464410036969</c:v>
                </c:pt>
                <c:pt idx="19">
                  <c:v>279.42964117017965</c:v>
                </c:pt>
                <c:pt idx="20">
                  <c:v>280.85748655524742</c:v>
                </c:pt>
                <c:pt idx="21">
                  <c:v>282.29703986418599</c:v>
                </c:pt>
                <c:pt idx="22">
                  <c:v>283.78858400693133</c:v>
                </c:pt>
                <c:pt idx="23">
                  <c:v>285.31378930145627</c:v>
                </c:pt>
                <c:pt idx="24">
                  <c:v>286.98900050947924</c:v>
                </c:pt>
                <c:pt idx="25">
                  <c:v>288.67846948308761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90.23435544559581</c:v>
                </c:pt>
                <c:pt idx="1">
                  <c:v>94.083524660057364</c:v>
                </c:pt>
                <c:pt idx="2">
                  <c:v>93.627441592681592</c:v>
                </c:pt>
                <c:pt idx="3">
                  <c:v>101.93571268654411</c:v>
                </c:pt>
                <c:pt idx="4">
                  <c:v>97.278158874315537</c:v>
                </c:pt>
                <c:pt idx="5">
                  <c:v>100.18519998138873</c:v>
                </c:pt>
                <c:pt idx="6">
                  <c:v>103.58605387448145</c:v>
                </c:pt>
                <c:pt idx="7">
                  <c:v>106.44581530544914</c:v>
                </c:pt>
                <c:pt idx="8">
                  <c:v>96.923139943235384</c:v>
                </c:pt>
                <c:pt idx="9">
                  <c:v>109.97039787264633</c:v>
                </c:pt>
                <c:pt idx="10">
                  <c:v>99.491973158038263</c:v>
                </c:pt>
                <c:pt idx="11">
                  <c:v>101.26117778919236</c:v>
                </c:pt>
                <c:pt idx="12">
                  <c:v>102.90228164862378</c:v>
                </c:pt>
                <c:pt idx="13">
                  <c:v>104.06630209353891</c:v>
                </c:pt>
                <c:pt idx="14">
                  <c:v>105.06023809624087</c:v>
                </c:pt>
                <c:pt idx="15">
                  <c:v>105.88555330328265</c:v>
                </c:pt>
                <c:pt idx="16">
                  <c:v>106.62839516542275</c:v>
                </c:pt>
                <c:pt idx="17">
                  <c:v>107.31668747097851</c:v>
                </c:pt>
                <c:pt idx="18">
                  <c:v>108.10740937434987</c:v>
                </c:pt>
                <c:pt idx="19">
                  <c:v>108.83077682249778</c:v>
                </c:pt>
                <c:pt idx="20">
                  <c:v>109.6032119347512</c:v>
                </c:pt>
                <c:pt idx="21">
                  <c:v>110.38486791682159</c:v>
                </c:pt>
                <c:pt idx="22">
                  <c:v>111.19385860619182</c:v>
                </c:pt>
                <c:pt idx="23">
                  <c:v>112.01241645608668</c:v>
                </c:pt>
                <c:pt idx="24">
                  <c:v>112.81460373027407</c:v>
                </c:pt>
                <c:pt idx="25">
                  <c:v>113.77979691516451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val>
            <c:numRef>
              <c:f>'Occ F2'!$M$35:$AL$35</c:f>
              <c:numCache>
                <c:formatCode>#,##0</c:formatCode>
                <c:ptCount val="26"/>
                <c:pt idx="0">
                  <c:v>8.0060633753245334</c:v>
                </c:pt>
                <c:pt idx="1">
                  <c:v>5.9234121122959387</c:v>
                </c:pt>
                <c:pt idx="2">
                  <c:v>6.019012308430594</c:v>
                </c:pt>
                <c:pt idx="3">
                  <c:v>5.5577691997896546</c:v>
                </c:pt>
                <c:pt idx="4">
                  <c:v>6.3625010579230707</c:v>
                </c:pt>
                <c:pt idx="5">
                  <c:v>5.9382957218516932</c:v>
                </c:pt>
                <c:pt idx="6">
                  <c:v>5.2185106244441553</c:v>
                </c:pt>
                <c:pt idx="7">
                  <c:v>5.5842221828215939</c:v>
                </c:pt>
                <c:pt idx="8">
                  <c:v>5.4459543043722212</c:v>
                </c:pt>
                <c:pt idx="9">
                  <c:v>5.3706312747090736</c:v>
                </c:pt>
                <c:pt idx="10">
                  <c:v>6.7390265142800718</c:v>
                </c:pt>
                <c:pt idx="11">
                  <c:v>5.4573515471021263</c:v>
                </c:pt>
                <c:pt idx="12">
                  <c:v>5.5029024307476586</c:v>
                </c:pt>
                <c:pt idx="13">
                  <c:v>5.5609199430333023</c:v>
                </c:pt>
                <c:pt idx="14">
                  <c:v>5.6128997989673799</c:v>
                </c:pt>
                <c:pt idx="15">
                  <c:v>5.6357642637695298</c:v>
                </c:pt>
                <c:pt idx="16">
                  <c:v>5.6630899983168037</c:v>
                </c:pt>
                <c:pt idx="17">
                  <c:v>5.6888613370084808</c:v>
                </c:pt>
                <c:pt idx="18">
                  <c:v>5.7285420114411094</c:v>
                </c:pt>
                <c:pt idx="19">
                  <c:v>5.7451432255943846</c:v>
                </c:pt>
                <c:pt idx="20">
                  <c:v>5.7846756803689843</c:v>
                </c:pt>
                <c:pt idx="21">
                  <c:v>5.8255424232160999</c:v>
                </c:pt>
                <c:pt idx="22">
                  <c:v>5.8743221591108794</c:v>
                </c:pt>
                <c:pt idx="23">
                  <c:v>5.9065806429787351</c:v>
                </c:pt>
                <c:pt idx="24">
                  <c:v>5.9603998691578441</c:v>
                </c:pt>
                <c:pt idx="25">
                  <c:v>5.9898441030475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00-47D4-806C-3012680FB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3784359265713874E-2"/>
          <c:y val="0.93944952741735122"/>
          <c:w val="0.94041112825348783"/>
          <c:h val="6.055047258264882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279.26420693969538</c:v>
                </c:pt>
                <c:pt idx="1">
                  <c:v>286.51305563280221</c:v>
                </c:pt>
                <c:pt idx="2">
                  <c:v>312.74624940535989</c:v>
                </c:pt>
                <c:pt idx="3">
                  <c:v>300.96304253150885</c:v>
                </c:pt>
                <c:pt idx="4">
                  <c:v>308.70116998546615</c:v>
                </c:pt>
                <c:pt idx="5">
                  <c:v>317.65918909274848</c:v>
                </c:pt>
                <c:pt idx="6">
                  <c:v>307.65827872983692</c:v>
                </c:pt>
                <c:pt idx="7">
                  <c:v>302.63821833489089</c:v>
                </c:pt>
                <c:pt idx="8">
                  <c:v>307.89873522337126</c:v>
                </c:pt>
                <c:pt idx="9">
                  <c:v>283.8396737163265</c:v>
                </c:pt>
                <c:pt idx="10">
                  <c:v>277.11013700415418</c:v>
                </c:pt>
                <c:pt idx="11">
                  <c:v>258.26278552540748</c:v>
                </c:pt>
                <c:pt idx="12">
                  <c:v>256.51671489026506</c:v>
                </c:pt>
                <c:pt idx="13">
                  <c:v>256.42560355476456</c:v>
                </c:pt>
                <c:pt idx="14">
                  <c:v>256.11818207164731</c:v>
                </c:pt>
                <c:pt idx="15">
                  <c:v>255.24893261424151</c:v>
                </c:pt>
                <c:pt idx="16">
                  <c:v>254.0593275402189</c:v>
                </c:pt>
                <c:pt idx="17">
                  <c:v>253.05945336119999</c:v>
                </c:pt>
                <c:pt idx="18">
                  <c:v>252.07160966373215</c:v>
                </c:pt>
                <c:pt idx="19">
                  <c:v>250.9990262425284</c:v>
                </c:pt>
                <c:pt idx="20">
                  <c:v>249.86759816093385</c:v>
                </c:pt>
                <c:pt idx="21">
                  <c:v>248.64045216293735</c:v>
                </c:pt>
                <c:pt idx="22">
                  <c:v>247.4064734164385</c:v>
                </c:pt>
                <c:pt idx="23">
                  <c:v>246.16626640552496</c:v>
                </c:pt>
                <c:pt idx="24">
                  <c:v>244.87786014959656</c:v>
                </c:pt>
                <c:pt idx="25">
                  <c:v>243.68551158385674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70.765730184089421</c:v>
                </c:pt>
                <c:pt idx="1">
                  <c:v>70.228464575391243</c:v>
                </c:pt>
                <c:pt idx="2">
                  <c:v>71.922469597980879</c:v>
                </c:pt>
                <c:pt idx="3">
                  <c:v>72.42387280754177</c:v>
                </c:pt>
                <c:pt idx="4">
                  <c:v>71.225414733964683</c:v>
                </c:pt>
                <c:pt idx="5">
                  <c:v>78.11547202864962</c:v>
                </c:pt>
                <c:pt idx="6">
                  <c:v>75.435627878872253</c:v>
                </c:pt>
                <c:pt idx="7">
                  <c:v>82.893763869806889</c:v>
                </c:pt>
                <c:pt idx="8">
                  <c:v>84.874829009747316</c:v>
                </c:pt>
                <c:pt idx="9">
                  <c:v>84.434310067645598</c:v>
                </c:pt>
                <c:pt idx="10">
                  <c:v>84.914331249932388</c:v>
                </c:pt>
                <c:pt idx="11">
                  <c:v>102.28508865868106</c:v>
                </c:pt>
                <c:pt idx="12">
                  <c:v>103.563026375053</c:v>
                </c:pt>
                <c:pt idx="13">
                  <c:v>105.1590878865297</c:v>
                </c:pt>
                <c:pt idx="14">
                  <c:v>106.70438166738033</c:v>
                </c:pt>
                <c:pt idx="15">
                  <c:v>108.00703895762425</c:v>
                </c:pt>
                <c:pt idx="16">
                  <c:v>109.17510302444948</c:v>
                </c:pt>
                <c:pt idx="17">
                  <c:v>110.17239278543195</c:v>
                </c:pt>
                <c:pt idx="18">
                  <c:v>111.09979597786075</c:v>
                </c:pt>
                <c:pt idx="19">
                  <c:v>112.05443000045648</c:v>
                </c:pt>
                <c:pt idx="20">
                  <c:v>113.01149486671791</c:v>
                </c:pt>
                <c:pt idx="21">
                  <c:v>113.97319696436521</c:v>
                </c:pt>
                <c:pt idx="22">
                  <c:v>114.89823810845647</c:v>
                </c:pt>
                <c:pt idx="23">
                  <c:v>115.85425303097909</c:v>
                </c:pt>
                <c:pt idx="24">
                  <c:v>116.74740399160441</c:v>
                </c:pt>
                <c:pt idx="25">
                  <c:v>117.74614770212519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295632066029317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32.787752513758697</c:v>
                </c:pt>
                <c:pt idx="1">
                  <c:v>29.373392547159021</c:v>
                </c:pt>
                <c:pt idx="2">
                  <c:v>32.187676286263546</c:v>
                </c:pt>
                <c:pt idx="3">
                  <c:v>32.873926536492995</c:v>
                </c:pt>
                <c:pt idx="4">
                  <c:v>34.132649184202435</c:v>
                </c:pt>
                <c:pt idx="5">
                  <c:v>35.434452802600624</c:v>
                </c:pt>
                <c:pt idx="6">
                  <c:v>34.488225326735929</c:v>
                </c:pt>
                <c:pt idx="7">
                  <c:v>36.007117341132393</c:v>
                </c:pt>
                <c:pt idx="8">
                  <c:v>37.726359434155398</c:v>
                </c:pt>
                <c:pt idx="9">
                  <c:v>33.967749317353309</c:v>
                </c:pt>
                <c:pt idx="10">
                  <c:v>31.105873118691047</c:v>
                </c:pt>
                <c:pt idx="11">
                  <c:v>37.645731617216512</c:v>
                </c:pt>
                <c:pt idx="12">
                  <c:v>37.393558508047704</c:v>
                </c:pt>
                <c:pt idx="13">
                  <c:v>37.736819319155366</c:v>
                </c:pt>
                <c:pt idx="14">
                  <c:v>38.020665546681045</c:v>
                </c:pt>
                <c:pt idx="15">
                  <c:v>38.139195588077293</c:v>
                </c:pt>
                <c:pt idx="16">
                  <c:v>38.232360397104365</c:v>
                </c:pt>
                <c:pt idx="17">
                  <c:v>38.306059424401944</c:v>
                </c:pt>
                <c:pt idx="18">
                  <c:v>38.489184869317164</c:v>
                </c:pt>
                <c:pt idx="19">
                  <c:v>38.731413419417329</c:v>
                </c:pt>
                <c:pt idx="20">
                  <c:v>39.014977480879537</c:v>
                </c:pt>
                <c:pt idx="21">
                  <c:v>39.307095080166029</c:v>
                </c:pt>
                <c:pt idx="22">
                  <c:v>39.728251810675289</c:v>
                </c:pt>
                <c:pt idx="23">
                  <c:v>40.186053027747796</c:v>
                </c:pt>
                <c:pt idx="24">
                  <c:v>40.59667027119476</c:v>
                </c:pt>
                <c:pt idx="25">
                  <c:v>40.998968578618566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158.08629971124049</c:v>
                </c:pt>
                <c:pt idx="1">
                  <c:v>164.57973765702832</c:v>
                </c:pt>
                <c:pt idx="2">
                  <c:v>166.94400781241308</c:v>
                </c:pt>
                <c:pt idx="3">
                  <c:v>168.07691554143022</c:v>
                </c:pt>
                <c:pt idx="4">
                  <c:v>182.51930333788374</c:v>
                </c:pt>
                <c:pt idx="5">
                  <c:v>182.23681734593583</c:v>
                </c:pt>
                <c:pt idx="6">
                  <c:v>194.91422821185225</c:v>
                </c:pt>
                <c:pt idx="7">
                  <c:v>205.43209610445996</c:v>
                </c:pt>
                <c:pt idx="8">
                  <c:v>191.0245818308139</c:v>
                </c:pt>
                <c:pt idx="9">
                  <c:v>206.4045743008385</c:v>
                </c:pt>
                <c:pt idx="10">
                  <c:v>183.44574594007335</c:v>
                </c:pt>
                <c:pt idx="11">
                  <c:v>200.20600261660735</c:v>
                </c:pt>
                <c:pt idx="12">
                  <c:v>202.61981177178237</c:v>
                </c:pt>
                <c:pt idx="13">
                  <c:v>204.13184000813985</c:v>
                </c:pt>
                <c:pt idx="14">
                  <c:v>204.94039073630029</c:v>
                </c:pt>
                <c:pt idx="15">
                  <c:v>204.85349334338304</c:v>
                </c:pt>
                <c:pt idx="16">
                  <c:v>204.63949330445243</c:v>
                </c:pt>
                <c:pt idx="17">
                  <c:v>204.40152673196758</c:v>
                </c:pt>
                <c:pt idx="18">
                  <c:v>204.13924063194656</c:v>
                </c:pt>
                <c:pt idx="19">
                  <c:v>203.82665158922995</c:v>
                </c:pt>
                <c:pt idx="20">
                  <c:v>203.56885543846553</c:v>
                </c:pt>
                <c:pt idx="21">
                  <c:v>203.27728686113815</c:v>
                </c:pt>
                <c:pt idx="22">
                  <c:v>202.95032653819572</c:v>
                </c:pt>
                <c:pt idx="23">
                  <c:v>202.59786560085078</c:v>
                </c:pt>
                <c:pt idx="24">
                  <c:v>202.22244531307098</c:v>
                </c:pt>
                <c:pt idx="25">
                  <c:v>201.77357034406313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21978293253883804"/>
          <c:y val="0.86822930790507791"/>
          <c:w val="0.63325760800170261"/>
          <c:h val="0.124256603178203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42.196828338056108</c:v>
                </c:pt>
                <c:pt idx="1">
                  <c:v>40.157793590397716</c:v>
                </c:pt>
                <c:pt idx="2">
                  <c:v>42.158812357681249</c:v>
                </c:pt>
                <c:pt idx="3">
                  <c:v>40.220008571488933</c:v>
                </c:pt>
                <c:pt idx="4">
                  <c:v>44.509399936783375</c:v>
                </c:pt>
                <c:pt idx="5">
                  <c:v>44.118542088264775</c:v>
                </c:pt>
                <c:pt idx="6">
                  <c:v>43.414107410739035</c:v>
                </c:pt>
                <c:pt idx="7">
                  <c:v>40.797111446298551</c:v>
                </c:pt>
                <c:pt idx="8">
                  <c:v>41.042582868132655</c:v>
                </c:pt>
                <c:pt idx="9">
                  <c:v>40.00309221645275</c:v>
                </c:pt>
                <c:pt idx="10">
                  <c:v>35.852641009177191</c:v>
                </c:pt>
                <c:pt idx="11">
                  <c:v>29.878830715706524</c:v>
                </c:pt>
                <c:pt idx="12">
                  <c:v>29.495009478393634</c:v>
                </c:pt>
                <c:pt idx="13">
                  <c:v>29.418064183315042</c:v>
                </c:pt>
                <c:pt idx="14">
                  <c:v>29.307179337760509</c:v>
                </c:pt>
                <c:pt idx="15">
                  <c:v>29.083326535737775</c:v>
                </c:pt>
                <c:pt idx="16">
                  <c:v>28.902771169205643</c:v>
                </c:pt>
                <c:pt idx="17">
                  <c:v>28.693752669281164</c:v>
                </c:pt>
                <c:pt idx="18">
                  <c:v>28.492193497682159</c:v>
                </c:pt>
                <c:pt idx="19">
                  <c:v>28.323992455153579</c:v>
                </c:pt>
                <c:pt idx="20">
                  <c:v>28.171050671431413</c:v>
                </c:pt>
                <c:pt idx="21">
                  <c:v>28.001747808305847</c:v>
                </c:pt>
                <c:pt idx="22">
                  <c:v>27.818479367184722</c:v>
                </c:pt>
                <c:pt idx="23">
                  <c:v>27.623494512772897</c:v>
                </c:pt>
                <c:pt idx="24">
                  <c:v>27.442266792784615</c:v>
                </c:pt>
                <c:pt idx="25">
                  <c:v>27.25894477799643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479.23372822911864</c:v>
                </c:pt>
                <c:pt idx="1">
                  <c:v>456.83832314596731</c:v>
                </c:pt>
                <c:pt idx="2">
                  <c:v>464.89939477614735</c:v>
                </c:pt>
                <c:pt idx="3">
                  <c:v>489.48058362295728</c:v>
                </c:pt>
                <c:pt idx="4">
                  <c:v>499.73616321499532</c:v>
                </c:pt>
                <c:pt idx="5">
                  <c:v>502.07614358936502</c:v>
                </c:pt>
                <c:pt idx="6">
                  <c:v>505.93958655965355</c:v>
                </c:pt>
                <c:pt idx="7">
                  <c:v>508.15486854145337</c:v>
                </c:pt>
                <c:pt idx="8">
                  <c:v>512.17445887213421</c:v>
                </c:pt>
                <c:pt idx="9">
                  <c:v>531.01456294318496</c:v>
                </c:pt>
                <c:pt idx="10">
                  <c:v>487.63253962385613</c:v>
                </c:pt>
                <c:pt idx="11">
                  <c:v>498.89874723106061</c:v>
                </c:pt>
                <c:pt idx="12">
                  <c:v>497.50097595467412</c:v>
                </c:pt>
                <c:pt idx="13">
                  <c:v>499.56240158270111</c:v>
                </c:pt>
                <c:pt idx="14">
                  <c:v>501.42402496196593</c:v>
                </c:pt>
                <c:pt idx="15">
                  <c:v>501.40009325993185</c:v>
                </c:pt>
                <c:pt idx="16">
                  <c:v>500.61775068945173</c:v>
                </c:pt>
                <c:pt idx="17">
                  <c:v>499.8805819526458</c:v>
                </c:pt>
                <c:pt idx="18">
                  <c:v>499.64540632227909</c:v>
                </c:pt>
                <c:pt idx="19">
                  <c:v>499.30751945562525</c:v>
                </c:pt>
                <c:pt idx="20">
                  <c:v>499.28645943176622</c:v>
                </c:pt>
                <c:pt idx="21">
                  <c:v>499.42275098427223</c:v>
                </c:pt>
                <c:pt idx="22">
                  <c:v>499.49655130492954</c:v>
                </c:pt>
                <c:pt idx="23">
                  <c:v>499.31810286644259</c:v>
                </c:pt>
                <c:pt idx="24">
                  <c:v>499.16211778757975</c:v>
                </c:pt>
                <c:pt idx="25">
                  <c:v>499.44682814922436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416243654822857"/>
          <c:y val="0.9080890503729"/>
          <c:w val="0.71065989847718092"/>
          <c:h val="8.6397136371510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484.91268706293999</c:v>
                </c:pt>
                <c:pt idx="1">
                  <c:v>533.09998041850906</c:v>
                </c:pt>
                <c:pt idx="2">
                  <c:v>568.54486103069507</c:v>
                </c:pt>
                <c:pt idx="3">
                  <c:v>573.08535979979274</c:v>
                </c:pt>
                <c:pt idx="4">
                  <c:v>608.60227928882136</c:v>
                </c:pt>
                <c:pt idx="5">
                  <c:v>626.46199201398156</c:v>
                </c:pt>
                <c:pt idx="6">
                  <c:v>651.56462829229156</c:v>
                </c:pt>
                <c:pt idx="7">
                  <c:v>684.12708373224348</c:v>
                </c:pt>
                <c:pt idx="8">
                  <c:v>703.58419074351627</c:v>
                </c:pt>
                <c:pt idx="9">
                  <c:v>724.87092538366153</c:v>
                </c:pt>
                <c:pt idx="10">
                  <c:v>725.07323238495474</c:v>
                </c:pt>
                <c:pt idx="11">
                  <c:v>716.07898916102977</c:v>
                </c:pt>
                <c:pt idx="12">
                  <c:v>725.62624018946804</c:v>
                </c:pt>
                <c:pt idx="13">
                  <c:v>736.14297765886704</c:v>
                </c:pt>
                <c:pt idx="14">
                  <c:v>746.11799124155402</c:v>
                </c:pt>
                <c:pt idx="15">
                  <c:v>754.09062631299162</c:v>
                </c:pt>
                <c:pt idx="16">
                  <c:v>761.50454998110922</c:v>
                </c:pt>
                <c:pt idx="17">
                  <c:v>768.1248155682681</c:v>
                </c:pt>
                <c:pt idx="18">
                  <c:v>774.69862539016231</c:v>
                </c:pt>
                <c:pt idx="19">
                  <c:v>781.42861982076579</c:v>
                </c:pt>
                <c:pt idx="20">
                  <c:v>788.50536549929484</c:v>
                </c:pt>
                <c:pt idx="21">
                  <c:v>795.55737467618906</c:v>
                </c:pt>
                <c:pt idx="22">
                  <c:v>802.83940953814295</c:v>
                </c:pt>
                <c:pt idx="23">
                  <c:v>810.03071755065321</c:v>
                </c:pt>
                <c:pt idx="24">
                  <c:v>816.68140143362416</c:v>
                </c:pt>
                <c:pt idx="25">
                  <c:v>825.42675998664572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1308.236302314785</c:v>
                </c:pt>
                <c:pt idx="1">
                  <c:v>1296.4197549564126</c:v>
                </c:pt>
                <c:pt idx="2">
                  <c:v>1352.9246183709249</c:v>
                </c:pt>
                <c:pt idx="3">
                  <c:v>1404.1038491932782</c:v>
                </c:pt>
                <c:pt idx="4">
                  <c:v>1504.5210766820665</c:v>
                </c:pt>
                <c:pt idx="5">
                  <c:v>1516.4657958964276</c:v>
                </c:pt>
                <c:pt idx="6">
                  <c:v>1612.9155240530285</c:v>
                </c:pt>
                <c:pt idx="7">
                  <c:v>1632.192516760005</c:v>
                </c:pt>
                <c:pt idx="8">
                  <c:v>1691.7018089378194</c:v>
                </c:pt>
                <c:pt idx="9">
                  <c:v>1741.1553147238617</c:v>
                </c:pt>
                <c:pt idx="10">
                  <c:v>1814.2132888802114</c:v>
                </c:pt>
                <c:pt idx="11">
                  <c:v>1886.6963946534734</c:v>
                </c:pt>
                <c:pt idx="12">
                  <c:v>1907.670788573525</c:v>
                </c:pt>
                <c:pt idx="13">
                  <c:v>1932.5719499671929</c:v>
                </c:pt>
                <c:pt idx="14">
                  <c:v>1957.1478133840901</c:v>
                </c:pt>
                <c:pt idx="15">
                  <c:v>1977.1952508240422</c:v>
                </c:pt>
                <c:pt idx="16">
                  <c:v>1995.1513524548589</c:v>
                </c:pt>
                <c:pt idx="17">
                  <c:v>2011.2351612090361</c:v>
                </c:pt>
                <c:pt idx="18">
                  <c:v>2026.5723031389095</c:v>
                </c:pt>
                <c:pt idx="19">
                  <c:v>2042.2013696198669</c:v>
                </c:pt>
                <c:pt idx="20">
                  <c:v>2058.5067993717703</c:v>
                </c:pt>
                <c:pt idx="21">
                  <c:v>2074.9755015130163</c:v>
                </c:pt>
                <c:pt idx="22">
                  <c:v>2091.6384526268998</c:v>
                </c:pt>
                <c:pt idx="23">
                  <c:v>2108.4646128812474</c:v>
                </c:pt>
                <c:pt idx="24">
                  <c:v>2125.1424202536891</c:v>
                </c:pt>
                <c:pt idx="25">
                  <c:v>2142.3646973245973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809.40001966628608</c:v>
                </c:pt>
                <c:pt idx="1">
                  <c:v>824.10541521622531</c:v>
                </c:pt>
                <c:pt idx="2">
                  <c:v>885.34839239749022</c:v>
                </c:pt>
                <c:pt idx="3">
                  <c:v>885.46344658180055</c:v>
                </c:pt>
                <c:pt idx="4">
                  <c:v>953.77061088907988</c:v>
                </c:pt>
                <c:pt idx="5">
                  <c:v>971.86115815232506</c:v>
                </c:pt>
                <c:pt idx="6">
                  <c:v>1005.8210930211121</c:v>
                </c:pt>
                <c:pt idx="7">
                  <c:v>1030.3947243561606</c:v>
                </c:pt>
                <c:pt idx="8">
                  <c:v>1046.1972372910579</c:v>
                </c:pt>
                <c:pt idx="9">
                  <c:v>1034.9176447412417</c:v>
                </c:pt>
                <c:pt idx="10">
                  <c:v>1085.4779270290016</c:v>
                </c:pt>
                <c:pt idx="11">
                  <c:v>1040.2909160493814</c:v>
                </c:pt>
                <c:pt idx="12">
                  <c:v>1052.6200623682466</c:v>
                </c:pt>
                <c:pt idx="13">
                  <c:v>1064.6226403745129</c:v>
                </c:pt>
                <c:pt idx="14">
                  <c:v>1075.4226605557101</c:v>
                </c:pt>
                <c:pt idx="15">
                  <c:v>1083.2466314386847</c:v>
                </c:pt>
                <c:pt idx="16">
                  <c:v>1090.4667663745026</c:v>
                </c:pt>
                <c:pt idx="17">
                  <c:v>1097.3745677610077</c:v>
                </c:pt>
                <c:pt idx="18">
                  <c:v>1104.0900729970685</c:v>
                </c:pt>
                <c:pt idx="19">
                  <c:v>1110.3909635035334</c:v>
                </c:pt>
                <c:pt idx="20">
                  <c:v>1117.2662576478333</c:v>
                </c:pt>
                <c:pt idx="21">
                  <c:v>1123.8795629081255</c:v>
                </c:pt>
                <c:pt idx="22">
                  <c:v>1130.6985212532022</c:v>
                </c:pt>
                <c:pt idx="23">
                  <c:v>1137.4709887671809</c:v>
                </c:pt>
                <c:pt idx="24">
                  <c:v>1144.3370048067491</c:v>
                </c:pt>
                <c:pt idx="25">
                  <c:v>1150.8686915396661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481.65468856027388</c:v>
                </c:pt>
                <c:pt idx="1">
                  <c:v>477.12579922469456</c:v>
                </c:pt>
                <c:pt idx="2">
                  <c:v>489.11853387501219</c:v>
                </c:pt>
                <c:pt idx="3">
                  <c:v>478.95953559711711</c:v>
                </c:pt>
                <c:pt idx="4">
                  <c:v>494.47534161615602</c:v>
                </c:pt>
                <c:pt idx="5">
                  <c:v>501.70362823889116</c:v>
                </c:pt>
                <c:pt idx="6">
                  <c:v>486.71581568778072</c:v>
                </c:pt>
                <c:pt idx="7">
                  <c:v>508.45150389495933</c:v>
                </c:pt>
                <c:pt idx="8">
                  <c:v>494.51262068171582</c:v>
                </c:pt>
                <c:pt idx="9">
                  <c:v>484.92988937825146</c:v>
                </c:pt>
                <c:pt idx="10">
                  <c:v>492.35763075020748</c:v>
                </c:pt>
                <c:pt idx="11">
                  <c:v>474.17906602981225</c:v>
                </c:pt>
                <c:pt idx="12">
                  <c:v>467.98909240438678</c:v>
                </c:pt>
                <c:pt idx="13">
                  <c:v>463.55857818141124</c:v>
                </c:pt>
                <c:pt idx="14">
                  <c:v>458.76858014163724</c:v>
                </c:pt>
                <c:pt idx="15">
                  <c:v>453.8553569293</c:v>
                </c:pt>
                <c:pt idx="16">
                  <c:v>449.49393853195875</c:v>
                </c:pt>
                <c:pt idx="17">
                  <c:v>445.45668705957212</c:v>
                </c:pt>
                <c:pt idx="18">
                  <c:v>441.69159158035507</c:v>
                </c:pt>
                <c:pt idx="19">
                  <c:v>438.18319254953713</c:v>
                </c:pt>
                <c:pt idx="20">
                  <c:v>434.47738432783649</c:v>
                </c:pt>
                <c:pt idx="21">
                  <c:v>430.61411472878348</c:v>
                </c:pt>
                <c:pt idx="22">
                  <c:v>426.49830320027422</c:v>
                </c:pt>
                <c:pt idx="23">
                  <c:v>422.85418200684234</c:v>
                </c:pt>
                <c:pt idx="24">
                  <c:v>420.25739199357849</c:v>
                </c:pt>
                <c:pt idx="25">
                  <c:v>414.15179836218863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355.06572220671603</c:v>
                </c:pt>
                <c:pt idx="1">
                  <c:v>357.0660989685714</c:v>
                </c:pt>
                <c:pt idx="2">
                  <c:v>376.47838666140717</c:v>
                </c:pt>
                <c:pt idx="3">
                  <c:v>400.14748023702634</c:v>
                </c:pt>
                <c:pt idx="4">
                  <c:v>425.16866054581766</c:v>
                </c:pt>
                <c:pt idx="5">
                  <c:v>438.29484433198445</c:v>
                </c:pt>
                <c:pt idx="6">
                  <c:v>441.15438091770807</c:v>
                </c:pt>
                <c:pt idx="7">
                  <c:v>450.5629720278373</c:v>
                </c:pt>
                <c:pt idx="8">
                  <c:v>423.4654736836701</c:v>
                </c:pt>
                <c:pt idx="9">
                  <c:v>424.38222625246044</c:v>
                </c:pt>
                <c:pt idx="10">
                  <c:v>361.80344341909864</c:v>
                </c:pt>
                <c:pt idx="11">
                  <c:v>371.88870145721785</c:v>
                </c:pt>
                <c:pt idx="12">
                  <c:v>375.21700434547438</c:v>
                </c:pt>
                <c:pt idx="13">
                  <c:v>381.64258483174785</c:v>
                </c:pt>
                <c:pt idx="14">
                  <c:v>386.85477968981604</c:v>
                </c:pt>
                <c:pt idx="15">
                  <c:v>389.33143485034384</c:v>
                </c:pt>
                <c:pt idx="16">
                  <c:v>391.46746360173518</c:v>
                </c:pt>
                <c:pt idx="17">
                  <c:v>393.94813042920941</c:v>
                </c:pt>
                <c:pt idx="18">
                  <c:v>395.88938046103709</c:v>
                </c:pt>
                <c:pt idx="19">
                  <c:v>397.69426014136127</c:v>
                </c:pt>
                <c:pt idx="20">
                  <c:v>399.66938295011187</c:v>
                </c:pt>
                <c:pt idx="21">
                  <c:v>401.5534661231124</c:v>
                </c:pt>
                <c:pt idx="22">
                  <c:v>403.37422808062388</c:v>
                </c:pt>
                <c:pt idx="23">
                  <c:v>405.13167696673139</c:v>
                </c:pt>
                <c:pt idx="24">
                  <c:v>406.45101311399429</c:v>
                </c:pt>
                <c:pt idx="25">
                  <c:v>408.56497115717872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322.21003427170388</c:v>
                </c:pt>
                <c:pt idx="1">
                  <c:v>317.80118407114378</c:v>
                </c:pt>
                <c:pt idx="2">
                  <c:v>319.58459743370594</c:v>
                </c:pt>
                <c:pt idx="3">
                  <c:v>346.44597898419721</c:v>
                </c:pt>
                <c:pt idx="4">
                  <c:v>357.39693058714789</c:v>
                </c:pt>
                <c:pt idx="5">
                  <c:v>359.12796442293251</c:v>
                </c:pt>
                <c:pt idx="6">
                  <c:v>378.15350391398493</c:v>
                </c:pt>
                <c:pt idx="7">
                  <c:v>383.35402358461522</c:v>
                </c:pt>
                <c:pt idx="8">
                  <c:v>369.30512142004136</c:v>
                </c:pt>
                <c:pt idx="9">
                  <c:v>380.19703695698433</c:v>
                </c:pt>
                <c:pt idx="10">
                  <c:v>358.39420959597021</c:v>
                </c:pt>
                <c:pt idx="11">
                  <c:v>370.85574629487388</c:v>
                </c:pt>
                <c:pt idx="12">
                  <c:v>374.52371514845811</c:v>
                </c:pt>
                <c:pt idx="13">
                  <c:v>378.27145245962282</c:v>
                </c:pt>
                <c:pt idx="14">
                  <c:v>382.06535067467576</c:v>
                </c:pt>
                <c:pt idx="15">
                  <c:v>384.84661935634091</c:v>
                </c:pt>
                <c:pt idx="16">
                  <c:v>387.31312294270759</c:v>
                </c:pt>
                <c:pt idx="17">
                  <c:v>389.5608710609938</c:v>
                </c:pt>
                <c:pt idx="18">
                  <c:v>391.93059548616066</c:v>
                </c:pt>
                <c:pt idx="19">
                  <c:v>394.00556121827185</c:v>
                </c:pt>
                <c:pt idx="20">
                  <c:v>396.2453741703676</c:v>
                </c:pt>
                <c:pt idx="21">
                  <c:v>398.50745020422369</c:v>
                </c:pt>
                <c:pt idx="22">
                  <c:v>400.85676477223404</c:v>
                </c:pt>
                <c:pt idx="23">
                  <c:v>403.23278640052166</c:v>
                </c:pt>
                <c:pt idx="24">
                  <c:v>405.76400410891119</c:v>
                </c:pt>
                <c:pt idx="25">
                  <c:v>408.44811050129965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350.0299371237848</c:v>
                </c:pt>
                <c:pt idx="1">
                  <c:v>356.74152020819344</c:v>
                </c:pt>
                <c:pt idx="2">
                  <c:v>384.66871900334075</c:v>
                </c:pt>
                <c:pt idx="3">
                  <c:v>373.38691533905063</c:v>
                </c:pt>
                <c:pt idx="4">
                  <c:v>379.92658471943082</c:v>
                </c:pt>
                <c:pt idx="5">
                  <c:v>395.77466112139808</c:v>
                </c:pt>
                <c:pt idx="6">
                  <c:v>383.09390660870918</c:v>
                </c:pt>
                <c:pt idx="7">
                  <c:v>385.53198220469778</c:v>
                </c:pt>
                <c:pt idx="8">
                  <c:v>392.77356423311858</c:v>
                </c:pt>
                <c:pt idx="9">
                  <c:v>368.27398378397208</c:v>
                </c:pt>
                <c:pt idx="10">
                  <c:v>362.02446825408657</c:v>
                </c:pt>
                <c:pt idx="11">
                  <c:v>360.54787418408853</c:v>
                </c:pt>
                <c:pt idx="12">
                  <c:v>360.07974126531803</c:v>
                </c:pt>
                <c:pt idx="13">
                  <c:v>361.58469144129424</c:v>
                </c:pt>
                <c:pt idx="14">
                  <c:v>362.82256373902766</c:v>
                </c:pt>
                <c:pt idx="15">
                  <c:v>363.25597157186576</c:v>
                </c:pt>
                <c:pt idx="16">
                  <c:v>363.2344305646684</c:v>
                </c:pt>
                <c:pt idx="17">
                  <c:v>363.23184614663194</c:v>
                </c:pt>
                <c:pt idx="18">
                  <c:v>363.17140564159291</c:v>
                </c:pt>
                <c:pt idx="19">
                  <c:v>363.05345624298491</c:v>
                </c:pt>
                <c:pt idx="20">
                  <c:v>362.87909302765178</c:v>
                </c:pt>
                <c:pt idx="21">
                  <c:v>362.61364912730255</c:v>
                </c:pt>
                <c:pt idx="22">
                  <c:v>362.30471152489497</c:v>
                </c:pt>
                <c:pt idx="23">
                  <c:v>362.02051943650406</c:v>
                </c:pt>
                <c:pt idx="24">
                  <c:v>361.625264141201</c:v>
                </c:pt>
                <c:pt idx="25">
                  <c:v>361.43165928598194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190.87405222499919</c:v>
                </c:pt>
                <c:pt idx="1">
                  <c:v>193.95313020418735</c:v>
                </c:pt>
                <c:pt idx="2">
                  <c:v>199.13168409867663</c:v>
                </c:pt>
                <c:pt idx="3">
                  <c:v>200.95084207792323</c:v>
                </c:pt>
                <c:pt idx="4">
                  <c:v>216.65195252208616</c:v>
                </c:pt>
                <c:pt idx="5">
                  <c:v>217.67127014853645</c:v>
                </c:pt>
                <c:pt idx="6">
                  <c:v>229.40245353858819</c:v>
                </c:pt>
                <c:pt idx="7">
                  <c:v>241.43921344559234</c:v>
                </c:pt>
                <c:pt idx="8">
                  <c:v>228.7509412649693</c:v>
                </c:pt>
                <c:pt idx="9">
                  <c:v>240.37232361819181</c:v>
                </c:pt>
                <c:pt idx="10">
                  <c:v>214.5516190587644</c:v>
                </c:pt>
                <c:pt idx="11">
                  <c:v>237.85173423382386</c:v>
                </c:pt>
                <c:pt idx="12">
                  <c:v>240.01337027983007</c:v>
                </c:pt>
                <c:pt idx="13">
                  <c:v>241.86865932729521</c:v>
                </c:pt>
                <c:pt idx="14">
                  <c:v>242.96105628298133</c:v>
                </c:pt>
                <c:pt idx="15">
                  <c:v>242.99268893146032</c:v>
                </c:pt>
                <c:pt idx="16">
                  <c:v>242.8718537015568</c:v>
                </c:pt>
                <c:pt idx="17">
                  <c:v>242.70758615636953</c:v>
                </c:pt>
                <c:pt idx="18">
                  <c:v>242.62842550126373</c:v>
                </c:pt>
                <c:pt idx="19">
                  <c:v>242.55806500864728</c:v>
                </c:pt>
                <c:pt idx="20">
                  <c:v>242.58383291934507</c:v>
                </c:pt>
                <c:pt idx="21">
                  <c:v>242.58438194130417</c:v>
                </c:pt>
                <c:pt idx="22">
                  <c:v>242.67857834887101</c:v>
                </c:pt>
                <c:pt idx="23">
                  <c:v>242.78391862859857</c:v>
                </c:pt>
                <c:pt idx="24">
                  <c:v>242.81911558426575</c:v>
                </c:pt>
                <c:pt idx="25">
                  <c:v>242.77253892268169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521.43055656717479</c:v>
                </c:pt>
                <c:pt idx="1">
                  <c:v>496.99611673636502</c:v>
                </c:pt>
                <c:pt idx="2">
                  <c:v>507.0582071338286</c:v>
                </c:pt>
                <c:pt idx="3">
                  <c:v>529.70059219444624</c:v>
                </c:pt>
                <c:pt idx="4">
                  <c:v>544.2455631517787</c:v>
                </c:pt>
                <c:pt idx="5">
                  <c:v>546.19468567762976</c:v>
                </c:pt>
                <c:pt idx="6">
                  <c:v>549.35369397039256</c:v>
                </c:pt>
                <c:pt idx="7">
                  <c:v>548.95197998775188</c:v>
                </c:pt>
                <c:pt idx="8">
                  <c:v>553.21704174026684</c:v>
                </c:pt>
                <c:pt idx="9">
                  <c:v>571.01765515963768</c:v>
                </c:pt>
                <c:pt idx="10">
                  <c:v>523.48518063303334</c:v>
                </c:pt>
                <c:pt idx="11">
                  <c:v>528.77757794676711</c:v>
                </c:pt>
                <c:pt idx="12">
                  <c:v>526.99598543306774</c:v>
                </c:pt>
                <c:pt idx="13">
                  <c:v>528.98046576601621</c:v>
                </c:pt>
                <c:pt idx="14">
                  <c:v>530.73120429972641</c:v>
                </c:pt>
                <c:pt idx="15">
                  <c:v>530.48341979566965</c:v>
                </c:pt>
                <c:pt idx="16">
                  <c:v>529.52052185865739</c:v>
                </c:pt>
                <c:pt idx="17">
                  <c:v>528.57433462192694</c:v>
                </c:pt>
                <c:pt idx="18">
                  <c:v>528.13759981996122</c:v>
                </c:pt>
                <c:pt idx="19">
                  <c:v>527.63151191077884</c:v>
                </c:pt>
                <c:pt idx="20">
                  <c:v>527.45751010319759</c:v>
                </c:pt>
                <c:pt idx="21">
                  <c:v>527.42449879257811</c:v>
                </c:pt>
                <c:pt idx="22">
                  <c:v>527.31503067211429</c:v>
                </c:pt>
                <c:pt idx="23">
                  <c:v>526.94159737921552</c:v>
                </c:pt>
                <c:pt idx="24">
                  <c:v>526.60438458036435</c:v>
                </c:pt>
                <c:pt idx="25">
                  <c:v>526.70577292722078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484.91268706293999</c:v>
                </c:pt>
                <c:pt idx="1">
                  <c:v>533.09998041850906</c:v>
                </c:pt>
                <c:pt idx="2">
                  <c:v>568.54486103069507</c:v>
                </c:pt>
                <c:pt idx="3">
                  <c:v>573.08535979979274</c:v>
                </c:pt>
                <c:pt idx="4">
                  <c:v>608.60227928882136</c:v>
                </c:pt>
                <c:pt idx="5">
                  <c:v>626.46199201398156</c:v>
                </c:pt>
                <c:pt idx="6">
                  <c:v>651.56462829229156</c:v>
                </c:pt>
                <c:pt idx="7">
                  <c:v>684.12708373224348</c:v>
                </c:pt>
                <c:pt idx="8">
                  <c:v>703.58419074351627</c:v>
                </c:pt>
                <c:pt idx="9">
                  <c:v>724.87092538366153</c:v>
                </c:pt>
                <c:pt idx="10">
                  <c:v>725.07323238495474</c:v>
                </c:pt>
                <c:pt idx="11">
                  <c:v>716.07898916102977</c:v>
                </c:pt>
                <c:pt idx="12">
                  <c:v>725.62624018946804</c:v>
                </c:pt>
                <c:pt idx="13">
                  <c:v>736.14297765886704</c:v>
                </c:pt>
                <c:pt idx="14">
                  <c:v>746.11799124155402</c:v>
                </c:pt>
                <c:pt idx="15">
                  <c:v>754.09062631299162</c:v>
                </c:pt>
                <c:pt idx="16">
                  <c:v>761.50454998110922</c:v>
                </c:pt>
                <c:pt idx="17">
                  <c:v>768.1248155682681</c:v>
                </c:pt>
                <c:pt idx="18">
                  <c:v>774.69862539016231</c:v>
                </c:pt>
                <c:pt idx="19">
                  <c:v>781.42861982076579</c:v>
                </c:pt>
                <c:pt idx="20">
                  <c:v>788.50536549929484</c:v>
                </c:pt>
                <c:pt idx="21">
                  <c:v>795.55737467618906</c:v>
                </c:pt>
                <c:pt idx="22">
                  <c:v>802.83940953814295</c:v>
                </c:pt>
                <c:pt idx="23">
                  <c:v>810.03071755065321</c:v>
                </c:pt>
                <c:pt idx="24">
                  <c:v>816.68140143362416</c:v>
                </c:pt>
                <c:pt idx="25">
                  <c:v>825.42675998664572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1308.236302314785</c:v>
                </c:pt>
                <c:pt idx="1">
                  <c:v>1296.4197549564126</c:v>
                </c:pt>
                <c:pt idx="2">
                  <c:v>1352.9246183709249</c:v>
                </c:pt>
                <c:pt idx="3">
                  <c:v>1404.1038491932782</c:v>
                </c:pt>
                <c:pt idx="4">
                  <c:v>1504.5210766820665</c:v>
                </c:pt>
                <c:pt idx="5">
                  <c:v>1516.4657958964276</c:v>
                </c:pt>
                <c:pt idx="6">
                  <c:v>1612.9155240530285</c:v>
                </c:pt>
                <c:pt idx="7">
                  <c:v>1632.192516760005</c:v>
                </c:pt>
                <c:pt idx="8">
                  <c:v>1691.7018089378194</c:v>
                </c:pt>
                <c:pt idx="9">
                  <c:v>1741.1553147238617</c:v>
                </c:pt>
                <c:pt idx="10">
                  <c:v>1814.2132888802114</c:v>
                </c:pt>
                <c:pt idx="11">
                  <c:v>1886.6963946534734</c:v>
                </c:pt>
                <c:pt idx="12">
                  <c:v>1907.670788573525</c:v>
                </c:pt>
                <c:pt idx="13">
                  <c:v>1932.5719499671929</c:v>
                </c:pt>
                <c:pt idx="14">
                  <c:v>1957.1478133840901</c:v>
                </c:pt>
                <c:pt idx="15">
                  <c:v>1977.1952508240422</c:v>
                </c:pt>
                <c:pt idx="16">
                  <c:v>1995.1513524548589</c:v>
                </c:pt>
                <c:pt idx="17">
                  <c:v>2011.2351612090361</c:v>
                </c:pt>
                <c:pt idx="18">
                  <c:v>2026.5723031389095</c:v>
                </c:pt>
                <c:pt idx="19">
                  <c:v>2042.2013696198669</c:v>
                </c:pt>
                <c:pt idx="20">
                  <c:v>2058.5067993717703</c:v>
                </c:pt>
                <c:pt idx="21">
                  <c:v>2074.9755015130163</c:v>
                </c:pt>
                <c:pt idx="22">
                  <c:v>2091.6384526268998</c:v>
                </c:pt>
                <c:pt idx="23">
                  <c:v>2108.4646128812474</c:v>
                </c:pt>
                <c:pt idx="24">
                  <c:v>2125.1424202536891</c:v>
                </c:pt>
                <c:pt idx="25">
                  <c:v>2142.3646973245973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809.40001966628608</c:v>
                </c:pt>
                <c:pt idx="1">
                  <c:v>824.10541521622531</c:v>
                </c:pt>
                <c:pt idx="2">
                  <c:v>885.34839239749022</c:v>
                </c:pt>
                <c:pt idx="3">
                  <c:v>885.46344658180055</c:v>
                </c:pt>
                <c:pt idx="4">
                  <c:v>953.77061088907988</c:v>
                </c:pt>
                <c:pt idx="5">
                  <c:v>971.86115815232506</c:v>
                </c:pt>
                <c:pt idx="6">
                  <c:v>1005.8210930211121</c:v>
                </c:pt>
                <c:pt idx="7">
                  <c:v>1030.3947243561606</c:v>
                </c:pt>
                <c:pt idx="8">
                  <c:v>1046.1972372910579</c:v>
                </c:pt>
                <c:pt idx="9">
                  <c:v>1034.9176447412417</c:v>
                </c:pt>
                <c:pt idx="10">
                  <c:v>1085.4779270290016</c:v>
                </c:pt>
                <c:pt idx="11">
                  <c:v>1040.2909160493814</c:v>
                </c:pt>
                <c:pt idx="12">
                  <c:v>1052.6200623682466</c:v>
                </c:pt>
                <c:pt idx="13">
                  <c:v>1064.6226403745129</c:v>
                </c:pt>
                <c:pt idx="14">
                  <c:v>1075.4226605557101</c:v>
                </c:pt>
                <c:pt idx="15">
                  <c:v>1083.2466314386847</c:v>
                </c:pt>
                <c:pt idx="16">
                  <c:v>1090.4667663745026</c:v>
                </c:pt>
                <c:pt idx="17">
                  <c:v>1097.3745677610077</c:v>
                </c:pt>
                <c:pt idx="18">
                  <c:v>1104.0900729970685</c:v>
                </c:pt>
                <c:pt idx="19">
                  <c:v>1110.3909635035334</c:v>
                </c:pt>
                <c:pt idx="20">
                  <c:v>1117.2662576478333</c:v>
                </c:pt>
                <c:pt idx="21">
                  <c:v>1123.8795629081255</c:v>
                </c:pt>
                <c:pt idx="22">
                  <c:v>1130.6985212532022</c:v>
                </c:pt>
                <c:pt idx="23">
                  <c:v>1137.4709887671809</c:v>
                </c:pt>
                <c:pt idx="24">
                  <c:v>1144.3370048067491</c:v>
                </c:pt>
                <c:pt idx="25">
                  <c:v>1150.8686915396661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481.65468856027388</c:v>
                </c:pt>
                <c:pt idx="1">
                  <c:v>477.12579922469456</c:v>
                </c:pt>
                <c:pt idx="2">
                  <c:v>489.11853387501219</c:v>
                </c:pt>
                <c:pt idx="3">
                  <c:v>478.95953559711711</c:v>
                </c:pt>
                <c:pt idx="4">
                  <c:v>494.47534161615602</c:v>
                </c:pt>
                <c:pt idx="5">
                  <c:v>501.70362823889116</c:v>
                </c:pt>
                <c:pt idx="6">
                  <c:v>486.71581568778072</c:v>
                </c:pt>
                <c:pt idx="7">
                  <c:v>508.45150389495933</c:v>
                </c:pt>
                <c:pt idx="8">
                  <c:v>494.51262068171582</c:v>
                </c:pt>
                <c:pt idx="9">
                  <c:v>484.92988937825146</c:v>
                </c:pt>
                <c:pt idx="10">
                  <c:v>492.35763075020748</c:v>
                </c:pt>
                <c:pt idx="11">
                  <c:v>474.17906602981225</c:v>
                </c:pt>
                <c:pt idx="12">
                  <c:v>467.98909240438678</c:v>
                </c:pt>
                <c:pt idx="13">
                  <c:v>463.55857818141124</c:v>
                </c:pt>
                <c:pt idx="14">
                  <c:v>458.76858014163724</c:v>
                </c:pt>
                <c:pt idx="15">
                  <c:v>453.8553569293</c:v>
                </c:pt>
                <c:pt idx="16">
                  <c:v>449.49393853195875</c:v>
                </c:pt>
                <c:pt idx="17">
                  <c:v>445.45668705957212</c:v>
                </c:pt>
                <c:pt idx="18">
                  <c:v>441.69159158035507</c:v>
                </c:pt>
                <c:pt idx="19">
                  <c:v>438.18319254953713</c:v>
                </c:pt>
                <c:pt idx="20">
                  <c:v>434.47738432783649</c:v>
                </c:pt>
                <c:pt idx="21">
                  <c:v>430.61411472878348</c:v>
                </c:pt>
                <c:pt idx="22">
                  <c:v>426.49830320027422</c:v>
                </c:pt>
                <c:pt idx="23">
                  <c:v>422.85418200684234</c:v>
                </c:pt>
                <c:pt idx="24">
                  <c:v>420.25739199357849</c:v>
                </c:pt>
                <c:pt idx="25">
                  <c:v>414.15179836218863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355.06572220671603</c:v>
                </c:pt>
                <c:pt idx="1">
                  <c:v>357.0660989685714</c:v>
                </c:pt>
                <c:pt idx="2">
                  <c:v>376.47838666140717</c:v>
                </c:pt>
                <c:pt idx="3">
                  <c:v>400.14748023702634</c:v>
                </c:pt>
                <c:pt idx="4">
                  <c:v>425.16866054581766</c:v>
                </c:pt>
                <c:pt idx="5">
                  <c:v>438.29484433198445</c:v>
                </c:pt>
                <c:pt idx="6">
                  <c:v>441.15438091770807</c:v>
                </c:pt>
                <c:pt idx="7">
                  <c:v>450.5629720278373</c:v>
                </c:pt>
                <c:pt idx="8">
                  <c:v>423.4654736836701</c:v>
                </c:pt>
                <c:pt idx="9">
                  <c:v>424.38222625246044</c:v>
                </c:pt>
                <c:pt idx="10">
                  <c:v>361.80344341909864</c:v>
                </c:pt>
                <c:pt idx="11">
                  <c:v>371.88870145721785</c:v>
                </c:pt>
                <c:pt idx="12">
                  <c:v>375.21700434547438</c:v>
                </c:pt>
                <c:pt idx="13">
                  <c:v>381.64258483174785</c:v>
                </c:pt>
                <c:pt idx="14">
                  <c:v>386.85477968981604</c:v>
                </c:pt>
                <c:pt idx="15">
                  <c:v>389.33143485034384</c:v>
                </c:pt>
                <c:pt idx="16">
                  <c:v>391.46746360173518</c:v>
                </c:pt>
                <c:pt idx="17">
                  <c:v>393.94813042920941</c:v>
                </c:pt>
                <c:pt idx="18">
                  <c:v>395.88938046103709</c:v>
                </c:pt>
                <c:pt idx="19">
                  <c:v>397.69426014136127</c:v>
                </c:pt>
                <c:pt idx="20">
                  <c:v>399.66938295011187</c:v>
                </c:pt>
                <c:pt idx="21">
                  <c:v>401.5534661231124</c:v>
                </c:pt>
                <c:pt idx="22">
                  <c:v>403.37422808062388</c:v>
                </c:pt>
                <c:pt idx="23">
                  <c:v>405.13167696673139</c:v>
                </c:pt>
                <c:pt idx="24">
                  <c:v>406.45101311399429</c:v>
                </c:pt>
                <c:pt idx="25">
                  <c:v>408.56497115717872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322.21003427170388</c:v>
                </c:pt>
                <c:pt idx="1">
                  <c:v>317.80118407114378</c:v>
                </c:pt>
                <c:pt idx="2">
                  <c:v>319.58459743370594</c:v>
                </c:pt>
                <c:pt idx="3">
                  <c:v>346.44597898419721</c:v>
                </c:pt>
                <c:pt idx="4">
                  <c:v>357.39693058714789</c:v>
                </c:pt>
                <c:pt idx="5">
                  <c:v>359.12796442293251</c:v>
                </c:pt>
                <c:pt idx="6">
                  <c:v>378.15350391398493</c:v>
                </c:pt>
                <c:pt idx="7">
                  <c:v>383.35402358461522</c:v>
                </c:pt>
                <c:pt idx="8">
                  <c:v>369.30512142004136</c:v>
                </c:pt>
                <c:pt idx="9">
                  <c:v>380.19703695698433</c:v>
                </c:pt>
                <c:pt idx="10">
                  <c:v>358.39420959597021</c:v>
                </c:pt>
                <c:pt idx="11">
                  <c:v>370.85574629487388</c:v>
                </c:pt>
                <c:pt idx="12">
                  <c:v>374.52371514845811</c:v>
                </c:pt>
                <c:pt idx="13">
                  <c:v>378.27145245962282</c:v>
                </c:pt>
                <c:pt idx="14">
                  <c:v>382.06535067467576</c:v>
                </c:pt>
                <c:pt idx="15">
                  <c:v>384.84661935634091</c:v>
                </c:pt>
                <c:pt idx="16">
                  <c:v>387.31312294270759</c:v>
                </c:pt>
                <c:pt idx="17">
                  <c:v>389.5608710609938</c:v>
                </c:pt>
                <c:pt idx="18">
                  <c:v>391.93059548616066</c:v>
                </c:pt>
                <c:pt idx="19">
                  <c:v>394.00556121827185</c:v>
                </c:pt>
                <c:pt idx="20">
                  <c:v>396.2453741703676</c:v>
                </c:pt>
                <c:pt idx="21">
                  <c:v>398.50745020422369</c:v>
                </c:pt>
                <c:pt idx="22">
                  <c:v>400.85676477223404</c:v>
                </c:pt>
                <c:pt idx="23">
                  <c:v>403.23278640052166</c:v>
                </c:pt>
                <c:pt idx="24">
                  <c:v>405.76400410891119</c:v>
                </c:pt>
                <c:pt idx="25">
                  <c:v>408.44811050129965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350.0299371237848</c:v>
                </c:pt>
                <c:pt idx="1">
                  <c:v>356.74152020819344</c:v>
                </c:pt>
                <c:pt idx="2">
                  <c:v>384.66871900334075</c:v>
                </c:pt>
                <c:pt idx="3">
                  <c:v>373.38691533905063</c:v>
                </c:pt>
                <c:pt idx="4">
                  <c:v>379.92658471943082</c:v>
                </c:pt>
                <c:pt idx="5">
                  <c:v>395.77466112139808</c:v>
                </c:pt>
                <c:pt idx="6">
                  <c:v>383.09390660870918</c:v>
                </c:pt>
                <c:pt idx="7">
                  <c:v>385.53198220469778</c:v>
                </c:pt>
                <c:pt idx="8">
                  <c:v>392.77356423311858</c:v>
                </c:pt>
                <c:pt idx="9">
                  <c:v>368.27398378397208</c:v>
                </c:pt>
                <c:pt idx="10">
                  <c:v>362.02446825408657</c:v>
                </c:pt>
                <c:pt idx="11">
                  <c:v>360.54787418408853</c:v>
                </c:pt>
                <c:pt idx="12">
                  <c:v>360.07974126531803</c:v>
                </c:pt>
                <c:pt idx="13">
                  <c:v>361.58469144129424</c:v>
                </c:pt>
                <c:pt idx="14">
                  <c:v>362.82256373902766</c:v>
                </c:pt>
                <c:pt idx="15">
                  <c:v>363.25597157186576</c:v>
                </c:pt>
                <c:pt idx="16">
                  <c:v>363.2344305646684</c:v>
                </c:pt>
                <c:pt idx="17">
                  <c:v>363.23184614663194</c:v>
                </c:pt>
                <c:pt idx="18">
                  <c:v>363.17140564159291</c:v>
                </c:pt>
                <c:pt idx="19">
                  <c:v>363.05345624298491</c:v>
                </c:pt>
                <c:pt idx="20">
                  <c:v>362.87909302765178</c:v>
                </c:pt>
                <c:pt idx="21">
                  <c:v>362.61364912730255</c:v>
                </c:pt>
                <c:pt idx="22">
                  <c:v>362.30471152489497</c:v>
                </c:pt>
                <c:pt idx="23">
                  <c:v>362.02051943650406</c:v>
                </c:pt>
                <c:pt idx="24">
                  <c:v>361.625264141201</c:v>
                </c:pt>
                <c:pt idx="25">
                  <c:v>361.43165928598194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190.87405222499919</c:v>
                </c:pt>
                <c:pt idx="1">
                  <c:v>193.95313020418735</c:v>
                </c:pt>
                <c:pt idx="2">
                  <c:v>199.13168409867663</c:v>
                </c:pt>
                <c:pt idx="3">
                  <c:v>200.95084207792323</c:v>
                </c:pt>
                <c:pt idx="4">
                  <c:v>216.65195252208616</c:v>
                </c:pt>
                <c:pt idx="5">
                  <c:v>217.67127014853645</c:v>
                </c:pt>
                <c:pt idx="6">
                  <c:v>229.40245353858819</c:v>
                </c:pt>
                <c:pt idx="7">
                  <c:v>241.43921344559234</c:v>
                </c:pt>
                <c:pt idx="8">
                  <c:v>228.7509412649693</c:v>
                </c:pt>
                <c:pt idx="9">
                  <c:v>240.37232361819181</c:v>
                </c:pt>
                <c:pt idx="10">
                  <c:v>214.5516190587644</c:v>
                </c:pt>
                <c:pt idx="11">
                  <c:v>237.85173423382386</c:v>
                </c:pt>
                <c:pt idx="12">
                  <c:v>240.01337027983007</c:v>
                </c:pt>
                <c:pt idx="13">
                  <c:v>241.86865932729521</c:v>
                </c:pt>
                <c:pt idx="14">
                  <c:v>242.96105628298133</c:v>
                </c:pt>
                <c:pt idx="15">
                  <c:v>242.99268893146032</c:v>
                </c:pt>
                <c:pt idx="16">
                  <c:v>242.8718537015568</c:v>
                </c:pt>
                <c:pt idx="17">
                  <c:v>242.70758615636953</c:v>
                </c:pt>
                <c:pt idx="18">
                  <c:v>242.62842550126373</c:v>
                </c:pt>
                <c:pt idx="19">
                  <c:v>242.55806500864728</c:v>
                </c:pt>
                <c:pt idx="20">
                  <c:v>242.58383291934507</c:v>
                </c:pt>
                <c:pt idx="21">
                  <c:v>242.58438194130417</c:v>
                </c:pt>
                <c:pt idx="22">
                  <c:v>242.67857834887101</c:v>
                </c:pt>
                <c:pt idx="23">
                  <c:v>242.78391862859857</c:v>
                </c:pt>
                <c:pt idx="24">
                  <c:v>242.81911558426575</c:v>
                </c:pt>
                <c:pt idx="25">
                  <c:v>242.77253892268169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521.43055656717479</c:v>
                </c:pt>
                <c:pt idx="1">
                  <c:v>496.99611673636502</c:v>
                </c:pt>
                <c:pt idx="2">
                  <c:v>507.0582071338286</c:v>
                </c:pt>
                <c:pt idx="3">
                  <c:v>529.70059219444624</c:v>
                </c:pt>
                <c:pt idx="4">
                  <c:v>544.2455631517787</c:v>
                </c:pt>
                <c:pt idx="5">
                  <c:v>546.19468567762976</c:v>
                </c:pt>
                <c:pt idx="6">
                  <c:v>549.35369397039256</c:v>
                </c:pt>
                <c:pt idx="7">
                  <c:v>548.95197998775188</c:v>
                </c:pt>
                <c:pt idx="8">
                  <c:v>553.21704174026684</c:v>
                </c:pt>
                <c:pt idx="9">
                  <c:v>571.01765515963768</c:v>
                </c:pt>
                <c:pt idx="10">
                  <c:v>523.48518063303334</c:v>
                </c:pt>
                <c:pt idx="11">
                  <c:v>528.77757794676711</c:v>
                </c:pt>
                <c:pt idx="12">
                  <c:v>526.99598543306774</c:v>
                </c:pt>
                <c:pt idx="13">
                  <c:v>528.98046576601621</c:v>
                </c:pt>
                <c:pt idx="14">
                  <c:v>530.73120429972641</c:v>
                </c:pt>
                <c:pt idx="15">
                  <c:v>530.48341979566965</c:v>
                </c:pt>
                <c:pt idx="16">
                  <c:v>529.52052185865739</c:v>
                </c:pt>
                <c:pt idx="17">
                  <c:v>528.57433462192694</c:v>
                </c:pt>
                <c:pt idx="18">
                  <c:v>528.13759981996122</c:v>
                </c:pt>
                <c:pt idx="19">
                  <c:v>527.63151191077884</c:v>
                </c:pt>
                <c:pt idx="20">
                  <c:v>527.45751010319759</c:v>
                </c:pt>
                <c:pt idx="21">
                  <c:v>527.42449879257811</c:v>
                </c:pt>
                <c:pt idx="22">
                  <c:v>527.31503067211429</c:v>
                </c:pt>
                <c:pt idx="23">
                  <c:v>526.94159737921552</c:v>
                </c:pt>
                <c:pt idx="24">
                  <c:v>526.60438458036435</c:v>
                </c:pt>
                <c:pt idx="25">
                  <c:v>526.70577292722078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825.42675998664572</c:v>
                </c:pt>
                <c:pt idx="1">
                  <c:v>2142.3646973245973</c:v>
                </c:pt>
                <c:pt idx="2">
                  <c:v>1150.8686915396661</c:v>
                </c:pt>
                <c:pt idx="3">
                  <c:v>414.15179836218863</c:v>
                </c:pt>
                <c:pt idx="4">
                  <c:v>408.56497115717872</c:v>
                </c:pt>
                <c:pt idx="5">
                  <c:v>408.44811050129965</c:v>
                </c:pt>
                <c:pt idx="6">
                  <c:v>361.43165928598194</c:v>
                </c:pt>
                <c:pt idx="7">
                  <c:v>242.77253892268169</c:v>
                </c:pt>
                <c:pt idx="8">
                  <c:v>526.70577292722078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725.07323238495474</c:v>
                </c:pt>
                <c:pt idx="1">
                  <c:v>1814.2132888802114</c:v>
                </c:pt>
                <c:pt idx="2">
                  <c:v>1085.4779270290016</c:v>
                </c:pt>
                <c:pt idx="3">
                  <c:v>492.35763075020748</c:v>
                </c:pt>
                <c:pt idx="4">
                  <c:v>361.80344341909864</c:v>
                </c:pt>
                <c:pt idx="5">
                  <c:v>358.39420959597021</c:v>
                </c:pt>
                <c:pt idx="6">
                  <c:v>362.02446825408657</c:v>
                </c:pt>
                <c:pt idx="7">
                  <c:v>214.5516190587644</c:v>
                </c:pt>
                <c:pt idx="8">
                  <c:v>523.48518063303334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12.736622620515964</c:v>
                </c:pt>
                <c:pt idx="1">
                  <c:v>33.057434030586506</c:v>
                </c:pt>
                <c:pt idx="2">
                  <c:v>17.758305061668793</c:v>
                </c:pt>
                <c:pt idx="3">
                  <c:v>6.3905066070702139</c:v>
                </c:pt>
                <c:pt idx="4">
                  <c:v>6.3042999159309598</c:v>
                </c:pt>
                <c:pt idx="5">
                  <c:v>6.3024967152773463</c:v>
                </c:pt>
                <c:pt idx="6">
                  <c:v>5.5770164847901631</c:v>
                </c:pt>
                <c:pt idx="7">
                  <c:v>3.7460648973056627</c:v>
                </c:pt>
                <c:pt idx="8">
                  <c:v>8.1272536668543651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12.212004457593407</c:v>
                </c:pt>
                <c:pt idx="1">
                  <c:v>30.55578358334396</c:v>
                </c:pt>
                <c:pt idx="2">
                  <c:v>18.282099919611486</c:v>
                </c:pt>
                <c:pt idx="3">
                  <c:v>8.2925052434695647</c:v>
                </c:pt>
                <c:pt idx="4">
                  <c:v>6.0936538082830456</c:v>
                </c:pt>
                <c:pt idx="5">
                  <c:v>6.0362339825530587</c:v>
                </c:pt>
                <c:pt idx="6">
                  <c:v>6.0973764064283849</c:v>
                </c:pt>
                <c:pt idx="7">
                  <c:v>3.6135733761834024</c:v>
                </c:pt>
                <c:pt idx="8">
                  <c:v>8.8167692225336989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11.239897688540673</c:v>
                </c:pt>
                <c:pt idx="1">
                  <c:v>27.208227492382065</c:v>
                </c:pt>
                <c:pt idx="2">
                  <c:v>17.437003560233517</c:v>
                </c:pt>
                <c:pt idx="3">
                  <c:v>9.0014997290512824</c:v>
                </c:pt>
                <c:pt idx="4">
                  <c:v>7.8638277668989325</c:v>
                </c:pt>
                <c:pt idx="5">
                  <c:v>6.4434261434292193</c:v>
                </c:pt>
                <c:pt idx="6">
                  <c:v>7.1009362984978788</c:v>
                </c:pt>
                <c:pt idx="7">
                  <c:v>3.9054289604047407</c:v>
                </c:pt>
                <c:pt idx="8">
                  <c:v>9.7997523605616816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0.10052474806513566</c:v>
                </c:pt>
                <c:pt idx="1">
                  <c:v>0.10984257965401263</c:v>
                </c:pt>
                <c:pt idx="2">
                  <c:v>0.1118553500865314</c:v>
                </c:pt>
                <c:pt idx="3">
                  <c:v>0.11037334913368507</c:v>
                </c:pt>
                <c:pt idx="4">
                  <c:v>0.11096244689849757</c:v>
                </c:pt>
                <c:pt idx="5">
                  <c:v>0.11239897688540672</c:v>
                </c:pt>
                <c:pt idx="6">
                  <c:v>0.11354910372930126</c:v>
                </c:pt>
                <c:pt idx="7">
                  <c:v>0.11664558974585182</c:v>
                </c:pt>
                <c:pt idx="8">
                  <c:v>0.11918069573954539</c:v>
                </c:pt>
                <c:pt idx="9">
                  <c:v>0.12141653595463411</c:v>
                </c:pt>
                <c:pt idx="10">
                  <c:v>0.12212004457593408</c:v>
                </c:pt>
                <c:pt idx="11">
                  <c:v>0.11960230759552518</c:v>
                </c:pt>
                <c:pt idx="12">
                  <c:v>0.12032134057742414</c:v>
                </c:pt>
                <c:pt idx="13">
                  <c:v>0.12089234355823229</c:v>
                </c:pt>
                <c:pt idx="14">
                  <c:v>0.121460379124431</c:v>
                </c:pt>
                <c:pt idx="15">
                  <c:v>0.12203499917169976</c:v>
                </c:pt>
                <c:pt idx="16">
                  <c:v>0.12260531435390817</c:v>
                </c:pt>
                <c:pt idx="17">
                  <c:v>0.1230927041230743</c:v>
                </c:pt>
                <c:pt idx="18">
                  <c:v>0.12357985413310052</c:v>
                </c:pt>
                <c:pt idx="19">
                  <c:v>0.12409248502834881</c:v>
                </c:pt>
                <c:pt idx="20">
                  <c:v>0.12461383257816844</c:v>
                </c:pt>
                <c:pt idx="21">
                  <c:v>0.12513269316693554</c:v>
                </c:pt>
                <c:pt idx="22">
                  <c:v>0.12567529301443317</c:v>
                </c:pt>
                <c:pt idx="23">
                  <c:v>0.1261940216444834</c:v>
                </c:pt>
                <c:pt idx="24">
                  <c:v>0.12662351437350716</c:v>
                </c:pt>
                <c:pt idx="25">
                  <c:v>0.12736622620515964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0.27120372019218553</c:v>
                </c:pt>
                <c:pt idx="1">
                  <c:v>0.26712079427773155</c:v>
                </c:pt>
                <c:pt idx="2">
                  <c:v>0.26617399470328951</c:v>
                </c:pt>
                <c:pt idx="3">
                  <c:v>0.27042331777782896</c:v>
                </c:pt>
                <c:pt idx="4">
                  <c:v>0.27430942301775013</c:v>
                </c:pt>
                <c:pt idx="5">
                  <c:v>0.27208227492382064</c:v>
                </c:pt>
                <c:pt idx="6">
                  <c:v>0.28108510529079678</c:v>
                </c:pt>
                <c:pt idx="7">
                  <c:v>0.27829340954838122</c:v>
                </c:pt>
                <c:pt idx="8">
                  <c:v>0.28655873913254887</c:v>
                </c:pt>
                <c:pt idx="9">
                  <c:v>0.29164509082893486</c:v>
                </c:pt>
                <c:pt idx="10">
                  <c:v>0.30555783583343959</c:v>
                </c:pt>
                <c:pt idx="11">
                  <c:v>0.31512339553083696</c:v>
                </c:pt>
                <c:pt idx="12">
                  <c:v>0.31632470540429319</c:v>
                </c:pt>
                <c:pt idx="13">
                  <c:v>0.31737469379855143</c:v>
                </c:pt>
                <c:pt idx="14">
                  <c:v>0.31860365010180103</c:v>
                </c:pt>
                <c:pt idx="15">
                  <c:v>0.31997085280894672</c:v>
                </c:pt>
                <c:pt idx="16">
                  <c:v>0.32122744211760945</c:v>
                </c:pt>
                <c:pt idx="17">
                  <c:v>0.32230227380100124</c:v>
                </c:pt>
                <c:pt idx="18">
                  <c:v>0.32327862913911443</c:v>
                </c:pt>
                <c:pt idx="19">
                  <c:v>0.32430581176122453</c:v>
                </c:pt>
                <c:pt idx="20">
                  <c:v>0.32532235401531273</c:v>
                </c:pt>
                <c:pt idx="21">
                  <c:v>0.32637152394623847</c:v>
                </c:pt>
                <c:pt idx="22">
                  <c:v>0.32742198787346949</c:v>
                </c:pt>
                <c:pt idx="23">
                  <c:v>0.32847597409529733</c:v>
                </c:pt>
                <c:pt idx="24">
                  <c:v>0.32949568990351663</c:v>
                </c:pt>
                <c:pt idx="25">
                  <c:v>0.33057434030586508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0.16779254334153643</c:v>
                </c:pt>
                <c:pt idx="1">
                  <c:v>0.16980279129465992</c:v>
                </c:pt>
                <c:pt idx="2">
                  <c:v>0.17418318442038028</c:v>
                </c:pt>
                <c:pt idx="3">
                  <c:v>0.17053579272873359</c:v>
                </c:pt>
                <c:pt idx="4">
                  <c:v>0.1738947164111796</c:v>
                </c:pt>
                <c:pt idx="5">
                  <c:v>0.17437003560233519</c:v>
                </c:pt>
                <c:pt idx="6">
                  <c:v>0.1752858867184221</c:v>
                </c:pt>
                <c:pt idx="7">
                  <c:v>0.17568519526787166</c:v>
                </c:pt>
                <c:pt idx="8">
                  <c:v>0.17721619709700329</c:v>
                </c:pt>
                <c:pt idx="9">
                  <c:v>0.17334964201564937</c:v>
                </c:pt>
                <c:pt idx="10">
                  <c:v>0.18282099919611486</c:v>
                </c:pt>
                <c:pt idx="11">
                  <c:v>0.17375344900978418</c:v>
                </c:pt>
                <c:pt idx="12">
                  <c:v>0.17454255373919361</c:v>
                </c:pt>
                <c:pt idx="13">
                  <c:v>0.17483658732892313</c:v>
                </c:pt>
                <c:pt idx="14">
                  <c:v>0.17506781179843242</c:v>
                </c:pt>
                <c:pt idx="15">
                  <c:v>0.17530253945299437</c:v>
                </c:pt>
                <c:pt idx="16">
                  <c:v>0.17556956250248576</c:v>
                </c:pt>
                <c:pt idx="17">
                  <c:v>0.1758552780014786</c:v>
                </c:pt>
                <c:pt idx="18">
                  <c:v>0.176124347841801</c:v>
                </c:pt>
                <c:pt idx="19">
                  <c:v>0.17633238727010128</c:v>
                </c:pt>
                <c:pt idx="20">
                  <c:v>0.17657055546806982</c:v>
                </c:pt>
                <c:pt idx="21">
                  <c:v>0.17677427295449752</c:v>
                </c:pt>
                <c:pt idx="22">
                  <c:v>0.1769978731502857</c:v>
                </c:pt>
                <c:pt idx="23">
                  <c:v>0.17720567315088459</c:v>
                </c:pt>
                <c:pt idx="24">
                  <c:v>0.17742533737381833</c:v>
                </c:pt>
                <c:pt idx="25">
                  <c:v>0.17758305061668792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9.9849349199701162E-2</c:v>
                </c:pt>
                <c:pt idx="1">
                  <c:v>9.8309380100107271E-2</c:v>
                </c:pt>
                <c:pt idx="2">
                  <c:v>9.6229037654509186E-2</c:v>
                </c:pt>
                <c:pt idx="3">
                  <c:v>9.2245190248511022E-2</c:v>
                </c:pt>
                <c:pt idx="4">
                  <c:v>9.0154433698169958E-2</c:v>
                </c:pt>
                <c:pt idx="5">
                  <c:v>9.0014997290512822E-2</c:v>
                </c:pt>
                <c:pt idx="6">
                  <c:v>8.4820664355387501E-2</c:v>
                </c:pt>
                <c:pt idx="7">
                  <c:v>8.6692409845018303E-2</c:v>
                </c:pt>
                <c:pt idx="8">
                  <c:v>8.3765893208247733E-2</c:v>
                </c:pt>
                <c:pt idx="9">
                  <c:v>8.1226195295400816E-2</c:v>
                </c:pt>
                <c:pt idx="10">
                  <c:v>8.292505243469564E-2</c:v>
                </c:pt>
                <c:pt idx="11">
                  <c:v>7.9199238309033831E-2</c:v>
                </c:pt>
                <c:pt idx="12">
                  <c:v>7.7600659754262738E-2</c:v>
                </c:pt>
                <c:pt idx="13">
                  <c:v>7.6127443436460288E-2</c:v>
                </c:pt>
                <c:pt idx="14">
                  <c:v>7.468283345058789E-2</c:v>
                </c:pt>
                <c:pt idx="15">
                  <c:v>7.3447721234437019E-2</c:v>
                </c:pt>
                <c:pt idx="16">
                  <c:v>7.2370343204455193E-2</c:v>
                </c:pt>
                <c:pt idx="17">
                  <c:v>7.1384841458745324E-2</c:v>
                </c:pt>
                <c:pt idx="18">
                  <c:v>7.045860244275895E-2</c:v>
                </c:pt>
                <c:pt idx="19">
                  <c:v>6.9584399498446095E-2</c:v>
                </c:pt>
                <c:pt idx="20">
                  <c:v>6.8663948780292708E-2</c:v>
                </c:pt>
                <c:pt idx="21">
                  <c:v>6.7731009235682704E-2</c:v>
                </c:pt>
                <c:pt idx="22">
                  <c:v>6.6763413190800119E-2</c:v>
                </c:pt>
                <c:pt idx="23">
                  <c:v>6.5876106474067081E-2</c:v>
                </c:pt>
                <c:pt idx="24">
                  <c:v>6.5159397314861631E-2</c:v>
                </c:pt>
                <c:pt idx="25">
                  <c:v>6.3905066070702135E-2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7.360684350740189E-2</c:v>
                </c:pt>
                <c:pt idx="1">
                  <c:v>7.3571680469604314E-2</c:v>
                </c:pt>
                <c:pt idx="2">
                  <c:v>7.4068247954404962E-2</c:v>
                </c:pt>
                <c:pt idx="3">
                  <c:v>7.7066385985841451E-2</c:v>
                </c:pt>
                <c:pt idx="4">
                  <c:v>7.7518202813584472E-2</c:v>
                </c:pt>
                <c:pt idx="5">
                  <c:v>7.8638277668989329E-2</c:v>
                </c:pt>
                <c:pt idx="6">
                  <c:v>7.688060767010968E-2</c:v>
                </c:pt>
                <c:pt idx="7">
                  <c:v>7.6822252531081617E-2</c:v>
                </c:pt>
                <c:pt idx="8">
                  <c:v>7.1731159453657795E-2</c:v>
                </c:pt>
                <c:pt idx="9">
                  <c:v>7.1084406930816232E-2</c:v>
                </c:pt>
                <c:pt idx="10">
                  <c:v>6.0936538082830456E-2</c:v>
                </c:pt>
                <c:pt idx="11">
                  <c:v>6.2114302383175148E-2</c:v>
                </c:pt>
                <c:pt idx="12">
                  <c:v>6.2217448143143825E-2</c:v>
                </c:pt>
                <c:pt idx="13">
                  <c:v>6.2674871434163074E-2</c:v>
                </c:pt>
                <c:pt idx="14">
                  <c:v>6.297600213209599E-2</c:v>
                </c:pt>
                <c:pt idx="15">
                  <c:v>6.3005771019567225E-2</c:v>
                </c:pt>
                <c:pt idx="16">
                  <c:v>6.3027845907694835E-2</c:v>
                </c:pt>
                <c:pt idx="17">
                  <c:v>6.3130548155622176E-2</c:v>
                </c:pt>
                <c:pt idx="18">
                  <c:v>6.3152237898420019E-2</c:v>
                </c:pt>
                <c:pt idx="19">
                  <c:v>6.315467308296388E-2</c:v>
                </c:pt>
                <c:pt idx="20">
                  <c:v>6.3162960903922566E-2</c:v>
                </c:pt>
                <c:pt idx="21">
                  <c:v>6.3160079041382516E-2</c:v>
                </c:pt>
                <c:pt idx="22">
                  <c:v>6.3143604693828528E-2</c:v>
                </c:pt>
                <c:pt idx="23">
                  <c:v>6.3115131937954649E-2</c:v>
                </c:pt>
                <c:pt idx="24">
                  <c:v>6.3018767919559793E-2</c:v>
                </c:pt>
                <c:pt idx="25">
                  <c:v>6.3042999159309596E-2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6.6795700305151293E-2</c:v>
                </c:pt>
                <c:pt idx="1">
                  <c:v>6.5481341507590385E-2</c:v>
                </c:pt>
                <c:pt idx="2">
                  <c:v>6.287498046047843E-2</c:v>
                </c:pt>
                <c:pt idx="3">
                  <c:v>6.6723747763758431E-2</c:v>
                </c:pt>
                <c:pt idx="4">
                  <c:v>6.5161829459962128E-2</c:v>
                </c:pt>
                <c:pt idx="5">
                  <c:v>6.4434261434292192E-2</c:v>
                </c:pt>
                <c:pt idx="6">
                  <c:v>6.5901354335437298E-2</c:v>
                </c:pt>
                <c:pt idx="7">
                  <c:v>6.5362938006374827E-2</c:v>
                </c:pt>
                <c:pt idx="8">
                  <c:v>6.2556893531825586E-2</c:v>
                </c:pt>
                <c:pt idx="9">
                  <c:v>6.3683347739599563E-2</c:v>
                </c:pt>
                <c:pt idx="10">
                  <c:v>6.0362339825530582E-2</c:v>
                </c:pt>
                <c:pt idx="11">
                  <c:v>6.1941774180380375E-2</c:v>
                </c:pt>
                <c:pt idx="12">
                  <c:v>6.2102488841822165E-2</c:v>
                </c:pt>
                <c:pt idx="13">
                  <c:v>6.2121250595168841E-2</c:v>
                </c:pt>
                <c:pt idx="14">
                  <c:v>6.2196332065434706E-2</c:v>
                </c:pt>
                <c:pt idx="15">
                  <c:v>6.227999027651273E-2</c:v>
                </c:pt>
                <c:pt idx="16">
                  <c:v>6.2358980248985459E-2</c:v>
                </c:pt>
                <c:pt idx="17">
                  <c:v>6.2427485829841936E-2</c:v>
                </c:pt>
                <c:pt idx="18">
                  <c:v>6.2520732879945057E-2</c:v>
                </c:pt>
                <c:pt idx="19">
                  <c:v>6.2568900045891662E-2</c:v>
                </c:pt>
                <c:pt idx="20">
                  <c:v>6.2621837310483153E-2</c:v>
                </c:pt>
                <c:pt idx="21">
                  <c:v>6.2680973212572821E-2</c:v>
                </c:pt>
                <c:pt idx="22">
                  <c:v>6.2749524713229435E-2</c:v>
                </c:pt>
                <c:pt idx="23">
                  <c:v>6.281930533283854E-2</c:v>
                </c:pt>
                <c:pt idx="24">
                  <c:v>6.2912249643917464E-2</c:v>
                </c:pt>
                <c:pt idx="25">
                  <c:v>6.3024967152773462E-2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7.256290087550675E-2</c:v>
                </c:pt>
                <c:pt idx="1">
                  <c:v>7.3504802642460468E-2</c:v>
                </c:pt>
                <c:pt idx="2">
                  <c:v>7.5679611549832049E-2</c:v>
                </c:pt>
                <c:pt idx="3">
                  <c:v>7.1912436191118437E-2</c:v>
                </c:pt>
                <c:pt idx="4">
                  <c:v>6.9269512975732486E-2</c:v>
                </c:pt>
                <c:pt idx="5">
                  <c:v>7.1009362984978786E-2</c:v>
                </c:pt>
                <c:pt idx="6">
                  <c:v>6.6762325409815679E-2</c:v>
                </c:pt>
                <c:pt idx="7">
                  <c:v>6.5734286069801334E-2</c:v>
                </c:pt>
                <c:pt idx="8">
                  <c:v>6.6532232061576449E-2</c:v>
                </c:pt>
                <c:pt idx="9">
                  <c:v>6.1686225543666762E-2</c:v>
                </c:pt>
                <c:pt idx="10">
                  <c:v>6.0973764064283849E-2</c:v>
                </c:pt>
                <c:pt idx="11">
                  <c:v>6.0220113149250402E-2</c:v>
                </c:pt>
                <c:pt idx="12">
                  <c:v>5.9707428954750098E-2</c:v>
                </c:pt>
                <c:pt idx="13">
                  <c:v>5.938088397193831E-2</c:v>
                </c:pt>
                <c:pt idx="14">
                  <c:v>5.9063803130265539E-2</c:v>
                </c:pt>
                <c:pt idx="15">
                  <c:v>5.8785961054352256E-2</c:v>
                </c:pt>
                <c:pt idx="16">
                  <c:v>5.8482213329715198E-2</c:v>
                </c:pt>
                <c:pt idx="17">
                  <c:v>5.8208235510172297E-2</c:v>
                </c:pt>
                <c:pt idx="18">
                  <c:v>5.7933069536424991E-2</c:v>
                </c:pt>
                <c:pt idx="19">
                  <c:v>5.7653641600248016E-2</c:v>
                </c:pt>
                <c:pt idx="20">
                  <c:v>5.7348696056153663E-2</c:v>
                </c:pt>
                <c:pt idx="21">
                  <c:v>5.7035260986497943E-2</c:v>
                </c:pt>
                <c:pt idx="22">
                  <c:v>5.6714643352641245E-2</c:v>
                </c:pt>
                <c:pt idx="23">
                  <c:v>5.639888003711481E-2</c:v>
                </c:pt>
                <c:pt idx="24">
                  <c:v>5.606869674199174E-2</c:v>
                </c:pt>
                <c:pt idx="25">
                  <c:v>5.5770164847901628E-2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3.956911527373403E-2</c:v>
                </c:pt>
                <c:pt idx="1">
                  <c:v>3.9963070598640099E-2</c:v>
                </c:pt>
                <c:pt idx="2">
                  <c:v>3.9177109433015361E-2</c:v>
                </c:pt>
                <c:pt idx="3">
                  <c:v>3.8702118405403128E-2</c:v>
                </c:pt>
                <c:pt idx="4">
                  <c:v>3.9500724192620303E-2</c:v>
                </c:pt>
                <c:pt idx="5">
                  <c:v>3.9054289604047408E-2</c:v>
                </c:pt>
                <c:pt idx="6">
                  <c:v>3.9978295109236721E-2</c:v>
                </c:pt>
                <c:pt idx="7">
                  <c:v>4.1166064185756163E-2</c:v>
                </c:pt>
                <c:pt idx="8">
                  <c:v>3.874830715315665E-2</c:v>
                </c:pt>
                <c:pt idx="9">
                  <c:v>4.0262581724656604E-2</c:v>
                </c:pt>
                <c:pt idx="10">
                  <c:v>3.6135733761834023E-2</c:v>
                </c:pt>
                <c:pt idx="11">
                  <c:v>3.9726924976939505E-2</c:v>
                </c:pt>
                <c:pt idx="12">
                  <c:v>3.979835467503811E-2</c:v>
                </c:pt>
                <c:pt idx="13">
                  <c:v>3.9720638444933232E-2</c:v>
                </c:pt>
                <c:pt idx="14">
                  <c:v>3.9551575427765405E-2</c:v>
                </c:pt>
                <c:pt idx="15">
                  <c:v>3.9323672192381656E-2</c:v>
                </c:pt>
                <c:pt idx="16">
                  <c:v>3.9103351347716121E-2</c:v>
                </c:pt>
                <c:pt idx="17">
                  <c:v>3.8894112630730823E-2</c:v>
                </c:pt>
                <c:pt idx="18">
                  <c:v>3.8704064328098108E-2</c:v>
                </c:pt>
                <c:pt idx="19">
                  <c:v>3.8518723639140183E-2</c:v>
                </c:pt>
                <c:pt idx="20">
                  <c:v>3.8337470439963273E-2</c:v>
                </c:pt>
                <c:pt idx="21">
                  <c:v>3.815593695540466E-2</c:v>
                </c:pt>
                <c:pt idx="22">
                  <c:v>3.7988545504842271E-2</c:v>
                </c:pt>
                <c:pt idx="23">
                  <c:v>3.7823107714966379E-2</c:v>
                </c:pt>
                <c:pt idx="24">
                  <c:v>3.7648230654418184E-2</c:v>
                </c:pt>
                <c:pt idx="25">
                  <c:v>3.7460648973056627E-2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0.10809507923964713</c:v>
                </c:pt>
                <c:pt idx="1">
                  <c:v>0.10240355945519322</c:v>
                </c:pt>
                <c:pt idx="2">
                  <c:v>9.9758483737559023E-2</c:v>
                </c:pt>
                <c:pt idx="3">
                  <c:v>0.10201766176512</c:v>
                </c:pt>
                <c:pt idx="4">
                  <c:v>9.9228710532503248E-2</c:v>
                </c:pt>
                <c:pt idx="5">
                  <c:v>9.7997523605616824E-2</c:v>
                </c:pt>
                <c:pt idx="6">
                  <c:v>9.5736657381492937E-2</c:v>
                </c:pt>
                <c:pt idx="7">
                  <c:v>9.3597854799863184E-2</c:v>
                </c:pt>
                <c:pt idx="8">
                  <c:v>9.3709882622438262E-2</c:v>
                </c:pt>
                <c:pt idx="9">
                  <c:v>9.5645973966641484E-2</c:v>
                </c:pt>
                <c:pt idx="10">
                  <c:v>8.8167692225336991E-2</c:v>
                </c:pt>
                <c:pt idx="11">
                  <c:v>8.8318494865074343E-2</c:v>
                </c:pt>
                <c:pt idx="12">
                  <c:v>8.7385019910072054E-2</c:v>
                </c:pt>
                <c:pt idx="13">
                  <c:v>8.687128743162939E-2</c:v>
                </c:pt>
                <c:pt idx="14">
                  <c:v>8.6397612769185894E-2</c:v>
                </c:pt>
                <c:pt idx="15">
                  <c:v>8.5848492789108263E-2</c:v>
                </c:pt>
                <c:pt idx="16">
                  <c:v>8.5254946987429983E-2</c:v>
                </c:pt>
                <c:pt idx="17">
                  <c:v>8.4704520489333288E-2</c:v>
                </c:pt>
                <c:pt idx="18">
                  <c:v>8.4248461800336932E-2</c:v>
                </c:pt>
                <c:pt idx="19">
                  <c:v>8.3788978073635459E-2</c:v>
                </c:pt>
                <c:pt idx="20">
                  <c:v>8.3358344447633612E-2</c:v>
                </c:pt>
                <c:pt idx="21">
                  <c:v>8.2958250500787867E-2</c:v>
                </c:pt>
                <c:pt idx="22">
                  <c:v>8.2545114506470021E-2</c:v>
                </c:pt>
                <c:pt idx="23">
                  <c:v>8.209179961239331E-2</c:v>
                </c:pt>
                <c:pt idx="24">
                  <c:v>8.1648116074409124E-2</c:v>
                </c:pt>
                <c:pt idx="25">
                  <c:v>8.1272536668543657E-2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98.408933369679971</c:v>
                </c:pt>
                <c:pt idx="1">
                  <c:v>224.68951882743409</c:v>
                </c:pt>
                <c:pt idx="2">
                  <c:v>63.056486588916641</c:v>
                </c:pt>
                <c:pt idx="3">
                  <c:v>-16.773738860639696</c:v>
                </c:pt>
                <c:pt idx="4">
                  <c:v>-13.912618079524009</c:v>
                </c:pt>
                <c:pt idx="5">
                  <c:v>21.069072534051827</c:v>
                </c:pt>
                <c:pt idx="6">
                  <c:v>-27.500677337425998</c:v>
                </c:pt>
                <c:pt idx="7">
                  <c:v>22.701053469655363</c:v>
                </c:pt>
                <c:pt idx="8">
                  <c:v>24.82296948200792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0.20230700129320667</c:v>
                </c:pt>
                <c:pt idx="1">
                  <c:v>73.057974156349701</c:v>
                </c:pt>
                <c:pt idx="2">
                  <c:v>50.560282287759946</c:v>
                </c:pt>
                <c:pt idx="3">
                  <c:v>7.4277413719560172</c:v>
                </c:pt>
                <c:pt idx="4">
                  <c:v>-62.578782833361799</c:v>
                </c:pt>
                <c:pt idx="5">
                  <c:v>-21.802827361014124</c:v>
                </c:pt>
                <c:pt idx="6">
                  <c:v>-6.2495155298855138</c:v>
                </c:pt>
                <c:pt idx="7">
                  <c:v>-25.820704559427412</c:v>
                </c:pt>
                <c:pt idx="8">
                  <c:v>-47.532474526604346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29.017393928036881</c:v>
                </c:pt>
                <c:pt idx="1">
                  <c:v>162.98196194383081</c:v>
                </c:pt>
                <c:pt idx="2">
                  <c:v>-2.2312955903169041</c:v>
                </c:pt>
                <c:pt idx="3">
                  <c:v>-38.502273820907476</c:v>
                </c:pt>
                <c:pt idx="4">
                  <c:v>27.527991431245198</c:v>
                </c:pt>
                <c:pt idx="5">
                  <c:v>26.452409760370699</c:v>
                </c:pt>
                <c:pt idx="6">
                  <c:v>1.2315033177791861</c:v>
                </c:pt>
                <c:pt idx="7">
                  <c:v>28.44106987269592</c:v>
                </c:pt>
                <c:pt idx="8">
                  <c:v>6.9982391626363096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71.336133673654103</c:v>
                </c:pt>
                <c:pt idx="1">
                  <c:v>165.16944650055507</c:v>
                </c:pt>
                <c:pt idx="2">
                  <c:v>67.622060100981344</c:v>
                </c:pt>
                <c:pt idx="3">
                  <c:v>-39.703558567111372</c:v>
                </c:pt>
                <c:pt idx="4">
                  <c:v>19.233536306834878</c:v>
                </c:pt>
                <c:pt idx="5">
                  <c:v>23.601491144958743</c:v>
                </c:pt>
                <c:pt idx="6">
                  <c:v>-1.8243122858838206</c:v>
                </c:pt>
                <c:pt idx="7">
                  <c:v>-0.22015000877863145</c:v>
                </c:pt>
                <c:pt idx="8">
                  <c:v>-3.7776468684488691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100.35352760169098</c:v>
                </c:pt>
                <c:pt idx="1">
                  <c:v>328.15140844438588</c:v>
                </c:pt>
                <c:pt idx="2">
                  <c:v>65.39076451066444</c:v>
                </c:pt>
                <c:pt idx="3">
                  <c:v>-78.205832388018848</c:v>
                </c:pt>
                <c:pt idx="4">
                  <c:v>46.761527738080076</c:v>
                </c:pt>
                <c:pt idx="5">
                  <c:v>50.053900905329442</c:v>
                </c:pt>
                <c:pt idx="6">
                  <c:v>-0.59280896810463446</c:v>
                </c:pt>
                <c:pt idx="7">
                  <c:v>28.220919863917288</c:v>
                </c:pt>
                <c:pt idx="8">
                  <c:v>3.2205922941874405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57.527166350854202</c:v>
                </c:pt>
                <c:pt idx="1">
                  <c:v>164.08218077070796</c:v>
                </c:pt>
                <c:pt idx="2">
                  <c:v>58.349226641972677</c:v>
                </c:pt>
                <c:pt idx="3">
                  <c:v>-71.327208217398379</c:v>
                </c:pt>
                <c:pt idx="4">
                  <c:v>15.398380133334541</c:v>
                </c:pt>
                <c:pt idx="5">
                  <c:v>21.019529478665419</c:v>
                </c:pt>
                <c:pt idx="6">
                  <c:v>-6.5437816374302997</c:v>
                </c:pt>
                <c:pt idx="7">
                  <c:v>11.853221136067422</c:v>
                </c:pt>
                <c:pt idx="8">
                  <c:v>-0.3827146551237206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42.826361250836555</c:v>
                </c:pt>
                <c:pt idx="1">
                  <c:v>164.06922767368201</c:v>
                </c:pt>
                <c:pt idx="2">
                  <c:v>7.041537868689602</c:v>
                </c:pt>
                <c:pt idx="3">
                  <c:v>-6.8786241706207676</c:v>
                </c:pt>
                <c:pt idx="4">
                  <c:v>31.363147604745848</c:v>
                </c:pt>
                <c:pt idx="5">
                  <c:v>29.034371426663355</c:v>
                </c:pt>
                <c:pt idx="6">
                  <c:v>5.9509726693259495</c:v>
                </c:pt>
                <c:pt idx="7">
                  <c:v>16.367698727850467</c:v>
                </c:pt>
                <c:pt idx="8">
                  <c:v>3.603306949310479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20.762032365990052</c:v>
                </c:pt>
                <c:pt idx="1">
                  <c:v>0.61072771041943952</c:v>
                </c:pt>
                <c:pt idx="2">
                  <c:v>12.467473310268247</c:v>
                </c:pt>
                <c:pt idx="3">
                  <c:v>-2.2935716762361302</c:v>
                </c:pt>
                <c:pt idx="4">
                  <c:v>30.266905475221208</c:v>
                </c:pt>
                <c:pt idx="5">
                  <c:v>11.83281306202651</c:v>
                </c:pt>
                <c:pt idx="6">
                  <c:v>-0.71240126142455651</c:v>
                </c:pt>
                <c:pt idx="7">
                  <c:v>16.858475099096665</c:v>
                </c:pt>
                <c:pt idx="8">
                  <c:v>12.031545913728813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20.275202819635396</c:v>
                </c:pt>
                <c:pt idx="1">
                  <c:v>63.783776360035631</c:v>
                </c:pt>
                <c:pt idx="2">
                  <c:v>15.700744080832635</c:v>
                </c:pt>
                <c:pt idx="3">
                  <c:v>-18.24271332557916</c:v>
                </c:pt>
                <c:pt idx="4">
                  <c:v>7.0831376888194484</c:v>
                </c:pt>
                <c:pt idx="5">
                  <c:v>2.8964985615515957</c:v>
                </c:pt>
                <c:pt idx="6">
                  <c:v>1.6934408256618099</c:v>
                </c:pt>
                <c:pt idx="7">
                  <c:v>15.771604763510815</c:v>
                </c:pt>
                <c:pt idx="8">
                  <c:v>-16.730691770820783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59.316292416063447</c:v>
                </c:pt>
                <c:pt idx="1">
                  <c:v>263.75690437393382</c:v>
                </c:pt>
                <c:pt idx="2">
                  <c:v>37.222547119562932</c:v>
                </c:pt>
                <c:pt idx="3">
                  <c:v>-57.669547386204272</c:v>
                </c:pt>
                <c:pt idx="4">
                  <c:v>9.4114845740398039</c:v>
                </c:pt>
                <c:pt idx="5">
                  <c:v>35.324589281750491</c:v>
                </c:pt>
                <c:pt idx="6">
                  <c:v>-1.573848532341799</c:v>
                </c:pt>
                <c:pt idx="7">
                  <c:v>-4.4091599986895744</c:v>
                </c:pt>
                <c:pt idx="8">
                  <c:v>7.9197381512782101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6.5392234408546628</c:v>
                </c:pt>
                <c:pt idx="1">
                  <c:v>1.3241089683035341</c:v>
                </c:pt>
                <c:pt idx="2">
                  <c:v>7.0704846334192695</c:v>
                </c:pt>
                <c:pt idx="3">
                  <c:v>-3.2442651316106215</c:v>
                </c:pt>
                <c:pt idx="4">
                  <c:v>6.3111799141636915</c:v>
                </c:pt>
                <c:pt idx="5">
                  <c:v>7.3904090534783151</c:v>
                </c:pt>
                <c:pt idx="6">
                  <c:v>-0.21828942313323285</c:v>
                </c:pt>
                <c:pt idx="7">
                  <c:v>1.5705397843026585</c:v>
                </c:pt>
                <c:pt idx="8">
                  <c:v>9.3456087593988251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9.1620711134565624</c:v>
                </c:pt>
                <c:pt idx="1">
                  <c:v>31.3721927539398</c:v>
                </c:pt>
                <c:pt idx="2">
                  <c:v>17.892528815261286</c:v>
                </c:pt>
                <c:pt idx="3">
                  <c:v>-11.852439216260095</c:v>
                </c:pt>
                <c:pt idx="4">
                  <c:v>2.6879943327025924</c:v>
                </c:pt>
                <c:pt idx="5">
                  <c:v>-3.5355834124715813</c:v>
                </c:pt>
                <c:pt idx="6">
                  <c:v>-2.8229186321231481</c:v>
                </c:pt>
                <c:pt idx="7">
                  <c:v>8.1081362507576884</c:v>
                </c:pt>
                <c:pt idx="8">
                  <c:v>-20.462982001437467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41.825871796542515</c:v>
                </c:pt>
                <c:pt idx="1">
                  <c:v>131.38587904846315</c:v>
                </c:pt>
                <c:pt idx="2">
                  <c:v>33.386213193292804</c:v>
                </c:pt>
                <c:pt idx="3">
                  <c:v>-56.230503869527752</c:v>
                </c:pt>
                <c:pt idx="4">
                  <c:v>6.3992058864683798</c:v>
                </c:pt>
                <c:pt idx="5">
                  <c:v>17.164703837658749</c:v>
                </c:pt>
                <c:pt idx="6">
                  <c:v>-3.5025735821739801</c:v>
                </c:pt>
                <c:pt idx="7">
                  <c:v>2.1745451010071566</c:v>
                </c:pt>
                <c:pt idx="8">
                  <c:v>10.734658586914698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14.222808925135318</c:v>
                </c:pt>
                <c:pt idx="1">
                  <c:v>-0.71338125788410878</c:v>
                </c:pt>
                <c:pt idx="2">
                  <c:v>5.3969886768489488</c:v>
                </c:pt>
                <c:pt idx="3">
                  <c:v>0.95069345537449568</c:v>
                </c:pt>
                <c:pt idx="4">
                  <c:v>23.955725561057562</c:v>
                </c:pt>
                <c:pt idx="5">
                  <c:v>4.442404008548209</c:v>
                </c:pt>
                <c:pt idx="6">
                  <c:v>-0.49411183829131566</c:v>
                </c:pt>
                <c:pt idx="7">
                  <c:v>15.287935314794048</c:v>
                </c:pt>
                <c:pt idx="8">
                  <c:v>2.6859371543299932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11.113131706178741</c:v>
                </c:pt>
                <c:pt idx="1">
                  <c:v>32.411583606096173</c:v>
                </c:pt>
                <c:pt idx="2">
                  <c:v>-2.1917847344285235</c:v>
                </c:pt>
                <c:pt idx="3">
                  <c:v>-6.3902741093191402</c:v>
                </c:pt>
                <c:pt idx="4">
                  <c:v>4.3951433561168969</c:v>
                </c:pt>
                <c:pt idx="5">
                  <c:v>6.4320819740232977</c:v>
                </c:pt>
                <c:pt idx="6">
                  <c:v>4.5163594577851285</c:v>
                </c:pt>
                <c:pt idx="7">
                  <c:v>7.6634685127531981</c:v>
                </c:pt>
                <c:pt idx="8">
                  <c:v>3.7322902306166412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17.490420619520819</c:v>
                </c:pt>
                <c:pt idx="1">
                  <c:v>132.37102532546999</c:v>
                </c:pt>
                <c:pt idx="2">
                  <c:v>3.8363339262692193</c:v>
                </c:pt>
                <c:pt idx="3">
                  <c:v>-1.4390435166761932</c:v>
                </c:pt>
                <c:pt idx="4">
                  <c:v>3.0122786875714098</c:v>
                </c:pt>
                <c:pt idx="5">
                  <c:v>18.159885444091969</c:v>
                </c:pt>
                <c:pt idx="6">
                  <c:v>1.9287250498322379</c:v>
                </c:pt>
                <c:pt idx="7">
                  <c:v>-6.5837050996970987</c:v>
                </c:pt>
                <c:pt idx="8">
                  <c:v>-2.8149204356359974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288.56626848616816</c:v>
                </c:pt>
                <c:pt idx="1">
                  <c:v>248.5331135054833</c:v>
                </c:pt>
                <c:pt idx="2">
                  <c:v>270.87482440880035</c:v>
                </c:pt>
                <c:pt idx="3">
                  <c:v>267.48400348109072</c:v>
                </c:pt>
                <c:pt idx="4">
                  <c:v>251.66761726649807</c:v>
                </c:pt>
                <c:pt idx="5">
                  <c:v>265.40431343151045</c:v>
                </c:pt>
                <c:pt idx="6">
                  <c:v>212.32662165413115</c:v>
                </c:pt>
                <c:pt idx="7">
                  <c:v>233.8516030791267</c:v>
                </c:pt>
                <c:pt idx="8">
                  <c:v>222.58107021421756</c:v>
                </c:pt>
                <c:pt idx="9">
                  <c:v>226.25765870034382</c:v>
                </c:pt>
                <c:pt idx="10">
                  <c:v>145.27273190073018</c:v>
                </c:pt>
                <c:pt idx="11">
                  <c:v>166.20546362862419</c:v>
                </c:pt>
                <c:pt idx="12">
                  <c:v>150.98078980712501</c:v>
                </c:pt>
                <c:pt idx="13">
                  <c:v>138.34543176013977</c:v>
                </c:pt>
                <c:pt idx="14">
                  <c:v>125.99282952597922</c:v>
                </c:pt>
                <c:pt idx="15">
                  <c:v>117.6109996512359</c:v>
                </c:pt>
                <c:pt idx="16">
                  <c:v>110.03728189109906</c:v>
                </c:pt>
                <c:pt idx="17">
                  <c:v>102.82356487628782</c:v>
                </c:pt>
                <c:pt idx="18">
                  <c:v>96.006106726790762</c:v>
                </c:pt>
                <c:pt idx="19">
                  <c:v>89.585558179973461</c:v>
                </c:pt>
                <c:pt idx="20">
                  <c:v>83.587141470876674</c:v>
                </c:pt>
                <c:pt idx="21">
                  <c:v>77.967791298009061</c:v>
                </c:pt>
                <c:pt idx="22">
                  <c:v>72.728189163010768</c:v>
                </c:pt>
                <c:pt idx="23">
                  <c:v>67.857116922437712</c:v>
                </c:pt>
                <c:pt idx="24">
                  <c:v>63.453359881931853</c:v>
                </c:pt>
                <c:pt idx="25">
                  <c:v>60.871246055901466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719.06359627358381</c:v>
                </c:pt>
                <c:pt idx="1">
                  <c:v>631.20066461723582</c:v>
                </c:pt>
                <c:pt idx="2">
                  <c:v>559.38171410161181</c:v>
                </c:pt>
                <c:pt idx="3">
                  <c:v>595.30784208003297</c:v>
                </c:pt>
                <c:pt idx="4">
                  <c:v>605.88718719975088</c:v>
                </c:pt>
                <c:pt idx="5">
                  <c:v>619.2156303303135</c:v>
                </c:pt>
                <c:pt idx="6">
                  <c:v>625.16533412426054</c:v>
                </c:pt>
                <c:pt idx="7">
                  <c:v>607.94261077153499</c:v>
                </c:pt>
                <c:pt idx="8">
                  <c:v>661.24031458462719</c:v>
                </c:pt>
                <c:pt idx="9">
                  <c:v>589.79706439931238</c:v>
                </c:pt>
                <c:pt idx="10">
                  <c:v>548.75082422711353</c:v>
                </c:pt>
                <c:pt idx="11">
                  <c:v>494.56236345484416</c:v>
                </c:pt>
                <c:pt idx="12">
                  <c:v>530.28782221072402</c:v>
                </c:pt>
                <c:pt idx="13">
                  <c:v>516.16663436663214</c:v>
                </c:pt>
                <c:pt idx="14">
                  <c:v>501.11606220465518</c:v>
                </c:pt>
                <c:pt idx="15">
                  <c:v>483.97524488788935</c:v>
                </c:pt>
                <c:pt idx="16">
                  <c:v>466.18740383552904</c:v>
                </c:pt>
                <c:pt idx="17">
                  <c:v>448.00435534252335</c:v>
                </c:pt>
                <c:pt idx="18">
                  <c:v>429.62152982472725</c:v>
                </c:pt>
                <c:pt idx="19">
                  <c:v>411.08766017830317</c:v>
                </c:pt>
                <c:pt idx="20">
                  <c:v>392.58130115279153</c:v>
                </c:pt>
                <c:pt idx="21">
                  <c:v>373.95725554860906</c:v>
                </c:pt>
                <c:pt idx="22">
                  <c:v>355.28333351992137</c:v>
                </c:pt>
                <c:pt idx="23">
                  <c:v>336.57001908506373</c:v>
                </c:pt>
                <c:pt idx="24">
                  <c:v>317.81887062104067</c:v>
                </c:pt>
                <c:pt idx="25">
                  <c:v>298.97816591691907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818.6584287345961</c:v>
                </c:pt>
                <c:pt idx="1">
                  <c:v>743.84667153374221</c:v>
                </c:pt>
                <c:pt idx="2">
                  <c:v>757.38470236827152</c:v>
                </c:pt>
                <c:pt idx="3">
                  <c:v>720.29253049646866</c:v>
                </c:pt>
                <c:pt idx="4">
                  <c:v>773.90350564980201</c:v>
                </c:pt>
                <c:pt idx="5">
                  <c:v>732.88012843485296</c:v>
                </c:pt>
                <c:pt idx="6">
                  <c:v>768.5526369547872</c:v>
                </c:pt>
                <c:pt idx="7">
                  <c:v>757.58090601552612</c:v>
                </c:pt>
                <c:pt idx="8">
                  <c:v>802.84577803681157</c:v>
                </c:pt>
                <c:pt idx="9">
                  <c:v>777.332146508081</c:v>
                </c:pt>
                <c:pt idx="10">
                  <c:v>630.12466673858808</c:v>
                </c:pt>
                <c:pt idx="11">
                  <c:v>640.00314761469986</c:v>
                </c:pt>
                <c:pt idx="12">
                  <c:v>653.72456566626215</c:v>
                </c:pt>
                <c:pt idx="13">
                  <c:v>636.83446389890332</c:v>
                </c:pt>
                <c:pt idx="14">
                  <c:v>619.32383282979242</c:v>
                </c:pt>
                <c:pt idx="15">
                  <c:v>599.72142626943912</c:v>
                </c:pt>
                <c:pt idx="16">
                  <c:v>579.79492898788783</c:v>
                </c:pt>
                <c:pt idx="17">
                  <c:v>559.85052574106055</c:v>
                </c:pt>
                <c:pt idx="18">
                  <c:v>540.11007160942631</c:v>
                </c:pt>
                <c:pt idx="19">
                  <c:v>520.62237287181688</c:v>
                </c:pt>
                <c:pt idx="20">
                  <c:v>501.59697238234997</c:v>
                </c:pt>
                <c:pt idx="21">
                  <c:v>482.83912423572252</c:v>
                </c:pt>
                <c:pt idx="22">
                  <c:v>464.41857368477827</c:v>
                </c:pt>
                <c:pt idx="23">
                  <c:v>446.33389652173048</c:v>
                </c:pt>
                <c:pt idx="24">
                  <c:v>428.57173481629525</c:v>
                </c:pt>
                <c:pt idx="25">
                  <c:v>411.05900045374818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692.10172751172217</c:v>
                </c:pt>
                <c:pt idx="1">
                  <c:v>658.83884974868806</c:v>
                </c:pt>
                <c:pt idx="2">
                  <c:v>744.88597417400729</c:v>
                </c:pt>
                <c:pt idx="3">
                  <c:v>734.40629962391722</c:v>
                </c:pt>
                <c:pt idx="4">
                  <c:v>799.49787288542746</c:v>
                </c:pt>
                <c:pt idx="5">
                  <c:v>786.84419024320039</c:v>
                </c:pt>
                <c:pt idx="6">
                  <c:v>799.49743747520574</c:v>
                </c:pt>
                <c:pt idx="7">
                  <c:v>824.50925167058915</c:v>
                </c:pt>
                <c:pt idx="8">
                  <c:v>735.36818085156801</c:v>
                </c:pt>
                <c:pt idx="9">
                  <c:v>762.62319528737498</c:v>
                </c:pt>
                <c:pt idx="10">
                  <c:v>758.16476382285566</c:v>
                </c:pt>
                <c:pt idx="11">
                  <c:v>699.30047837127847</c:v>
                </c:pt>
                <c:pt idx="12">
                  <c:v>714.25463880491452</c:v>
                </c:pt>
                <c:pt idx="13">
                  <c:v>702.74276953356321</c:v>
                </c:pt>
                <c:pt idx="14">
                  <c:v>690.49210395621412</c:v>
                </c:pt>
                <c:pt idx="15">
                  <c:v>675.75964302509294</c:v>
                </c:pt>
                <c:pt idx="16">
                  <c:v>660.47767839161611</c:v>
                </c:pt>
                <c:pt idx="17">
                  <c:v>645.00480519162943</c:v>
                </c:pt>
                <c:pt idx="18">
                  <c:v>629.57197576635701</c:v>
                </c:pt>
                <c:pt idx="19">
                  <c:v>614.24192808212399</c:v>
                </c:pt>
                <c:pt idx="20">
                  <c:v>599.25624654417993</c:v>
                </c:pt>
                <c:pt idx="21">
                  <c:v>584.39645021415652</c:v>
                </c:pt>
                <c:pt idx="22">
                  <c:v>569.74150823843945</c:v>
                </c:pt>
                <c:pt idx="23">
                  <c:v>555.29127781546492</c:v>
                </c:pt>
                <c:pt idx="24">
                  <c:v>541.03159795910562</c:v>
                </c:pt>
                <c:pt idx="25">
                  <c:v>526.90691520085272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271.47392804450686</c:v>
                </c:pt>
                <c:pt idx="1">
                  <c:v>311.23396533939092</c:v>
                </c:pt>
                <c:pt idx="2">
                  <c:v>335.48591814137194</c:v>
                </c:pt>
                <c:pt idx="3">
                  <c:v>349.60720466771846</c:v>
                </c:pt>
                <c:pt idx="4">
                  <c:v>366.37839393480868</c:v>
                </c:pt>
                <c:pt idx="5">
                  <c:v>347.79017019527225</c:v>
                </c:pt>
                <c:pt idx="6">
                  <c:v>338.7427459634568</c:v>
                </c:pt>
                <c:pt idx="7">
                  <c:v>354.02804390113783</c:v>
                </c:pt>
                <c:pt idx="8">
                  <c:v>351.05851527730539</c:v>
                </c:pt>
                <c:pt idx="9">
                  <c:v>367.17902110710247</c:v>
                </c:pt>
                <c:pt idx="10">
                  <c:v>392.24441782094812</c:v>
                </c:pt>
                <c:pt idx="11">
                  <c:v>404.41214785939985</c:v>
                </c:pt>
                <c:pt idx="12">
                  <c:v>379.24234800306209</c:v>
                </c:pt>
                <c:pt idx="13">
                  <c:v>382.01530165524167</c:v>
                </c:pt>
                <c:pt idx="14">
                  <c:v>384.2220078912506</c:v>
                </c:pt>
                <c:pt idx="15">
                  <c:v>384.715343209509</c:v>
                </c:pt>
                <c:pt idx="16">
                  <c:v>384.83648728457064</c:v>
                </c:pt>
                <c:pt idx="17">
                  <c:v>384.81558958900519</c:v>
                </c:pt>
                <c:pt idx="18">
                  <c:v>385.00471158703107</c:v>
                </c:pt>
                <c:pt idx="19">
                  <c:v>385.0726056203772</c:v>
                </c:pt>
                <c:pt idx="20">
                  <c:v>385.30301823171095</c:v>
                </c:pt>
                <c:pt idx="21" formatCode="General">
                  <c:v>385.35605509251292</c:v>
                </c:pt>
                <c:pt idx="22" formatCode="General">
                  <c:v>385.34311344327483</c:v>
                </c:pt>
                <c:pt idx="23" formatCode="General">
                  <c:v>385.34114338297496</c:v>
                </c:pt>
                <c:pt idx="24" formatCode="General">
                  <c:v>385.34253889852295</c:v>
                </c:pt>
                <c:pt idx="25">
                  <c:v>384.76558566144325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321.11526749891073</c:v>
                </c:pt>
                <c:pt idx="1">
                  <c:v>353.67904248869593</c:v>
                </c:pt>
                <c:pt idx="2">
                  <c:v>367.9769645706923</c:v>
                </c:pt>
                <c:pt idx="3">
                  <c:v>378.50607403590561</c:v>
                </c:pt>
                <c:pt idx="4">
                  <c:v>388.71654803443153</c:v>
                </c:pt>
                <c:pt idx="5">
                  <c:v>359.54549744715496</c:v>
                </c:pt>
                <c:pt idx="6">
                  <c:v>343.06524918327693</c:v>
                </c:pt>
                <c:pt idx="7">
                  <c:v>355.72049103708054</c:v>
                </c:pt>
                <c:pt idx="8">
                  <c:v>346.73913719777295</c:v>
                </c:pt>
                <c:pt idx="9">
                  <c:v>357.86430874235197</c:v>
                </c:pt>
                <c:pt idx="10">
                  <c:v>382.35442465949808</c:v>
                </c:pt>
                <c:pt idx="11">
                  <c:v>386.90260426014493</c:v>
                </c:pt>
                <c:pt idx="12">
                  <c:v>361.86464510854171</c:v>
                </c:pt>
                <c:pt idx="13">
                  <c:v>362.08562589470819</c:v>
                </c:pt>
                <c:pt idx="14">
                  <c:v>362.32673708874051</c:v>
                </c:pt>
                <c:pt idx="15">
                  <c:v>361.14111819799353</c:v>
                </c:pt>
                <c:pt idx="16">
                  <c:v>359.77406524547933</c:v>
                </c:pt>
                <c:pt idx="17">
                  <c:v>358.34522011293728</c:v>
                </c:pt>
                <c:pt idx="18">
                  <c:v>357.5881076231916</c:v>
                </c:pt>
                <c:pt idx="19">
                  <c:v>357.05885828320083</c:v>
                </c:pt>
                <c:pt idx="20">
                  <c:v>356.64091961993222</c:v>
                </c:pt>
                <c:pt idx="21" formatCode="General">
                  <c:v>356.2030593615259</c:v>
                </c:pt>
                <c:pt idx="22" formatCode="General">
                  <c:v>355.90639600049082</c:v>
                </c:pt>
                <c:pt idx="23" formatCode="General">
                  <c:v>355.58833524236053</c:v>
                </c:pt>
                <c:pt idx="24" formatCode="General">
                  <c:v>355.15396664356751</c:v>
                </c:pt>
                <c:pt idx="25">
                  <c:v>354.71033219107505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1081.0616091988657</c:v>
                </c:pt>
                <c:pt idx="1">
                  <c:v>1233.0661271419162</c:v>
                </c:pt>
                <c:pt idx="2">
                  <c:v>1347.1746658997129</c:v>
                </c:pt>
                <c:pt idx="3">
                  <c:v>1424.3859319899802</c:v>
                </c:pt>
                <c:pt idx="4">
                  <c:v>1547.5942012983387</c:v>
                </c:pt>
                <c:pt idx="5">
                  <c:v>1466.8215340858858</c:v>
                </c:pt>
                <c:pt idx="6">
                  <c:v>1416.5744476699724</c:v>
                </c:pt>
                <c:pt idx="7">
                  <c:v>1497.4713058368429</c:v>
                </c:pt>
                <c:pt idx="8">
                  <c:v>1515.2858548578927</c:v>
                </c:pt>
                <c:pt idx="9">
                  <c:v>1566.7165234412528</c:v>
                </c:pt>
                <c:pt idx="10">
                  <c:v>1631.9926000135615</c:v>
                </c:pt>
                <c:pt idx="11">
                  <c:v>1684.1047378088867</c:v>
                </c:pt>
                <c:pt idx="12">
                  <c:v>1588.970873488473</c:v>
                </c:pt>
                <c:pt idx="13">
                  <c:v>1594.031519485211</c:v>
                </c:pt>
                <c:pt idx="14">
                  <c:v>1596.4422986614093</c:v>
                </c:pt>
                <c:pt idx="15">
                  <c:v>1592.6488249222332</c:v>
                </c:pt>
                <c:pt idx="16">
                  <c:v>1586.3469906402038</c:v>
                </c:pt>
                <c:pt idx="17">
                  <c:v>1578.2878303134091</c:v>
                </c:pt>
                <c:pt idx="18">
                  <c:v>1568.168426122641</c:v>
                </c:pt>
                <c:pt idx="19">
                  <c:v>1556.948217017577</c:v>
                </c:pt>
                <c:pt idx="20">
                  <c:v>1545.3660630132676</c:v>
                </c:pt>
                <c:pt idx="21" formatCode="General">
                  <c:v>1533.0549281612837</c:v>
                </c:pt>
                <c:pt idx="22" formatCode="General">
                  <c:v>1520.0412793768089</c:v>
                </c:pt>
                <c:pt idx="23" formatCode="General">
                  <c:v>1506.4059240111594</c:v>
                </c:pt>
                <c:pt idx="24" formatCode="General">
                  <c:v>1492.1863683305542</c:v>
                </c:pt>
                <c:pt idx="25" formatCode="General">
                  <c:v>1477.546226951031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555.89095578025263</c:v>
                </c:pt>
                <c:pt idx="1">
                  <c:v>596.03667300991151</c:v>
                </c:pt>
                <c:pt idx="2">
                  <c:v>619.98330364556239</c:v>
                </c:pt>
                <c:pt idx="3">
                  <c:v>638.83808962936723</c:v>
                </c:pt>
                <c:pt idx="4">
                  <c:v>663.21774541887714</c:v>
                </c:pt>
                <c:pt idx="5">
                  <c:v>881.41613377129386</c:v>
                </c:pt>
                <c:pt idx="6">
                  <c:v>1093.2395411833722</c:v>
                </c:pt>
                <c:pt idx="7">
                  <c:v>1092.4323243238143</c:v>
                </c:pt>
                <c:pt idx="8">
                  <c:v>1123.9721302651774</c:v>
                </c:pt>
                <c:pt idx="9">
                  <c:v>1171.0388322569752</c:v>
                </c:pt>
                <c:pt idx="10">
                  <c:v>1286.8258493021121</c:v>
                </c:pt>
                <c:pt idx="11">
                  <c:v>1340.4619733748671</c:v>
                </c:pt>
                <c:pt idx="12">
                  <c:v>1465.6103955418887</c:v>
                </c:pt>
                <c:pt idx="13">
                  <c:v>1559.5589106262205</c:v>
                </c:pt>
                <c:pt idx="14">
                  <c:v>1653.7450600411</c:v>
                </c:pt>
                <c:pt idx="15">
                  <c:v>1743.2941601736184</c:v>
                </c:pt>
                <c:pt idx="16">
                  <c:v>1832.0843191236597</c:v>
                </c:pt>
                <c:pt idx="17">
                  <c:v>1920.5036996172817</c:v>
                </c:pt>
                <c:pt idx="18">
                  <c:v>2009.1406715903622</c:v>
                </c:pt>
                <c:pt idx="19">
                  <c:v>2097.906978800273</c:v>
                </c:pt>
                <c:pt idx="20">
                  <c:v>2187.529851509003</c:v>
                </c:pt>
                <c:pt idx="21" formatCode="General">
                  <c:v>2277.0976833479717</c:v>
                </c:pt>
                <c:pt idx="22" formatCode="General">
                  <c:v>2366.7839935204247</c:v>
                </c:pt>
                <c:pt idx="23" formatCode="General">
                  <c:v>2456.466827587451</c:v>
                </c:pt>
                <c:pt idx="24" formatCode="General">
                  <c:v>2545.9224898277284</c:v>
                </c:pt>
                <c:pt idx="25" formatCode="General">
                  <c:v>2634.5906837165412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75.882218470058589</c:v>
                </c:pt>
                <c:pt idx="1">
                  <c:v>76.873892619238987</c:v>
                </c:pt>
                <c:pt idx="2">
                  <c:v>79.709932695044643</c:v>
                </c:pt>
                <c:pt idx="3">
                  <c:v>83.416024000153755</c:v>
                </c:pt>
                <c:pt idx="4">
                  <c:v>87.895928314454352</c:v>
                </c:pt>
                <c:pt idx="5">
                  <c:v>113.63840206462548</c:v>
                </c:pt>
                <c:pt idx="6">
                  <c:v>141.01098579512791</c:v>
                </c:pt>
                <c:pt idx="7">
                  <c:v>141.46946335821406</c:v>
                </c:pt>
                <c:pt idx="8">
                  <c:v>144.41701871080423</c:v>
                </c:pt>
                <c:pt idx="9">
                  <c:v>151.30824955547968</c:v>
                </c:pt>
                <c:pt idx="10">
                  <c:v>161.65072151993115</c:v>
                </c:pt>
                <c:pt idx="11">
                  <c:v>171.21408363771428</c:v>
                </c:pt>
                <c:pt idx="12">
                  <c:v>185.79992137679679</c:v>
                </c:pt>
                <c:pt idx="13">
                  <c:v>197.4633427873494</c:v>
                </c:pt>
                <c:pt idx="14">
                  <c:v>209.23106781007948</c:v>
                </c:pt>
                <c:pt idx="15">
                  <c:v>220.43123967367589</c:v>
                </c:pt>
                <c:pt idx="16">
                  <c:v>231.48484461171302</c:v>
                </c:pt>
                <c:pt idx="17">
                  <c:v>242.57840922888386</c:v>
                </c:pt>
                <c:pt idx="18">
                  <c:v>253.59839916597795</c:v>
                </c:pt>
                <c:pt idx="19">
                  <c:v>264.62282098209857</c:v>
                </c:pt>
                <c:pt idx="20">
                  <c:v>275.72948609331178</c:v>
                </c:pt>
                <c:pt idx="21" formatCode="General">
                  <c:v>286.83765275485291</c:v>
                </c:pt>
                <c:pt idx="22" formatCode="General">
                  <c:v>297.95761307011844</c:v>
                </c:pt>
                <c:pt idx="23" formatCode="General">
                  <c:v>309.07645944884513</c:v>
                </c:pt>
                <c:pt idx="24" formatCode="General">
                  <c:v>320.20107303764871</c:v>
                </c:pt>
                <c:pt idx="25" formatCode="General">
                  <c:v>331.30684385995289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288.56626848616816</c:v>
                </c:pt>
                <c:pt idx="1">
                  <c:v>248.5331135054833</c:v>
                </c:pt>
                <c:pt idx="2">
                  <c:v>270.87482440880035</c:v>
                </c:pt>
                <c:pt idx="3">
                  <c:v>267.48400348109072</c:v>
                </c:pt>
                <c:pt idx="4">
                  <c:v>251.66761726649807</c:v>
                </c:pt>
                <c:pt idx="5">
                  <c:v>265.40431343151045</c:v>
                </c:pt>
                <c:pt idx="6">
                  <c:v>212.32662165413115</c:v>
                </c:pt>
                <c:pt idx="7">
                  <c:v>233.8516030791267</c:v>
                </c:pt>
                <c:pt idx="8">
                  <c:v>222.58107021421756</c:v>
                </c:pt>
                <c:pt idx="9">
                  <c:v>226.25765870034382</c:v>
                </c:pt>
                <c:pt idx="10">
                  <c:v>145.27273190073018</c:v>
                </c:pt>
                <c:pt idx="11">
                  <c:v>166.20546362862419</c:v>
                </c:pt>
                <c:pt idx="12">
                  <c:v>150.98078980712501</c:v>
                </c:pt>
                <c:pt idx="13">
                  <c:v>138.34543176013977</c:v>
                </c:pt>
                <c:pt idx="14">
                  <c:v>125.99282952597922</c:v>
                </c:pt>
                <c:pt idx="15">
                  <c:v>117.6109996512359</c:v>
                </c:pt>
                <c:pt idx="16">
                  <c:v>110.03728189109906</c:v>
                </c:pt>
                <c:pt idx="17">
                  <c:v>102.82356487628782</c:v>
                </c:pt>
                <c:pt idx="18">
                  <c:v>96.006106726790762</c:v>
                </c:pt>
                <c:pt idx="19">
                  <c:v>89.585558179973461</c:v>
                </c:pt>
                <c:pt idx="20">
                  <c:v>83.587141470876674</c:v>
                </c:pt>
                <c:pt idx="21">
                  <c:v>77.967791298009061</c:v>
                </c:pt>
                <c:pt idx="22">
                  <c:v>72.728189163010768</c:v>
                </c:pt>
                <c:pt idx="23">
                  <c:v>67.857116922437712</c:v>
                </c:pt>
                <c:pt idx="24">
                  <c:v>63.453359881931853</c:v>
                </c:pt>
                <c:pt idx="25">
                  <c:v>60.871246055901466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719.06359627358381</c:v>
                </c:pt>
                <c:pt idx="1">
                  <c:v>631.20066461723582</c:v>
                </c:pt>
                <c:pt idx="2">
                  <c:v>559.38171410161181</c:v>
                </c:pt>
                <c:pt idx="3">
                  <c:v>595.30784208003297</c:v>
                </c:pt>
                <c:pt idx="4">
                  <c:v>605.88718719975088</c:v>
                </c:pt>
                <c:pt idx="5">
                  <c:v>619.2156303303135</c:v>
                </c:pt>
                <c:pt idx="6">
                  <c:v>625.16533412426054</c:v>
                </c:pt>
                <c:pt idx="7">
                  <c:v>607.94261077153499</c:v>
                </c:pt>
                <c:pt idx="8">
                  <c:v>661.24031458462719</c:v>
                </c:pt>
                <c:pt idx="9">
                  <c:v>589.79706439931238</c:v>
                </c:pt>
                <c:pt idx="10">
                  <c:v>548.75082422711353</c:v>
                </c:pt>
                <c:pt idx="11">
                  <c:v>494.56236345484416</c:v>
                </c:pt>
                <c:pt idx="12">
                  <c:v>530.28782221072402</c:v>
                </c:pt>
                <c:pt idx="13">
                  <c:v>516.16663436663214</c:v>
                </c:pt>
                <c:pt idx="14">
                  <c:v>501.11606220465518</c:v>
                </c:pt>
                <c:pt idx="15">
                  <c:v>483.97524488788935</c:v>
                </c:pt>
                <c:pt idx="16">
                  <c:v>466.18740383552904</c:v>
                </c:pt>
                <c:pt idx="17">
                  <c:v>448.00435534252335</c:v>
                </c:pt>
                <c:pt idx="18">
                  <c:v>429.62152982472725</c:v>
                </c:pt>
                <c:pt idx="19">
                  <c:v>411.08766017830317</c:v>
                </c:pt>
                <c:pt idx="20">
                  <c:v>392.58130115279153</c:v>
                </c:pt>
                <c:pt idx="21">
                  <c:v>373.95725554860906</c:v>
                </c:pt>
                <c:pt idx="22">
                  <c:v>355.28333351992137</c:v>
                </c:pt>
                <c:pt idx="23">
                  <c:v>336.57001908506373</c:v>
                </c:pt>
                <c:pt idx="24">
                  <c:v>317.81887062104067</c:v>
                </c:pt>
                <c:pt idx="25">
                  <c:v>298.97816591691907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818.6584287345961</c:v>
                </c:pt>
                <c:pt idx="1">
                  <c:v>743.84667153374221</c:v>
                </c:pt>
                <c:pt idx="2">
                  <c:v>757.38470236827152</c:v>
                </c:pt>
                <c:pt idx="3">
                  <c:v>720.29253049646866</c:v>
                </c:pt>
                <c:pt idx="4">
                  <c:v>773.90350564980201</c:v>
                </c:pt>
                <c:pt idx="5">
                  <c:v>732.88012843485296</c:v>
                </c:pt>
                <c:pt idx="6">
                  <c:v>768.5526369547872</c:v>
                </c:pt>
                <c:pt idx="7">
                  <c:v>757.58090601552612</c:v>
                </c:pt>
                <c:pt idx="8">
                  <c:v>802.84577803681157</c:v>
                </c:pt>
                <c:pt idx="9">
                  <c:v>777.332146508081</c:v>
                </c:pt>
                <c:pt idx="10">
                  <c:v>630.12466673858808</c:v>
                </c:pt>
                <c:pt idx="11">
                  <c:v>640.00314761469986</c:v>
                </c:pt>
                <c:pt idx="12">
                  <c:v>653.72456566626215</c:v>
                </c:pt>
                <c:pt idx="13">
                  <c:v>636.83446389890332</c:v>
                </c:pt>
                <c:pt idx="14">
                  <c:v>619.32383282979242</c:v>
                </c:pt>
                <c:pt idx="15">
                  <c:v>599.72142626943912</c:v>
                </c:pt>
                <c:pt idx="16">
                  <c:v>579.79492898788783</c:v>
                </c:pt>
                <c:pt idx="17">
                  <c:v>559.85052574106055</c:v>
                </c:pt>
                <c:pt idx="18">
                  <c:v>540.11007160942631</c:v>
                </c:pt>
                <c:pt idx="19">
                  <c:v>520.62237287181688</c:v>
                </c:pt>
                <c:pt idx="20">
                  <c:v>501.59697238234997</c:v>
                </c:pt>
                <c:pt idx="21">
                  <c:v>482.83912423572252</c:v>
                </c:pt>
                <c:pt idx="22">
                  <c:v>464.41857368477827</c:v>
                </c:pt>
                <c:pt idx="23">
                  <c:v>446.33389652173048</c:v>
                </c:pt>
                <c:pt idx="24">
                  <c:v>428.57173481629525</c:v>
                </c:pt>
                <c:pt idx="25">
                  <c:v>411.05900045374818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692.10172751172217</c:v>
                </c:pt>
                <c:pt idx="1">
                  <c:v>658.83884974868806</c:v>
                </c:pt>
                <c:pt idx="2">
                  <c:v>744.88597417400729</c:v>
                </c:pt>
                <c:pt idx="3">
                  <c:v>734.40629962391722</c:v>
                </c:pt>
                <c:pt idx="4">
                  <c:v>799.49787288542746</c:v>
                </c:pt>
                <c:pt idx="5">
                  <c:v>786.84419024320039</c:v>
                </c:pt>
                <c:pt idx="6">
                  <c:v>799.49743747520574</c:v>
                </c:pt>
                <c:pt idx="7">
                  <c:v>824.50925167058915</c:v>
                </c:pt>
                <c:pt idx="8">
                  <c:v>735.36818085156801</c:v>
                </c:pt>
                <c:pt idx="9">
                  <c:v>762.62319528737498</c:v>
                </c:pt>
                <c:pt idx="10">
                  <c:v>758.16476382285566</c:v>
                </c:pt>
                <c:pt idx="11">
                  <c:v>699.30047837127847</c:v>
                </c:pt>
                <c:pt idx="12">
                  <c:v>714.25463880491452</c:v>
                </c:pt>
                <c:pt idx="13">
                  <c:v>702.74276953356321</c:v>
                </c:pt>
                <c:pt idx="14">
                  <c:v>690.49210395621412</c:v>
                </c:pt>
                <c:pt idx="15">
                  <c:v>675.75964302509294</c:v>
                </c:pt>
                <c:pt idx="16">
                  <c:v>660.47767839161611</c:v>
                </c:pt>
                <c:pt idx="17">
                  <c:v>645.00480519162943</c:v>
                </c:pt>
                <c:pt idx="18">
                  <c:v>629.57197576635701</c:v>
                </c:pt>
                <c:pt idx="19">
                  <c:v>614.24192808212399</c:v>
                </c:pt>
                <c:pt idx="20">
                  <c:v>599.25624654417993</c:v>
                </c:pt>
                <c:pt idx="21">
                  <c:v>584.39645021415652</c:v>
                </c:pt>
                <c:pt idx="22">
                  <c:v>569.74150823843945</c:v>
                </c:pt>
                <c:pt idx="23">
                  <c:v>555.29127781546492</c:v>
                </c:pt>
                <c:pt idx="24">
                  <c:v>541.03159795910562</c:v>
                </c:pt>
                <c:pt idx="25">
                  <c:v>526.90691520085272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271.47392804450686</c:v>
                </c:pt>
                <c:pt idx="1">
                  <c:v>311.23396533939092</c:v>
                </c:pt>
                <c:pt idx="2">
                  <c:v>335.48591814137194</c:v>
                </c:pt>
                <c:pt idx="3">
                  <c:v>349.60720466771846</c:v>
                </c:pt>
                <c:pt idx="4">
                  <c:v>366.37839393480868</c:v>
                </c:pt>
                <c:pt idx="5">
                  <c:v>347.79017019527225</c:v>
                </c:pt>
                <c:pt idx="6">
                  <c:v>338.7427459634568</c:v>
                </c:pt>
                <c:pt idx="7">
                  <c:v>354.02804390113783</c:v>
                </c:pt>
                <c:pt idx="8">
                  <c:v>351.05851527730539</c:v>
                </c:pt>
                <c:pt idx="9">
                  <c:v>367.17902110710247</c:v>
                </c:pt>
                <c:pt idx="10">
                  <c:v>392.24441782094812</c:v>
                </c:pt>
                <c:pt idx="11">
                  <c:v>404.41214785939985</c:v>
                </c:pt>
                <c:pt idx="12">
                  <c:v>379.24234800306209</c:v>
                </c:pt>
                <c:pt idx="13">
                  <c:v>382.01530165524167</c:v>
                </c:pt>
                <c:pt idx="14">
                  <c:v>384.2220078912506</c:v>
                </c:pt>
                <c:pt idx="15">
                  <c:v>384.715343209509</c:v>
                </c:pt>
                <c:pt idx="16">
                  <c:v>384.83648728457064</c:v>
                </c:pt>
                <c:pt idx="17">
                  <c:v>384.81558958900519</c:v>
                </c:pt>
                <c:pt idx="18">
                  <c:v>385.00471158703107</c:v>
                </c:pt>
                <c:pt idx="19">
                  <c:v>385.0726056203772</c:v>
                </c:pt>
                <c:pt idx="20">
                  <c:v>385.30301823171095</c:v>
                </c:pt>
                <c:pt idx="21" formatCode="General">
                  <c:v>385.35605509251292</c:v>
                </c:pt>
                <c:pt idx="22" formatCode="General">
                  <c:v>385.34311344327483</c:v>
                </c:pt>
                <c:pt idx="23" formatCode="General">
                  <c:v>385.34114338297496</c:v>
                </c:pt>
                <c:pt idx="24" formatCode="General">
                  <c:v>385.34253889852295</c:v>
                </c:pt>
                <c:pt idx="25">
                  <c:v>384.76558566144325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321.11526749891073</c:v>
                </c:pt>
                <c:pt idx="1">
                  <c:v>353.67904248869593</c:v>
                </c:pt>
                <c:pt idx="2">
                  <c:v>367.9769645706923</c:v>
                </c:pt>
                <c:pt idx="3">
                  <c:v>378.50607403590561</c:v>
                </c:pt>
                <c:pt idx="4">
                  <c:v>388.71654803443153</c:v>
                </c:pt>
                <c:pt idx="5">
                  <c:v>359.54549744715496</c:v>
                </c:pt>
                <c:pt idx="6">
                  <c:v>343.06524918327693</c:v>
                </c:pt>
                <c:pt idx="7">
                  <c:v>355.72049103708054</c:v>
                </c:pt>
                <c:pt idx="8">
                  <c:v>346.73913719777295</c:v>
                </c:pt>
                <c:pt idx="9">
                  <c:v>357.86430874235197</c:v>
                </c:pt>
                <c:pt idx="10">
                  <c:v>382.35442465949808</c:v>
                </c:pt>
                <c:pt idx="11">
                  <c:v>386.90260426014493</c:v>
                </c:pt>
                <c:pt idx="12">
                  <c:v>361.86464510854171</c:v>
                </c:pt>
                <c:pt idx="13">
                  <c:v>362.08562589470819</c:v>
                </c:pt>
                <c:pt idx="14">
                  <c:v>362.32673708874051</c:v>
                </c:pt>
                <c:pt idx="15">
                  <c:v>361.14111819799353</c:v>
                </c:pt>
                <c:pt idx="16">
                  <c:v>359.77406524547933</c:v>
                </c:pt>
                <c:pt idx="17">
                  <c:v>358.34522011293728</c:v>
                </c:pt>
                <c:pt idx="18">
                  <c:v>357.5881076231916</c:v>
                </c:pt>
                <c:pt idx="19">
                  <c:v>357.05885828320083</c:v>
                </c:pt>
                <c:pt idx="20">
                  <c:v>356.64091961993222</c:v>
                </c:pt>
                <c:pt idx="21" formatCode="General">
                  <c:v>356.2030593615259</c:v>
                </c:pt>
                <c:pt idx="22" formatCode="General">
                  <c:v>355.90639600049082</c:v>
                </c:pt>
                <c:pt idx="23" formatCode="General">
                  <c:v>355.58833524236053</c:v>
                </c:pt>
                <c:pt idx="24" formatCode="General">
                  <c:v>355.15396664356751</c:v>
                </c:pt>
                <c:pt idx="25">
                  <c:v>354.71033219107505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1081.0616091988657</c:v>
                </c:pt>
                <c:pt idx="1">
                  <c:v>1233.0661271419162</c:v>
                </c:pt>
                <c:pt idx="2">
                  <c:v>1347.1746658997129</c:v>
                </c:pt>
                <c:pt idx="3">
                  <c:v>1424.3859319899802</c:v>
                </c:pt>
                <c:pt idx="4">
                  <c:v>1547.5942012983387</c:v>
                </c:pt>
                <c:pt idx="5">
                  <c:v>1466.8215340858858</c:v>
                </c:pt>
                <c:pt idx="6">
                  <c:v>1416.5744476699724</c:v>
                </c:pt>
                <c:pt idx="7">
                  <c:v>1497.4713058368429</c:v>
                </c:pt>
                <c:pt idx="8">
                  <c:v>1515.2858548578927</c:v>
                </c:pt>
                <c:pt idx="9">
                  <c:v>1566.7165234412528</c:v>
                </c:pt>
                <c:pt idx="10">
                  <c:v>1631.9926000135615</c:v>
                </c:pt>
                <c:pt idx="11">
                  <c:v>1684.1047378088867</c:v>
                </c:pt>
                <c:pt idx="12">
                  <c:v>1588.970873488473</c:v>
                </c:pt>
                <c:pt idx="13">
                  <c:v>1594.031519485211</c:v>
                </c:pt>
                <c:pt idx="14">
                  <c:v>1596.4422986614093</c:v>
                </c:pt>
                <c:pt idx="15">
                  <c:v>1592.6488249222332</c:v>
                </c:pt>
                <c:pt idx="16">
                  <c:v>1586.3469906402038</c:v>
                </c:pt>
                <c:pt idx="17">
                  <c:v>1578.2878303134091</c:v>
                </c:pt>
                <c:pt idx="18">
                  <c:v>1568.168426122641</c:v>
                </c:pt>
                <c:pt idx="19">
                  <c:v>1556.948217017577</c:v>
                </c:pt>
                <c:pt idx="20">
                  <c:v>1545.3660630132676</c:v>
                </c:pt>
                <c:pt idx="21" formatCode="General">
                  <c:v>1533.0549281612837</c:v>
                </c:pt>
                <c:pt idx="22" formatCode="General">
                  <c:v>1520.0412793768089</c:v>
                </c:pt>
                <c:pt idx="23" formatCode="General">
                  <c:v>1506.4059240111594</c:v>
                </c:pt>
                <c:pt idx="24" formatCode="General">
                  <c:v>1492.1863683305542</c:v>
                </c:pt>
                <c:pt idx="25" formatCode="General">
                  <c:v>1477.546226951031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555.89095578025263</c:v>
                </c:pt>
                <c:pt idx="1">
                  <c:v>596.03667300991151</c:v>
                </c:pt>
                <c:pt idx="2">
                  <c:v>619.98330364556239</c:v>
                </c:pt>
                <c:pt idx="3">
                  <c:v>638.83808962936723</c:v>
                </c:pt>
                <c:pt idx="4">
                  <c:v>663.21774541887714</c:v>
                </c:pt>
                <c:pt idx="5">
                  <c:v>881.41613377129386</c:v>
                </c:pt>
                <c:pt idx="6">
                  <c:v>1093.2395411833722</c:v>
                </c:pt>
                <c:pt idx="7">
                  <c:v>1092.4323243238143</c:v>
                </c:pt>
                <c:pt idx="8">
                  <c:v>1123.9721302651774</c:v>
                </c:pt>
                <c:pt idx="9">
                  <c:v>1171.0388322569752</c:v>
                </c:pt>
                <c:pt idx="10">
                  <c:v>1286.8258493021121</c:v>
                </c:pt>
                <c:pt idx="11">
                  <c:v>1340.4619733748671</c:v>
                </c:pt>
                <c:pt idx="12">
                  <c:v>1465.6103955418887</c:v>
                </c:pt>
                <c:pt idx="13">
                  <c:v>1559.5589106262205</c:v>
                </c:pt>
                <c:pt idx="14">
                  <c:v>1653.7450600411</c:v>
                </c:pt>
                <c:pt idx="15">
                  <c:v>1743.2941601736184</c:v>
                </c:pt>
                <c:pt idx="16">
                  <c:v>1832.0843191236597</c:v>
                </c:pt>
                <c:pt idx="17">
                  <c:v>1920.5036996172817</c:v>
                </c:pt>
                <c:pt idx="18">
                  <c:v>2009.1406715903622</c:v>
                </c:pt>
                <c:pt idx="19">
                  <c:v>2097.906978800273</c:v>
                </c:pt>
                <c:pt idx="20">
                  <c:v>2187.529851509003</c:v>
                </c:pt>
                <c:pt idx="21" formatCode="General">
                  <c:v>2277.0976833479717</c:v>
                </c:pt>
                <c:pt idx="22" formatCode="General">
                  <c:v>2366.7839935204247</c:v>
                </c:pt>
                <c:pt idx="23" formatCode="General">
                  <c:v>2456.466827587451</c:v>
                </c:pt>
                <c:pt idx="24" formatCode="General">
                  <c:v>2545.9224898277284</c:v>
                </c:pt>
                <c:pt idx="25" formatCode="General">
                  <c:v>2634.5906837165412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75.882218470058589</c:v>
                </c:pt>
                <c:pt idx="1">
                  <c:v>76.873892619238987</c:v>
                </c:pt>
                <c:pt idx="2">
                  <c:v>79.709932695044643</c:v>
                </c:pt>
                <c:pt idx="3">
                  <c:v>83.416024000153755</c:v>
                </c:pt>
                <c:pt idx="4">
                  <c:v>87.895928314454352</c:v>
                </c:pt>
                <c:pt idx="5">
                  <c:v>113.63840206462548</c:v>
                </c:pt>
                <c:pt idx="6">
                  <c:v>141.01098579512791</c:v>
                </c:pt>
                <c:pt idx="7">
                  <c:v>141.46946335821406</c:v>
                </c:pt>
                <c:pt idx="8">
                  <c:v>144.41701871080423</c:v>
                </c:pt>
                <c:pt idx="9">
                  <c:v>151.30824955547968</c:v>
                </c:pt>
                <c:pt idx="10">
                  <c:v>161.65072151993115</c:v>
                </c:pt>
                <c:pt idx="11">
                  <c:v>171.21408363771428</c:v>
                </c:pt>
                <c:pt idx="12">
                  <c:v>185.79992137679679</c:v>
                </c:pt>
                <c:pt idx="13">
                  <c:v>197.4633427873494</c:v>
                </c:pt>
                <c:pt idx="14">
                  <c:v>209.23106781007948</c:v>
                </c:pt>
                <c:pt idx="15">
                  <c:v>220.43123967367589</c:v>
                </c:pt>
                <c:pt idx="16">
                  <c:v>231.48484461171302</c:v>
                </c:pt>
                <c:pt idx="17">
                  <c:v>242.57840922888386</c:v>
                </c:pt>
                <c:pt idx="18">
                  <c:v>253.59839916597795</c:v>
                </c:pt>
                <c:pt idx="19">
                  <c:v>264.62282098209857</c:v>
                </c:pt>
                <c:pt idx="20">
                  <c:v>275.72948609331178</c:v>
                </c:pt>
                <c:pt idx="21" formatCode="General">
                  <c:v>286.83765275485291</c:v>
                </c:pt>
                <c:pt idx="22" formatCode="General">
                  <c:v>297.95761307011844</c:v>
                </c:pt>
                <c:pt idx="23" formatCode="General">
                  <c:v>309.07645944884513</c:v>
                </c:pt>
                <c:pt idx="24" formatCode="General">
                  <c:v>320.20107303764871</c:v>
                </c:pt>
                <c:pt idx="25" formatCode="General">
                  <c:v>331.30684385995289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91665645899213932"/>
          <c:h val="9.310118677913352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439.61936541253647</c:v>
                </c:pt>
                <c:pt idx="1">
                  <c:v>186.84262660144509</c:v>
                </c:pt>
                <c:pt idx="2">
                  <c:v>341.5971984313648</c:v>
                </c:pt>
                <c:pt idx="3">
                  <c:v>253.3802593272118</c:v>
                </c:pt>
                <c:pt idx="4">
                  <c:v>342.63322989670951</c:v>
                </c:pt>
                <c:pt idx="5">
                  <c:v>578.85510824114158</c:v>
                </c:pt>
                <c:pt idx="6">
                  <c:v>81.903763878624659</c:v>
                </c:pt>
                <c:pt idx="7">
                  <c:v>96.617057225558284</c:v>
                </c:pt>
                <c:pt idx="8">
                  <c:v>66.411785193429807</c:v>
                </c:pt>
                <c:pt idx="9">
                  <c:v>223.52526281482929</c:v>
                </c:pt>
                <c:pt idx="10">
                  <c:v>503.40328903988308</c:v>
                </c:pt>
                <c:pt idx="11">
                  <c:v>399.8387719269964</c:v>
                </c:pt>
                <c:pt idx="12">
                  <c:v>101.86485631189477</c:v>
                </c:pt>
                <c:pt idx="13">
                  <c:v>26.294453584726924</c:v>
                </c:pt>
                <c:pt idx="14">
                  <c:v>119.88160092800702</c:v>
                </c:pt>
                <c:pt idx="15">
                  <c:v>163.13365486178674</c:v>
                </c:pt>
                <c:pt idx="16">
                  <c:v>128.98513495746371</c:v>
                </c:pt>
                <c:pt idx="17">
                  <c:v>253.00446871969206</c:v>
                </c:pt>
                <c:pt idx="18">
                  <c:v>100.18519998138873</c:v>
                </c:pt>
                <c:pt idx="19">
                  <c:v>5.9382957218516932</c:v>
                </c:pt>
                <c:pt idx="20">
                  <c:v>317.65918909274848</c:v>
                </c:pt>
                <c:pt idx="21">
                  <c:v>78.11547202864962</c:v>
                </c:pt>
                <c:pt idx="22">
                  <c:v>35.434452802600624</c:v>
                </c:pt>
                <c:pt idx="23">
                  <c:v>182.23681734593583</c:v>
                </c:pt>
                <c:pt idx="24">
                  <c:v>44.118542088264775</c:v>
                </c:pt>
                <c:pt idx="25">
                  <c:v>502.07614358936502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526.87103828580155</c:v>
                </c:pt>
                <c:pt idx="1">
                  <c:v>198.20219409915316</c:v>
                </c:pt>
                <c:pt idx="2">
                  <c:v>423.83885764393955</c:v>
                </c:pt>
                <c:pt idx="3">
                  <c:v>289.86377178651531</c:v>
                </c:pt>
                <c:pt idx="4">
                  <c:v>370.65753423648943</c:v>
                </c:pt>
                <c:pt idx="5">
                  <c:v>729.85312521326705</c:v>
                </c:pt>
                <c:pt idx="6">
                  <c:v>105.44228217606674</c:v>
                </c:pt>
                <c:pt idx="7">
                  <c:v>109.6581082081135</c:v>
                </c:pt>
                <c:pt idx="8">
                  <c:v>75.80441572551301</c:v>
                </c:pt>
                <c:pt idx="9">
                  <c:v>244.51539437746447</c:v>
                </c:pt>
                <c:pt idx="10">
                  <c:v>550.05772654184398</c:v>
                </c:pt>
                <c:pt idx="11">
                  <c:v>403.63982178925511</c:v>
                </c:pt>
                <c:pt idx="12">
                  <c:v>88.717808960952368</c:v>
                </c:pt>
                <c:pt idx="13">
                  <c:v>25.224786294385733</c:v>
                </c:pt>
                <c:pt idx="14">
                  <c:v>111.14071561048978</c:v>
                </c:pt>
                <c:pt idx="15">
                  <c:v>112.25935423674792</c:v>
                </c:pt>
                <c:pt idx="16">
                  <c:v>113.17858727747519</c:v>
                </c:pt>
                <c:pt idx="17">
                  <c:v>252.16320992365189</c:v>
                </c:pt>
                <c:pt idx="18">
                  <c:v>99.491973158038263</c:v>
                </c:pt>
                <c:pt idx="19">
                  <c:v>6.7390265142800718</c:v>
                </c:pt>
                <c:pt idx="20">
                  <c:v>277.11013700415418</c:v>
                </c:pt>
                <c:pt idx="21">
                  <c:v>84.914331249932388</c:v>
                </c:pt>
                <c:pt idx="22">
                  <c:v>31.105873118691047</c:v>
                </c:pt>
                <c:pt idx="23">
                  <c:v>183.44574594007335</c:v>
                </c:pt>
                <c:pt idx="24">
                  <c:v>35.852641009177191</c:v>
                </c:pt>
                <c:pt idx="25">
                  <c:v>487.63253962385613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543.51331220374857</c:v>
                </c:pt>
                <c:pt idx="1">
                  <c:v>281.91344778289721</c:v>
                </c:pt>
                <c:pt idx="2">
                  <c:v>511.56986191940257</c:v>
                </c:pt>
                <c:pt idx="3">
                  <c:v>314.63253825255418</c:v>
                </c:pt>
                <c:pt idx="4">
                  <c:v>405.31749165504783</c:v>
                </c:pt>
                <c:pt idx="5">
                  <c:v>910.8448054975928</c:v>
                </c:pt>
                <c:pt idx="6">
                  <c:v>103.72464919203004</c:v>
                </c:pt>
                <c:pt idx="7">
                  <c:v>113.02119267279436</c:v>
                </c:pt>
                <c:pt idx="8">
                  <c:v>101.60369334487039</c:v>
                </c:pt>
                <c:pt idx="9">
                  <c:v>278.61027449263656</c:v>
                </c:pt>
                <c:pt idx="10">
                  <c:v>553.90888183733466</c:v>
                </c:pt>
                <c:pt idx="11">
                  <c:v>335.62418452466846</c:v>
                </c:pt>
                <c:pt idx="12">
                  <c:v>78.527613837520136</c:v>
                </c:pt>
                <c:pt idx="13">
                  <c:v>32.47501086648176</c:v>
                </c:pt>
                <c:pt idx="14">
                  <c:v>111.9329693226548</c:v>
                </c:pt>
                <c:pt idx="15">
                  <c:v>137.47363645308153</c:v>
                </c:pt>
                <c:pt idx="16">
                  <c:v>126.68335451496061</c:v>
                </c:pt>
                <c:pt idx="17">
                  <c:v>288.67846948308761</c:v>
                </c:pt>
                <c:pt idx="18">
                  <c:v>113.77979691516451</c:v>
                </c:pt>
                <c:pt idx="19">
                  <c:v>5.9898441030475</c:v>
                </c:pt>
                <c:pt idx="20">
                  <c:v>243.68551158385674</c:v>
                </c:pt>
                <c:pt idx="21">
                  <c:v>117.74614770212519</c:v>
                </c:pt>
                <c:pt idx="22">
                  <c:v>40.998968578618566</c:v>
                </c:pt>
                <c:pt idx="23">
                  <c:v>201.77357034406313</c:v>
                </c:pt>
                <c:pt idx="24">
                  <c:v>27.25894477799643</c:v>
                </c:pt>
                <c:pt idx="25">
                  <c:v>499.44682814922436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87.251672873265079</c:v>
                </c:pt>
                <c:pt idx="1">
                  <c:v>11.359567497708071</c:v>
                </c:pt>
                <c:pt idx="2">
                  <c:v>82.241659212574746</c:v>
                </c:pt>
                <c:pt idx="3">
                  <c:v>36.483512459303512</c:v>
                </c:pt>
                <c:pt idx="4">
                  <c:v>28.024304339779917</c:v>
                </c:pt>
                <c:pt idx="5">
                  <c:v>150.99801697212547</c:v>
                </c:pt>
                <c:pt idx="6">
                  <c:v>23.538518297442081</c:v>
                </c:pt>
                <c:pt idx="7">
                  <c:v>13.04105098255522</c:v>
                </c:pt>
                <c:pt idx="8">
                  <c:v>9.3926305320832029</c:v>
                </c:pt>
                <c:pt idx="9">
                  <c:v>20.990131562635185</c:v>
                </c:pt>
                <c:pt idx="10">
                  <c:v>46.654437501960899</c:v>
                </c:pt>
                <c:pt idx="11">
                  <c:v>3.8010498622587079</c:v>
                </c:pt>
                <c:pt idx="12">
                  <c:v>-13.147047350942401</c:v>
                </c:pt>
                <c:pt idx="13">
                  <c:v>-1.0696672903411901</c:v>
                </c:pt>
                <c:pt idx="14">
                  <c:v>-8.7408853175172396</c:v>
                </c:pt>
                <c:pt idx="15">
                  <c:v>-50.874300625038813</c:v>
                </c:pt>
                <c:pt idx="16">
                  <c:v>-15.806547679988526</c:v>
                </c:pt>
                <c:pt idx="17">
                  <c:v>-0.84125879604016518</c:v>
                </c:pt>
                <c:pt idx="18">
                  <c:v>-0.69322682335047148</c:v>
                </c:pt>
                <c:pt idx="19">
                  <c:v>0.80073079242837863</c:v>
                </c:pt>
                <c:pt idx="20">
                  <c:v>-40.549052088594294</c:v>
                </c:pt>
                <c:pt idx="21">
                  <c:v>6.7988592212827683</c:v>
                </c:pt>
                <c:pt idx="22">
                  <c:v>-4.3285796839095774</c:v>
                </c:pt>
                <c:pt idx="23">
                  <c:v>1.2089285941375181</c:v>
                </c:pt>
                <c:pt idx="24">
                  <c:v>-8.265901079087584</c:v>
                </c:pt>
                <c:pt idx="25">
                  <c:v>-14.443603965508885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16.642273917947023</c:v>
                </c:pt>
                <c:pt idx="1">
                  <c:v>83.711253683744047</c:v>
                </c:pt>
                <c:pt idx="2">
                  <c:v>87.731004275463022</c:v>
                </c:pt>
                <c:pt idx="3">
                  <c:v>24.768766466038869</c:v>
                </c:pt>
                <c:pt idx="4">
                  <c:v>34.659957418558406</c:v>
                </c:pt>
                <c:pt idx="5">
                  <c:v>180.99168028432575</c:v>
                </c:pt>
                <c:pt idx="6">
                  <c:v>-1.7176329840366975</c:v>
                </c:pt>
                <c:pt idx="7">
                  <c:v>3.3630844646808526</c:v>
                </c:pt>
                <c:pt idx="8">
                  <c:v>25.799277619357383</c:v>
                </c:pt>
                <c:pt idx="9">
                  <c:v>34.094880115172089</c:v>
                </c:pt>
                <c:pt idx="10">
                  <c:v>3.8511552954906847</c:v>
                </c:pt>
                <c:pt idx="11">
                  <c:v>-68.015637264586644</c:v>
                </c:pt>
                <c:pt idx="12">
                  <c:v>-10.190195123432233</c:v>
                </c:pt>
                <c:pt idx="13">
                  <c:v>7.2502245720960268</c:v>
                </c:pt>
                <c:pt idx="14">
                  <c:v>0.79225371216502083</c:v>
                </c:pt>
                <c:pt idx="15">
                  <c:v>25.214282216333601</c:v>
                </c:pt>
                <c:pt idx="16">
                  <c:v>13.504767237485424</c:v>
                </c:pt>
                <c:pt idx="17">
                  <c:v>36.515259559435719</c:v>
                </c:pt>
                <c:pt idx="18">
                  <c:v>14.287823757126247</c:v>
                </c:pt>
                <c:pt idx="19">
                  <c:v>-0.74918241123257179</c:v>
                </c:pt>
                <c:pt idx="20">
                  <c:v>-33.424625420297446</c:v>
                </c:pt>
                <c:pt idx="21">
                  <c:v>32.831816452192797</c:v>
                </c:pt>
                <c:pt idx="22">
                  <c:v>9.8930954599275189</c:v>
                </c:pt>
                <c:pt idx="23">
                  <c:v>18.32782440398978</c:v>
                </c:pt>
                <c:pt idx="24">
                  <c:v>-8.5936962311807612</c:v>
                </c:pt>
                <c:pt idx="25">
                  <c:v>11.814288525368227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7.8875921478534092</c:v>
                </c:pt>
                <c:pt idx="1">
                  <c:v>8.873795336451014</c:v>
                </c:pt>
                <c:pt idx="2">
                  <c:v>8.3865998563916406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3.3523055406872637</c:v>
                </c:pt>
                <c:pt idx="1">
                  <c:v>3.3382091211423894</c:v>
                </c:pt>
                <c:pt idx="2">
                  <c:v>4.3500227641243265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1.4695064314158557</c:v>
                </c:pt>
                <c:pt idx="1">
                  <c:v>1.7759056084824618</c:v>
                </c:pt>
                <c:pt idx="2">
                  <c:v>1.6005074916951647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1.7334903825401073</c:v>
                </c:pt>
                <c:pt idx="1">
                  <c:v>1.8469104173711453</c:v>
                </c:pt>
                <c:pt idx="2">
                  <c:v>1.7439563980422628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1.1915514115832133</c:v>
                </c:pt>
                <c:pt idx="1">
                  <c:v>1.2767315374479922</c:v>
                </c:pt>
                <c:pt idx="2">
                  <c:v>1.5677804036849743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4.0104605177496122</c:v>
                </c:pt>
                <c:pt idx="1">
                  <c:v>4.1182365486945338</c:v>
                </c:pt>
                <c:pt idx="2">
                  <c:v>4.299053648888834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9.0319948169447333</c:v>
                </c:pt>
                <c:pt idx="1">
                  <c:v>9.2643158076153469</c:v>
                </c:pt>
                <c:pt idx="2">
                  <c:v>8.5470071193575574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7.1738540337031118</c:v>
                </c:pt>
                <c:pt idx="1">
                  <c:v>6.7982806188265963</c:v>
                </c:pt>
                <c:pt idx="2">
                  <c:v>5.1787981536705647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1.827645695348171</c:v>
                </c:pt>
                <c:pt idx="1">
                  <c:v>1.4942246246429651</c:v>
                </c:pt>
                <c:pt idx="2">
                  <c:v>1.2117084533996487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4.5393725068790127</c:v>
                </c:pt>
                <c:pt idx="1">
                  <c:v>4.2470444447379334</c:v>
                </c:pt>
                <c:pt idx="2">
                  <c:v>4.4544094070002132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1.7975095250019002</c:v>
                </c:pt>
                <c:pt idx="1">
                  <c:v>1.6756878690781165</c:v>
                </c:pt>
                <c:pt idx="2">
                  <c:v>1.7556619259240427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0.10654411154830629</c:v>
                </c:pt>
                <c:pt idx="1">
                  <c:v>0.11350166873700748</c:v>
                </c:pt>
                <c:pt idx="2">
                  <c:v>9.2425382353091182E-2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24-4258-ADBA-A2E701882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5092389486513718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5.6993988952925996</c:v>
                </c:pt>
                <c:pt idx="1">
                  <c:v>4.6672116376548081</c:v>
                </c:pt>
                <c:pt idx="2">
                  <c:v>3.7601523836968518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1.4015374032052796</c:v>
                </c:pt>
                <c:pt idx="1">
                  <c:v>1.4301647687735748</c:v>
                </c:pt>
                <c:pt idx="2">
                  <c:v>1.8168641010933115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5.891244981579470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0.63576023641952306</c:v>
                </c:pt>
                <c:pt idx="1">
                  <c:v>0.52389888940364659</c:v>
                </c:pt>
                <c:pt idx="2">
                  <c:v>0.63262837592605414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3.2696687239852182</c:v>
                </c:pt>
                <c:pt idx="1">
                  <c:v>3.0896744867797548</c:v>
                </c:pt>
                <c:pt idx="2">
                  <c:v>3.1134365213796098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6.1288914730759512</c:v>
                </c:pt>
                <c:pt idx="1">
                  <c:v>7.1384817252515722</c:v>
                </c:pt>
                <c:pt idx="2">
                  <c:v>7.8937012841724528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4.5461148919473509</c:v>
                </c:pt>
                <c:pt idx="1">
                  <c:v>4.8820140022386154</c:v>
                </c:pt>
                <c:pt idx="2">
                  <c:v>4.8548897347629856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6.1474798117477789</c:v>
                </c:pt>
                <c:pt idx="1">
                  <c:v>6.242778326608259</c:v>
                </c:pt>
                <c:pt idx="2">
                  <c:v>6.2541901752591516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10.385741315610986</c:v>
                </c:pt>
                <c:pt idx="1">
                  <c:v>12.292509529245502</c:v>
                </c:pt>
                <c:pt idx="2">
                  <c:v>14.054652836391924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0.47177158684164205</c:v>
                </c:pt>
                <c:pt idx="1">
                  <c:v>0.42484702083903814</c:v>
                </c:pt>
                <c:pt idx="2">
                  <c:v>0.50110073728434157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2.1508997295069552</c:v>
                </c:pt>
                <c:pt idx="1">
                  <c:v>1.871881147771888</c:v>
                </c:pt>
                <c:pt idx="2">
                  <c:v>1.7271647324342985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2.9269223250231367</c:v>
                </c:pt>
                <c:pt idx="1">
                  <c:v>1.890721754872176</c:v>
                </c:pt>
                <c:pt idx="2">
                  <c:v>2.1212661288098227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2.3142341255271983</c:v>
                </c:pt>
                <c:pt idx="1">
                  <c:v>1.906203884799941</c:v>
                </c:pt>
                <c:pt idx="2">
                  <c:v>1.9547683174024979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0.79156901066809537</c:v>
                </c:pt>
                <c:pt idx="1">
                  <c:v>0.60384605618445253</c:v>
                </c:pt>
                <c:pt idx="2">
                  <c:v>0.42061501940698154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9.0081833498935886</c:v>
                </c:pt>
                <c:pt idx="1">
                  <c:v>8.2129231663492437</c:v>
                </c:pt>
                <c:pt idx="2">
                  <c:v>7.7066386474473862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3.2205922941874405</c:v>
                </c:pt>
                <c:pt idx="1">
                  <c:v>28.220919863917288</c:v>
                </c:pt>
                <c:pt idx="2">
                  <c:v>-0.59280896810463446</c:v>
                </c:pt>
                <c:pt idx="3">
                  <c:v>50.053900905329442</c:v>
                </c:pt>
                <c:pt idx="4">
                  <c:v>46.761527738080076</c:v>
                </c:pt>
                <c:pt idx="5">
                  <c:v>-78.205832388018848</c:v>
                </c:pt>
                <c:pt idx="6">
                  <c:v>65.39076451066444</c:v>
                </c:pt>
                <c:pt idx="7">
                  <c:v>328.15140844438588</c:v>
                </c:pt>
                <c:pt idx="8">
                  <c:v>100.35352760169098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269.18695783296761</c:v>
                </c:pt>
                <c:pt idx="1">
                  <c:v>151.57012570937644</c:v>
                </c:pt>
                <c:pt idx="2">
                  <c:v>164.47410104790319</c:v>
                </c:pt>
                <c:pt idx="3">
                  <c:v>258.85361091833619</c:v>
                </c:pt>
                <c:pt idx="4">
                  <c:v>218.33539267489004</c:v>
                </c:pt>
                <c:pt idx="5">
                  <c:v>152.03723371657767</c:v>
                </c:pt>
                <c:pt idx="6">
                  <c:v>576.59994229670076</c:v>
                </c:pt>
                <c:pt idx="7">
                  <c:v>1280.1730657354292</c:v>
                </c:pt>
                <c:pt idx="8">
                  <c:v>514.02803229834512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16.642273917947023</c:v>
                </c:pt>
                <c:pt idx="1">
                  <c:v>83.711253683744047</c:v>
                </c:pt>
                <c:pt idx="2">
                  <c:v>87.731004275463022</c:v>
                </c:pt>
                <c:pt idx="3">
                  <c:v>24.768766466038869</c:v>
                </c:pt>
                <c:pt idx="4">
                  <c:v>34.659957418558406</c:v>
                </c:pt>
                <c:pt idx="5">
                  <c:v>180.99168028432575</c:v>
                </c:pt>
                <c:pt idx="6">
                  <c:v>-1.7176329840366975</c:v>
                </c:pt>
                <c:pt idx="7">
                  <c:v>3.3630844646808526</c:v>
                </c:pt>
                <c:pt idx="8">
                  <c:v>25.799277619357383</c:v>
                </c:pt>
                <c:pt idx="9">
                  <c:v>34.094880115172089</c:v>
                </c:pt>
                <c:pt idx="10">
                  <c:v>3.8511552954906847</c:v>
                </c:pt>
                <c:pt idx="11">
                  <c:v>-68.015637264586644</c:v>
                </c:pt>
                <c:pt idx="12">
                  <c:v>-10.190195123432233</c:v>
                </c:pt>
                <c:pt idx="13">
                  <c:v>7.2502245720960268</c:v>
                </c:pt>
                <c:pt idx="14">
                  <c:v>0.79225371216502083</c:v>
                </c:pt>
                <c:pt idx="15">
                  <c:v>25.214282216333601</c:v>
                </c:pt>
                <c:pt idx="16">
                  <c:v>13.504767237485424</c:v>
                </c:pt>
                <c:pt idx="17">
                  <c:v>36.515259559435719</c:v>
                </c:pt>
                <c:pt idx="18">
                  <c:v>14.287823757126247</c:v>
                </c:pt>
                <c:pt idx="19">
                  <c:v>-0.74918241123257179</c:v>
                </c:pt>
                <c:pt idx="20">
                  <c:v>-33.424625420297446</c:v>
                </c:pt>
                <c:pt idx="21">
                  <c:v>32.831816452192797</c:v>
                </c:pt>
                <c:pt idx="22">
                  <c:v>9.8930954599275189</c:v>
                </c:pt>
                <c:pt idx="23">
                  <c:v>18.32782440398978</c:v>
                </c:pt>
                <c:pt idx="24">
                  <c:v>-8.5936962311807612</c:v>
                </c:pt>
                <c:pt idx="25">
                  <c:v>11.814288525368227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285.30858778138725</c:v>
                </c:pt>
                <c:pt idx="1">
                  <c:v>228.71944451695799</c:v>
                </c:pt>
                <c:pt idx="2">
                  <c:v>273.54559348809687</c:v>
                </c:pt>
                <c:pt idx="3">
                  <c:v>186.64951426813084</c:v>
                </c:pt>
                <c:pt idx="4">
                  <c:v>232.9858197848082</c:v>
                </c:pt>
                <c:pt idx="5">
                  <c:v>586.99213819439342</c:v>
                </c:pt>
                <c:pt idx="6">
                  <c:v>40.529678593080021</c:v>
                </c:pt>
                <c:pt idx="7">
                  <c:v>65.705459686804431</c:v>
                </c:pt>
                <c:pt idx="8">
                  <c:v>58.067507617761173</c:v>
                </c:pt>
                <c:pt idx="9">
                  <c:v>155.90537814508255</c:v>
                </c:pt>
                <c:pt idx="10">
                  <c:v>256.39191825397245</c:v>
                </c:pt>
                <c:pt idx="11">
                  <c:v>114.76573786186597</c:v>
                </c:pt>
                <c:pt idx="12">
                  <c:v>37.271495854711674</c:v>
                </c:pt>
                <c:pt idx="13">
                  <c:v>26.007095725949167</c:v>
                </c:pt>
                <c:pt idx="14">
                  <c:v>46.120242148720102</c:v>
                </c:pt>
                <c:pt idx="15">
                  <c:v>81.541938875991391</c:v>
                </c:pt>
                <c:pt idx="16">
                  <c:v>64.666115924229388</c:v>
                </c:pt>
                <c:pt idx="17">
                  <c:v>186.61896777777221</c:v>
                </c:pt>
                <c:pt idx="18">
                  <c:v>69.899921368657431</c:v>
                </c:pt>
                <c:pt idx="19">
                  <c:v>2.3347217719064739</c:v>
                </c:pt>
                <c:pt idx="20">
                  <c:v>81.546688126592358</c:v>
                </c:pt>
                <c:pt idx="21">
                  <c:v>82.927412921310818</c:v>
                </c:pt>
                <c:pt idx="22">
                  <c:v>25.750423851526289</c:v>
                </c:pt>
                <c:pt idx="23">
                  <c:v>125.81970185785016</c:v>
                </c:pt>
                <c:pt idx="24">
                  <c:v>2.8312302773545337</c:v>
                </c:pt>
                <c:pt idx="25">
                  <c:v>266.35572755561304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67236</xdr:colOff>
      <xdr:row>0</xdr:row>
      <xdr:rowOff>33618</xdr:rowOff>
    </xdr:from>
    <xdr:to>
      <xdr:col>19</xdr:col>
      <xdr:colOff>437030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44825</xdr:colOff>
      <xdr:row>0</xdr:row>
      <xdr:rowOff>22412</xdr:rowOff>
    </xdr:from>
    <xdr:to>
      <xdr:col>7</xdr:col>
      <xdr:colOff>414619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737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224118</xdr:colOff>
      <xdr:row>0</xdr:row>
      <xdr:rowOff>0</xdr:rowOff>
    </xdr:from>
    <xdr:to>
      <xdr:col>6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7912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603249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479986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67235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9</xdr:col>
      <xdr:colOff>990600</xdr:colOff>
      <xdr:row>62</xdr:row>
      <xdr:rowOff>63500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B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317500</xdr:colOff>
      <xdr:row>0</xdr:row>
      <xdr:rowOff>0</xdr:rowOff>
    </xdr:from>
    <xdr:to>
      <xdr:col>14</xdr:col>
      <xdr:colOff>14194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C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C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C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C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C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C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38099</xdr:rowOff>
    </xdr:from>
    <xdr:to>
      <xdr:col>9</xdr:col>
      <xdr:colOff>28575</xdr:colOff>
      <xdr:row>45</xdr:row>
      <xdr:rowOff>34924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C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C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C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1193800</xdr:colOff>
      <xdr:row>0</xdr:row>
      <xdr:rowOff>12700</xdr:rowOff>
    </xdr:from>
    <xdr:to>
      <xdr:col>11</xdr:col>
      <xdr:colOff>28164</xdr:colOff>
      <xdr:row>2</xdr:row>
      <xdr:rowOff>14194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12700"/>
          <a:ext cx="383764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280147</xdr:colOff>
      <xdr:row>0</xdr:row>
      <xdr:rowOff>0</xdr:rowOff>
    </xdr:from>
    <xdr:to>
      <xdr:col>14</xdr:col>
      <xdr:colOff>42955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51794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156882</xdr:colOff>
      <xdr:row>0</xdr:row>
      <xdr:rowOff>33618</xdr:rowOff>
    </xdr:from>
    <xdr:to>
      <xdr:col>19</xdr:col>
      <xdr:colOff>524808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5147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257736</xdr:colOff>
      <xdr:row>0</xdr:row>
      <xdr:rowOff>0</xdr:rowOff>
    </xdr:from>
    <xdr:to>
      <xdr:col>34</xdr:col>
      <xdr:colOff>22412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54177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112058</xdr:colOff>
      <xdr:row>0</xdr:row>
      <xdr:rowOff>11206</xdr:rowOff>
    </xdr:from>
    <xdr:to>
      <xdr:col>32</xdr:col>
      <xdr:colOff>481852</xdr:colOff>
      <xdr:row>2</xdr:row>
      <xdr:rowOff>22412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79029" y="11206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3586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145677</xdr:colOff>
      <xdr:row>0</xdr:row>
      <xdr:rowOff>22413</xdr:rowOff>
    </xdr:from>
    <xdr:to>
      <xdr:col>47</xdr:col>
      <xdr:colOff>515471</xdr:colOff>
      <xdr:row>2</xdr:row>
      <xdr:rowOff>33619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61736" y="22413"/>
          <a:ext cx="369794" cy="36979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63500</xdr:rowOff>
    </xdr:from>
    <xdr:to>
      <xdr:col>9</xdr:col>
      <xdr:colOff>1057275</xdr:colOff>
      <xdr:row>78</xdr:row>
      <xdr:rowOff>130175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139700</xdr:colOff>
      <xdr:row>0</xdr:row>
      <xdr:rowOff>0</xdr:rowOff>
    </xdr:from>
    <xdr:to>
      <xdr:col>13</xdr:col>
      <xdr:colOff>517077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23700" y="0"/>
          <a:ext cx="377377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25401</xdr:rowOff>
    </xdr:from>
    <xdr:to>
      <xdr:col>9</xdr:col>
      <xdr:colOff>1057275</xdr:colOff>
      <xdr:row>147</xdr:row>
      <xdr:rowOff>139701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31750</xdr:colOff>
      <xdr:row>150</xdr:row>
      <xdr:rowOff>15875</xdr:rowOff>
    </xdr:from>
    <xdr:to>
      <xdr:col>9</xdr:col>
      <xdr:colOff>1089025</xdr:colOff>
      <xdr:row>184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164</xdr:row>
      <xdr:rowOff>9525</xdr:rowOff>
    </xdr:from>
    <xdr:to>
      <xdr:col>9</xdr:col>
      <xdr:colOff>9525</xdr:colOff>
      <xdr:row>196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198</xdr:row>
      <xdr:rowOff>190500</xdr:rowOff>
    </xdr:from>
    <xdr:to>
      <xdr:col>9</xdr:col>
      <xdr:colOff>9525</xdr:colOff>
      <xdr:row>231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234</xdr:row>
      <xdr:rowOff>63500</xdr:rowOff>
    </xdr:from>
    <xdr:to>
      <xdr:col>8</xdr:col>
      <xdr:colOff>2114550</xdr:colOff>
      <xdr:row>266</xdr:row>
      <xdr:rowOff>82550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269</xdr:row>
      <xdr:rowOff>0</xdr:rowOff>
    </xdr:from>
    <xdr:to>
      <xdr:col>9</xdr:col>
      <xdr:colOff>9525</xdr:colOff>
      <xdr:row>301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303</xdr:row>
      <xdr:rowOff>190500</xdr:rowOff>
    </xdr:from>
    <xdr:to>
      <xdr:col>8</xdr:col>
      <xdr:colOff>2117725</xdr:colOff>
      <xdr:row>336</xdr:row>
      <xdr:rowOff>25400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339</xdr:row>
      <xdr:rowOff>0</xdr:rowOff>
    </xdr:from>
    <xdr:to>
      <xdr:col>8</xdr:col>
      <xdr:colOff>2114550</xdr:colOff>
      <xdr:row>371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374</xdr:row>
      <xdr:rowOff>0</xdr:rowOff>
    </xdr:from>
    <xdr:to>
      <xdr:col>9</xdr:col>
      <xdr:colOff>9525</xdr:colOff>
      <xdr:row>406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</xdr:colOff>
      <xdr:row>409</xdr:row>
      <xdr:rowOff>22225</xdr:rowOff>
    </xdr:from>
    <xdr:to>
      <xdr:col>9</xdr:col>
      <xdr:colOff>12700</xdr:colOff>
      <xdr:row>439</xdr:row>
      <xdr:rowOff>139700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444</xdr:row>
      <xdr:rowOff>0</xdr:rowOff>
    </xdr:from>
    <xdr:to>
      <xdr:col>9</xdr:col>
      <xdr:colOff>9525</xdr:colOff>
      <xdr:row>476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58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12700</xdr:colOff>
      <xdr:row>118</xdr:row>
      <xdr:rowOff>0</xdr:rowOff>
    </xdr:from>
    <xdr:to>
      <xdr:col>9</xdr:col>
      <xdr:colOff>12700</xdr:colOff>
      <xdr:row>161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</xdr:colOff>
      <xdr:row>479</xdr:row>
      <xdr:rowOff>12700</xdr:rowOff>
    </xdr:from>
    <xdr:to>
      <xdr:col>9</xdr:col>
      <xdr:colOff>0</xdr:colOff>
      <xdr:row>503</xdr:row>
      <xdr:rowOff>127000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12700</xdr:colOff>
      <xdr:row>506</xdr:row>
      <xdr:rowOff>190500</xdr:rowOff>
    </xdr:from>
    <xdr:to>
      <xdr:col>8</xdr:col>
      <xdr:colOff>2095500</xdr:colOff>
      <xdr:row>532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377377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59</xdr:row>
      <xdr:rowOff>63500</xdr:rowOff>
    </xdr:from>
    <xdr:to>
      <xdr:col>9</xdr:col>
      <xdr:colOff>12700</xdr:colOff>
      <xdr:row>115</xdr:row>
      <xdr:rowOff>41275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18</xdr:col>
      <xdr:colOff>622300</xdr:colOff>
      <xdr:row>29</xdr:row>
      <xdr:rowOff>12700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GrpSpPr/>
      </xdr:nvGrpSpPr>
      <xdr:grpSpPr>
        <a:xfrm>
          <a:off x="0" y="4064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6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6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6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6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6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6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6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6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50800</xdr:rowOff>
    </xdr:from>
    <xdr:to>
      <xdr:col>9</xdr:col>
      <xdr:colOff>260351</xdr:colOff>
      <xdr:row>38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375472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40</xdr:row>
      <xdr:rowOff>0</xdr:rowOff>
    </xdr:from>
    <xdr:to>
      <xdr:col>9</xdr:col>
      <xdr:colOff>247651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79</xdr:row>
      <xdr:rowOff>0</xdr:rowOff>
    </xdr:from>
    <xdr:to>
      <xdr:col>9</xdr:col>
      <xdr:colOff>247651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371662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9971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A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52</xdr:row>
      <xdr:rowOff>0</xdr:rowOff>
    </xdr:from>
    <xdr:to>
      <xdr:col>8</xdr:col>
      <xdr:colOff>2117725</xdr:colOff>
      <xdr:row>97</xdr:row>
      <xdr:rowOff>57150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377377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83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83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84</xdr:row>
      <xdr:rowOff>85910</xdr:rowOff>
    </xdr:from>
    <xdr:to>
      <xdr:col>30</xdr:col>
      <xdr:colOff>493058</xdr:colOff>
      <xdr:row>109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84</xdr:row>
      <xdr:rowOff>142688</xdr:rowOff>
    </xdr:from>
    <xdr:to>
      <xdr:col>49</xdr:col>
      <xdr:colOff>489698</xdr:colOff>
      <xdr:row>110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111</xdr:row>
      <xdr:rowOff>53041</xdr:rowOff>
    </xdr:from>
    <xdr:to>
      <xdr:col>30</xdr:col>
      <xdr:colOff>518271</xdr:colOff>
      <xdr:row>139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111</xdr:row>
      <xdr:rowOff>53041</xdr:rowOff>
    </xdr:from>
    <xdr:to>
      <xdr:col>40</xdr:col>
      <xdr:colOff>120464</xdr:colOff>
      <xdr:row>139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407185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83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84</xdr:row>
      <xdr:rowOff>134470</xdr:rowOff>
    </xdr:from>
    <xdr:to>
      <xdr:col>40</xdr:col>
      <xdr:colOff>102346</xdr:colOff>
      <xdr:row>109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111</xdr:row>
      <xdr:rowOff>56029</xdr:rowOff>
    </xdr:from>
    <xdr:to>
      <xdr:col>49</xdr:col>
      <xdr:colOff>458133</xdr:colOff>
      <xdr:row>139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291353</xdr:colOff>
      <xdr:row>0</xdr:row>
      <xdr:rowOff>89648</xdr:rowOff>
    </xdr:from>
    <xdr:to>
      <xdr:col>31</xdr:col>
      <xdr:colOff>73137</xdr:colOff>
      <xdr:row>2</xdr:row>
      <xdr:rowOff>20732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62706" y="89648"/>
          <a:ext cx="371662" cy="36979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118223</xdr:rowOff>
    </xdr:from>
    <xdr:to>
      <xdr:col>11</xdr:col>
      <xdr:colOff>586068</xdr:colOff>
      <xdr:row>31</xdr:row>
      <xdr:rowOff>156323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E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22411</xdr:colOff>
      <xdr:row>0</xdr:row>
      <xdr:rowOff>0</xdr:rowOff>
    </xdr:from>
    <xdr:to>
      <xdr:col>14</xdr:col>
      <xdr:colOff>392168</xdr:colOff>
      <xdr:row>2</xdr:row>
      <xdr:rowOff>9301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4058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460337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460301</xdr:colOff>
      <xdr:row>2</xdr:row>
      <xdr:rowOff>28986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6" sqref="B6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140</v>
      </c>
      <c r="B2" s="82" t="s">
        <v>543</v>
      </c>
      <c r="C2" t="s">
        <v>526</v>
      </c>
      <c r="D2" t="s">
        <v>525</v>
      </c>
    </row>
    <row r="3" spans="1:10" x14ac:dyDescent="0.2">
      <c r="B3" s="82"/>
    </row>
    <row r="11" spans="1:10" x14ac:dyDescent="0.2">
      <c r="A11" t="s">
        <v>141</v>
      </c>
      <c r="B11" s="82" t="s">
        <v>543</v>
      </c>
    </row>
    <row r="12" spans="1:10" x14ac:dyDescent="0.2">
      <c r="B12" s="82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348"/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</row>
    <row r="2" spans="1:14" ht="18.75" customHeight="1" x14ac:dyDescent="0.2">
      <c r="A2" s="348"/>
      <c r="B2" s="348"/>
      <c r="C2" s="348"/>
      <c r="D2" s="348"/>
      <c r="E2" s="348"/>
      <c r="F2" s="364" t="s">
        <v>145</v>
      </c>
      <c r="G2" s="364"/>
      <c r="H2" s="364"/>
      <c r="I2" s="348"/>
      <c r="J2" s="348"/>
      <c r="K2" s="348"/>
      <c r="L2" s="348"/>
      <c r="M2" s="348"/>
      <c r="N2" s="348"/>
    </row>
    <row r="3" spans="1:14" ht="18.75" customHeight="1" x14ac:dyDescent="0.2">
      <c r="A3" s="348"/>
      <c r="B3" s="348"/>
      <c r="C3" s="365" t="s">
        <v>467</v>
      </c>
      <c r="D3" s="365"/>
      <c r="E3" s="365"/>
      <c r="F3" s="365"/>
      <c r="G3" s="365"/>
      <c r="H3" s="365"/>
      <c r="I3" s="365"/>
      <c r="J3" s="365"/>
      <c r="K3" s="365"/>
      <c r="L3" s="348"/>
      <c r="M3" s="348"/>
      <c r="N3" s="348"/>
    </row>
    <row r="4" spans="1:14" ht="18.75" customHeight="1" x14ac:dyDescent="0.2">
      <c r="A4" s="348"/>
      <c r="B4" s="348"/>
      <c r="C4" s="365" t="s">
        <v>468</v>
      </c>
      <c r="D4" s="365"/>
      <c r="E4" s="365"/>
      <c r="F4" s="365"/>
      <c r="G4" s="365"/>
      <c r="H4" s="365"/>
      <c r="I4" s="365"/>
      <c r="J4" s="365"/>
      <c r="K4" s="365"/>
      <c r="L4" s="348"/>
      <c r="M4" s="348"/>
      <c r="N4" s="348"/>
    </row>
    <row r="5" spans="1:14" ht="18.75" customHeight="1" x14ac:dyDescent="0.2">
      <c r="A5" s="348"/>
      <c r="B5" s="348"/>
      <c r="C5" s="348"/>
      <c r="D5" s="348"/>
      <c r="E5" s="348"/>
      <c r="F5" s="348"/>
      <c r="G5" s="350" t="s">
        <v>146</v>
      </c>
      <c r="H5" s="348"/>
      <c r="I5" s="348"/>
      <c r="J5" s="348"/>
      <c r="K5" s="348"/>
      <c r="L5" s="348"/>
      <c r="M5" s="348"/>
      <c r="N5" s="348"/>
    </row>
    <row r="6" spans="1:14" ht="12.75" customHeight="1" x14ac:dyDescent="0.2">
      <c r="A6" s="348"/>
      <c r="B6" s="348"/>
      <c r="C6" s="348"/>
      <c r="D6" s="348"/>
      <c r="E6" s="348"/>
      <c r="F6" s="348"/>
      <c r="G6" s="348"/>
      <c r="H6" s="348"/>
      <c r="I6" s="348"/>
      <c r="J6" s="348"/>
      <c r="K6" s="348"/>
      <c r="L6" s="348"/>
      <c r="M6" s="348"/>
      <c r="N6" s="348"/>
    </row>
    <row r="7" spans="1:14" ht="19.5" customHeight="1" x14ac:dyDescent="0.2">
      <c r="A7" s="348"/>
      <c r="B7" s="348"/>
      <c r="C7" s="366" t="s">
        <v>147</v>
      </c>
      <c r="D7" s="366"/>
      <c r="E7" s="366"/>
      <c r="F7" s="366"/>
      <c r="G7" s="366"/>
      <c r="H7" s="366"/>
      <c r="I7" s="366"/>
      <c r="J7" s="366"/>
      <c r="K7" s="366"/>
      <c r="L7" s="348"/>
      <c r="M7" s="348"/>
      <c r="N7" s="348"/>
    </row>
    <row r="8" spans="1:14" ht="18.75" customHeight="1" x14ac:dyDescent="0.2">
      <c r="A8" s="348"/>
      <c r="B8" s="348"/>
      <c r="C8" s="367" t="s">
        <v>148</v>
      </c>
      <c r="D8" s="367"/>
      <c r="E8" s="367"/>
      <c r="F8" s="367"/>
      <c r="G8" s="367"/>
      <c r="H8" s="367"/>
      <c r="I8" s="367"/>
      <c r="J8" s="367"/>
      <c r="K8" s="367"/>
      <c r="L8" s="348"/>
      <c r="M8" s="348"/>
      <c r="N8" s="348"/>
    </row>
    <row r="9" spans="1:14" ht="18.75" customHeight="1" x14ac:dyDescent="0.2">
      <c r="A9" s="348"/>
      <c r="B9" s="367" t="s">
        <v>149</v>
      </c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49"/>
      <c r="N9" s="348"/>
    </row>
    <row r="10" spans="1:14" ht="18.75" customHeight="1" x14ac:dyDescent="0.2">
      <c r="A10" s="348"/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  <c r="N10" s="348"/>
    </row>
    <row r="11" spans="1:14" x14ac:dyDescent="0.2">
      <c r="A11" s="348"/>
      <c r="B11" s="348"/>
      <c r="C11" s="348"/>
      <c r="D11" s="348"/>
      <c r="E11" s="348"/>
      <c r="F11" s="348"/>
      <c r="G11" s="348"/>
      <c r="H11" s="348"/>
      <c r="I11" s="348"/>
      <c r="J11" s="348"/>
      <c r="K11" s="348"/>
      <c r="L11" s="348"/>
      <c r="M11" s="348"/>
      <c r="N11" s="348"/>
    </row>
    <row r="12" spans="1:14" ht="15.75" x14ac:dyDescent="0.2">
      <c r="A12" s="348"/>
      <c r="B12" s="348"/>
      <c r="C12" s="348"/>
      <c r="D12" s="348"/>
      <c r="E12" s="348"/>
      <c r="F12" s="348"/>
      <c r="G12" s="215" t="s">
        <v>524</v>
      </c>
      <c r="H12" s="348"/>
      <c r="I12" s="348"/>
      <c r="J12" s="348"/>
      <c r="K12" s="348"/>
      <c r="L12" s="348"/>
      <c r="M12" s="348"/>
      <c r="N12" s="348"/>
    </row>
    <row r="13" spans="1:14" x14ac:dyDescent="0.2">
      <c r="A13" s="348"/>
      <c r="B13" s="348"/>
      <c r="C13" s="348"/>
      <c r="D13" s="348"/>
      <c r="E13" s="348"/>
      <c r="F13" s="348"/>
      <c r="G13" s="348"/>
      <c r="H13" s="348"/>
      <c r="I13" s="348"/>
      <c r="J13" s="348"/>
      <c r="K13" s="348"/>
      <c r="L13" s="348"/>
      <c r="M13" s="348"/>
      <c r="N13" s="348"/>
    </row>
    <row r="14" spans="1:14" ht="13.5" thickBot="1" x14ac:dyDescent="0.25">
      <c r="A14" s="348"/>
      <c r="B14" s="348"/>
      <c r="C14" s="348"/>
      <c r="D14" s="348"/>
      <c r="E14" s="348"/>
      <c r="F14" s="348"/>
      <c r="G14" s="348"/>
      <c r="H14" s="348"/>
      <c r="I14" s="348"/>
      <c r="J14" s="348"/>
      <c r="K14" s="348"/>
      <c r="L14" s="348"/>
      <c r="M14" s="348"/>
      <c r="N14" s="348"/>
    </row>
    <row r="15" spans="1:14" ht="15.75" x14ac:dyDescent="0.2">
      <c r="A15" s="216"/>
      <c r="B15" s="217"/>
      <c r="C15" s="218"/>
      <c r="D15" s="218"/>
      <c r="E15" s="218"/>
      <c r="F15" s="218"/>
      <c r="G15" s="219" t="s">
        <v>150</v>
      </c>
      <c r="H15" s="218"/>
      <c r="I15" s="218"/>
      <c r="J15" s="218"/>
      <c r="K15" s="218"/>
      <c r="L15" s="220"/>
      <c r="M15" s="348"/>
      <c r="N15" s="348"/>
    </row>
    <row r="16" spans="1:14" ht="15" x14ac:dyDescent="0.2">
      <c r="A16" s="216"/>
      <c r="B16" s="221"/>
      <c r="C16" s="348"/>
      <c r="D16" s="348"/>
      <c r="E16" s="348"/>
      <c r="F16" s="348"/>
      <c r="G16" s="222" t="s">
        <v>151</v>
      </c>
      <c r="H16" s="348"/>
      <c r="I16" s="348"/>
      <c r="J16" s="348"/>
      <c r="K16" s="348"/>
      <c r="L16" s="223"/>
      <c r="M16" s="348"/>
      <c r="N16" s="348"/>
    </row>
    <row r="17" spans="1:14" ht="15" x14ac:dyDescent="0.2">
      <c r="A17" s="216"/>
      <c r="B17" s="221"/>
      <c r="C17" s="348"/>
      <c r="D17" s="348"/>
      <c r="E17" s="348"/>
      <c r="F17" s="348"/>
      <c r="G17" s="222" t="s">
        <v>152</v>
      </c>
      <c r="H17" s="348"/>
      <c r="I17" s="348"/>
      <c r="J17" s="348"/>
      <c r="K17" s="348"/>
      <c r="L17" s="223"/>
      <c r="M17" s="348"/>
      <c r="N17" s="348"/>
    </row>
    <row r="18" spans="1:14" ht="15" x14ac:dyDescent="0.2">
      <c r="A18" s="216"/>
      <c r="B18" s="221"/>
      <c r="C18" s="348"/>
      <c r="D18" s="348"/>
      <c r="E18" s="348"/>
      <c r="F18" s="348"/>
      <c r="G18" s="222" t="s">
        <v>527</v>
      </c>
      <c r="H18" s="348"/>
      <c r="I18" s="348"/>
      <c r="J18" s="348"/>
      <c r="K18" s="348"/>
      <c r="L18" s="223"/>
      <c r="M18" s="348"/>
      <c r="N18" s="348"/>
    </row>
    <row r="19" spans="1:14" ht="15" x14ac:dyDescent="0.2">
      <c r="A19" s="216"/>
      <c r="B19" s="221"/>
      <c r="C19" s="348"/>
      <c r="D19" s="348"/>
      <c r="E19" s="348"/>
      <c r="F19" s="348"/>
      <c r="G19" s="222"/>
      <c r="H19" s="348"/>
      <c r="I19" s="348"/>
      <c r="J19" s="348"/>
      <c r="K19" s="348"/>
      <c r="L19" s="223"/>
      <c r="M19" s="348"/>
      <c r="N19" s="348"/>
    </row>
    <row r="20" spans="1:14" ht="15" x14ac:dyDescent="0.2">
      <c r="A20" s="216"/>
      <c r="B20" s="221"/>
      <c r="C20" s="348"/>
      <c r="D20" s="348"/>
      <c r="E20" s="348"/>
      <c r="F20" s="348"/>
      <c r="G20" s="222" t="s">
        <v>528</v>
      </c>
      <c r="H20" s="348"/>
      <c r="I20" s="348"/>
      <c r="J20" s="348"/>
      <c r="K20" s="348"/>
      <c r="L20" s="223"/>
      <c r="M20" s="348"/>
      <c r="N20" s="348"/>
    </row>
    <row r="21" spans="1:14" ht="15" x14ac:dyDescent="0.2">
      <c r="A21" s="216"/>
      <c r="B21" s="221"/>
      <c r="C21" s="348"/>
      <c r="D21" s="348"/>
      <c r="E21" s="348"/>
      <c r="F21" s="348"/>
      <c r="G21" s="348"/>
      <c r="H21" s="348"/>
      <c r="I21" s="348"/>
      <c r="J21" s="348"/>
      <c r="K21" s="348"/>
      <c r="L21" s="223"/>
      <c r="M21" s="348"/>
      <c r="N21" s="348"/>
    </row>
    <row r="22" spans="1:14" ht="15" x14ac:dyDescent="0.2">
      <c r="A22" s="216"/>
      <c r="B22" s="221"/>
      <c r="C22" s="348"/>
      <c r="D22" s="348"/>
      <c r="E22" s="348"/>
      <c r="F22" s="348"/>
      <c r="G22" s="351" t="s">
        <v>529</v>
      </c>
      <c r="H22" s="348"/>
      <c r="I22" s="348"/>
      <c r="J22" s="348"/>
      <c r="K22" s="348"/>
      <c r="L22" s="223"/>
      <c r="M22" s="348"/>
      <c r="N22" s="348"/>
    </row>
    <row r="23" spans="1:14" ht="15" x14ac:dyDescent="0.2">
      <c r="A23" s="216"/>
      <c r="B23" s="221"/>
      <c r="C23" s="348"/>
      <c r="D23" s="348"/>
      <c r="E23" s="348"/>
      <c r="F23" s="348"/>
      <c r="G23" s="351" t="s">
        <v>469</v>
      </c>
      <c r="H23" s="348"/>
      <c r="I23" s="348"/>
      <c r="J23" s="348"/>
      <c r="K23" s="348"/>
      <c r="L23" s="223"/>
      <c r="M23" s="348"/>
      <c r="N23" s="348"/>
    </row>
    <row r="24" spans="1:14" ht="15" x14ac:dyDescent="0.2">
      <c r="A24" s="216"/>
      <c r="B24" s="221"/>
      <c r="C24" s="348"/>
      <c r="D24" s="348"/>
      <c r="E24" s="348"/>
      <c r="F24" s="348"/>
      <c r="G24" s="351" t="s">
        <v>470</v>
      </c>
      <c r="H24" s="348"/>
      <c r="I24" s="348"/>
      <c r="J24" s="348"/>
      <c r="K24" s="348"/>
      <c r="L24" s="223"/>
      <c r="M24" s="348"/>
      <c r="N24" s="348"/>
    </row>
    <row r="25" spans="1:14" ht="15" x14ac:dyDescent="0.2">
      <c r="A25" s="216"/>
      <c r="B25" s="221"/>
      <c r="C25" s="348"/>
      <c r="D25" s="348"/>
      <c r="E25" s="348"/>
      <c r="F25" s="348"/>
      <c r="G25" s="225"/>
      <c r="H25" s="348"/>
      <c r="I25" s="348"/>
      <c r="J25" s="348"/>
      <c r="K25" s="348"/>
      <c r="L25" s="223"/>
      <c r="M25" s="348"/>
      <c r="N25" s="348"/>
    </row>
    <row r="26" spans="1:14" ht="15" x14ac:dyDescent="0.2">
      <c r="A26" s="216"/>
      <c r="B26" s="221"/>
      <c r="C26" s="348"/>
      <c r="D26" s="348"/>
      <c r="E26" s="348"/>
      <c r="F26" s="348"/>
      <c r="G26" s="222" t="s">
        <v>155</v>
      </c>
      <c r="H26" s="348"/>
      <c r="I26" s="348"/>
      <c r="J26" s="348"/>
      <c r="K26" s="348"/>
      <c r="L26" s="223"/>
      <c r="M26" s="348"/>
      <c r="N26" s="348"/>
    </row>
    <row r="27" spans="1:14" ht="15" x14ac:dyDescent="0.2">
      <c r="A27" s="216"/>
      <c r="B27" s="221"/>
      <c r="C27" s="348"/>
      <c r="D27" s="348"/>
      <c r="E27" s="348"/>
      <c r="F27" s="348"/>
      <c r="G27" s="222" t="s">
        <v>471</v>
      </c>
      <c r="H27" s="348"/>
      <c r="I27" s="348"/>
      <c r="J27" s="348"/>
      <c r="K27" s="348"/>
      <c r="L27" s="223"/>
      <c r="M27" s="348"/>
      <c r="N27" s="348"/>
    </row>
    <row r="28" spans="1:14" ht="15" x14ac:dyDescent="0.2">
      <c r="A28" s="216"/>
      <c r="B28" s="221"/>
      <c r="C28" s="348"/>
      <c r="D28" s="348"/>
      <c r="E28" s="348"/>
      <c r="F28" s="348"/>
      <c r="G28" s="351" t="s">
        <v>472</v>
      </c>
      <c r="H28" s="348"/>
      <c r="I28" s="348"/>
      <c r="J28" s="348"/>
      <c r="K28" s="348"/>
      <c r="L28" s="223"/>
      <c r="M28" s="348"/>
      <c r="N28" s="348"/>
    </row>
    <row r="29" spans="1:14" ht="15" x14ac:dyDescent="0.2">
      <c r="A29" s="216"/>
      <c r="B29" s="221"/>
      <c r="C29" s="348"/>
      <c r="D29" s="348"/>
      <c r="E29" s="348"/>
      <c r="F29" s="348"/>
      <c r="G29" s="222" t="s">
        <v>156</v>
      </c>
      <c r="H29" s="348"/>
      <c r="I29" s="348"/>
      <c r="J29" s="348"/>
      <c r="K29" s="348"/>
      <c r="L29" s="223"/>
      <c r="M29" s="348"/>
      <c r="N29" s="348"/>
    </row>
    <row r="30" spans="1:14" ht="15" x14ac:dyDescent="0.2">
      <c r="A30" s="216"/>
      <c r="B30" s="221"/>
      <c r="C30" s="348"/>
      <c r="D30" s="348"/>
      <c r="E30" s="348"/>
      <c r="F30" s="348"/>
      <c r="G30" s="222" t="s">
        <v>157</v>
      </c>
      <c r="H30" s="348"/>
      <c r="I30" s="348"/>
      <c r="J30" s="348"/>
      <c r="K30" s="348"/>
      <c r="L30" s="223"/>
      <c r="M30" s="348"/>
      <c r="N30" s="348"/>
    </row>
    <row r="31" spans="1:14" ht="15" x14ac:dyDescent="0.2">
      <c r="A31" s="216"/>
      <c r="B31" s="221"/>
      <c r="C31" s="348"/>
      <c r="D31" s="348"/>
      <c r="E31" s="348"/>
      <c r="F31" s="348"/>
      <c r="G31" s="348"/>
      <c r="H31" s="348"/>
      <c r="I31" s="348"/>
      <c r="J31" s="348"/>
      <c r="K31" s="348"/>
      <c r="L31" s="223"/>
      <c r="M31" s="348"/>
      <c r="N31" s="348"/>
    </row>
    <row r="32" spans="1:14" ht="15" x14ac:dyDescent="0.2">
      <c r="A32" s="216"/>
      <c r="B32" s="221"/>
      <c r="C32" s="348"/>
      <c r="D32" s="348"/>
      <c r="E32" s="348"/>
      <c r="F32" s="348"/>
      <c r="G32" s="222" t="s">
        <v>153</v>
      </c>
      <c r="H32" s="348"/>
      <c r="I32" s="348"/>
      <c r="J32" s="348"/>
      <c r="K32" s="348"/>
      <c r="L32" s="223"/>
      <c r="M32" s="348"/>
      <c r="N32" s="348"/>
    </row>
    <row r="33" spans="1:14" ht="15" x14ac:dyDescent="0.2">
      <c r="A33" s="216"/>
      <c r="B33" s="221"/>
      <c r="C33" s="348"/>
      <c r="D33" s="348"/>
      <c r="E33" s="348"/>
      <c r="F33" s="348"/>
      <c r="G33" s="351" t="s">
        <v>473</v>
      </c>
      <c r="H33" s="348"/>
      <c r="I33" s="348"/>
      <c r="J33" s="348"/>
      <c r="K33" s="348"/>
      <c r="L33" s="223"/>
      <c r="M33" s="348"/>
      <c r="N33" s="348"/>
    </row>
    <row r="34" spans="1:14" ht="15" x14ac:dyDescent="0.2">
      <c r="A34" s="216"/>
      <c r="B34" s="221"/>
      <c r="C34" s="348"/>
      <c r="D34" s="348"/>
      <c r="E34" s="348"/>
      <c r="F34" s="348"/>
      <c r="G34" s="222" t="s">
        <v>154</v>
      </c>
      <c r="H34" s="348"/>
      <c r="I34" s="348"/>
      <c r="J34" s="348"/>
      <c r="K34" s="348"/>
      <c r="L34" s="223"/>
      <c r="M34" s="348"/>
      <c r="N34" s="348"/>
    </row>
    <row r="35" spans="1:14" ht="15" x14ac:dyDescent="0.2">
      <c r="A35" s="216"/>
      <c r="B35" s="221"/>
      <c r="C35" s="348"/>
      <c r="D35" s="348"/>
      <c r="E35" s="348"/>
      <c r="F35" s="348"/>
      <c r="G35" s="348"/>
      <c r="H35" s="348"/>
      <c r="I35" s="348"/>
      <c r="J35" s="348"/>
      <c r="K35" s="348"/>
      <c r="L35" s="223"/>
      <c r="M35" s="348"/>
      <c r="N35" s="348"/>
    </row>
    <row r="36" spans="1:14" ht="15.75" x14ac:dyDescent="0.2">
      <c r="A36" s="216"/>
      <c r="B36" s="224"/>
      <c r="C36" s="348"/>
      <c r="D36" s="348"/>
      <c r="E36" s="348"/>
      <c r="F36" s="348"/>
      <c r="G36" s="222" t="s">
        <v>530</v>
      </c>
      <c r="H36" s="348"/>
      <c r="I36" s="348"/>
      <c r="J36" s="348"/>
      <c r="K36" s="348"/>
      <c r="L36" s="223"/>
      <c r="M36" s="348"/>
      <c r="N36" s="348"/>
    </row>
    <row r="37" spans="1:14" ht="15.75" x14ac:dyDescent="0.2">
      <c r="A37" s="216"/>
      <c r="B37" s="224"/>
      <c r="C37" s="348"/>
      <c r="D37" s="348"/>
      <c r="E37" s="348"/>
      <c r="F37" s="348"/>
      <c r="G37" s="348"/>
      <c r="H37" s="348"/>
      <c r="I37" s="348"/>
      <c r="J37" s="348"/>
      <c r="K37" s="348"/>
      <c r="L37" s="223"/>
      <c r="M37" s="348"/>
      <c r="N37" s="348"/>
    </row>
    <row r="38" spans="1:14" ht="15" x14ac:dyDescent="0.2">
      <c r="A38" s="348"/>
      <c r="B38" s="357"/>
      <c r="C38" s="356"/>
      <c r="D38" s="356"/>
      <c r="E38" s="356"/>
      <c r="F38" s="356"/>
      <c r="G38" s="222" t="s">
        <v>158</v>
      </c>
      <c r="H38" s="356"/>
      <c r="I38" s="356"/>
      <c r="J38" s="356"/>
      <c r="K38" s="356"/>
      <c r="L38" s="223"/>
      <c r="M38" s="348"/>
      <c r="N38" s="348"/>
    </row>
    <row r="39" spans="1:14" ht="15" x14ac:dyDescent="0.2">
      <c r="A39" s="348"/>
      <c r="B39" s="358"/>
      <c r="C39" s="348"/>
      <c r="D39" s="348"/>
      <c r="E39" s="348"/>
      <c r="F39" s="348"/>
      <c r="G39" s="222" t="s">
        <v>159</v>
      </c>
      <c r="H39" s="348"/>
      <c r="I39" s="348"/>
      <c r="J39" s="348"/>
      <c r="K39" s="348"/>
      <c r="L39" s="216"/>
      <c r="M39" s="348"/>
      <c r="N39" s="348"/>
    </row>
    <row r="40" spans="1:14" ht="13.5" thickBot="1" x14ac:dyDescent="0.25">
      <c r="A40" s="348"/>
      <c r="B40" s="359"/>
      <c r="C40" s="360"/>
      <c r="D40" s="360"/>
      <c r="E40" s="360"/>
      <c r="F40" s="360"/>
      <c r="G40" s="360"/>
      <c r="H40" s="360"/>
      <c r="I40" s="360"/>
      <c r="J40" s="360"/>
      <c r="K40" s="360"/>
      <c r="L40" s="361"/>
      <c r="M40" s="348"/>
      <c r="N40" s="348"/>
    </row>
    <row r="41" spans="1:14" x14ac:dyDescent="0.2">
      <c r="A41" s="368"/>
      <c r="B41" s="368"/>
      <c r="C41" s="368"/>
      <c r="D41" s="368"/>
      <c r="E41" s="368"/>
      <c r="F41" s="368"/>
      <c r="G41" s="368"/>
      <c r="H41" s="363"/>
      <c r="I41" s="363"/>
      <c r="J41" s="363"/>
      <c r="K41" s="363"/>
      <c r="L41" s="363"/>
      <c r="M41" s="363"/>
      <c r="N41" s="363"/>
    </row>
    <row r="42" spans="1:14" x14ac:dyDescent="0.2">
      <c r="A42" s="368"/>
      <c r="B42" s="368"/>
      <c r="C42" s="368"/>
      <c r="D42" s="368"/>
      <c r="E42" s="368"/>
      <c r="F42" s="368"/>
      <c r="G42" s="368"/>
      <c r="H42" s="363"/>
      <c r="I42" s="363"/>
      <c r="J42" s="363"/>
      <c r="K42" s="363"/>
      <c r="L42" s="363"/>
      <c r="M42" s="363"/>
      <c r="N42" s="363"/>
    </row>
    <row r="43" spans="1:14" x14ac:dyDescent="0.2">
      <c r="A43" s="225"/>
      <c r="B43" s="225"/>
      <c r="C43" s="225"/>
      <c r="D43" s="225"/>
      <c r="E43" s="225"/>
      <c r="F43" s="225"/>
      <c r="G43" s="225"/>
      <c r="H43" s="363"/>
      <c r="I43" s="363"/>
      <c r="J43" s="363"/>
      <c r="K43" s="363"/>
      <c r="L43" s="363"/>
      <c r="M43" s="363"/>
      <c r="N43" s="363"/>
    </row>
    <row r="44" spans="1:14" x14ac:dyDescent="0.2">
      <c r="A44" s="225"/>
      <c r="B44" s="225"/>
      <c r="C44" s="225"/>
      <c r="D44" s="225"/>
      <c r="E44" s="225"/>
      <c r="F44" s="225"/>
      <c r="G44" s="225"/>
      <c r="H44" s="363"/>
      <c r="I44" s="363"/>
      <c r="J44" s="363"/>
      <c r="K44" s="363"/>
      <c r="L44" s="363"/>
      <c r="M44" s="363"/>
      <c r="N44" s="363"/>
    </row>
    <row r="45" spans="1:14" x14ac:dyDescent="0.2">
      <c r="A45" s="225"/>
      <c r="B45" s="225"/>
      <c r="C45" s="225"/>
      <c r="D45" s="225"/>
      <c r="E45" s="225"/>
      <c r="F45" s="225"/>
      <c r="G45" s="225"/>
      <c r="H45" s="363"/>
      <c r="I45" s="363"/>
      <c r="J45" s="363"/>
      <c r="K45" s="363"/>
      <c r="L45" s="363"/>
      <c r="M45" s="363"/>
      <c r="N45" s="363"/>
    </row>
    <row r="46" spans="1:14" x14ac:dyDescent="0.2">
      <c r="A46" s="225"/>
      <c r="B46" s="225"/>
      <c r="C46" s="225"/>
      <c r="D46" s="225"/>
      <c r="E46" s="225"/>
      <c r="F46" s="225"/>
      <c r="G46" s="225"/>
      <c r="H46" s="363"/>
      <c r="I46" s="363"/>
      <c r="J46" s="363"/>
      <c r="K46" s="363"/>
      <c r="L46" s="363"/>
      <c r="M46" s="363"/>
      <c r="N46" s="363"/>
    </row>
    <row r="47" spans="1:14" x14ac:dyDescent="0.2">
      <c r="A47" s="225"/>
      <c r="B47" s="225"/>
      <c r="C47" s="225"/>
      <c r="D47" s="225"/>
      <c r="E47" s="225"/>
      <c r="F47" s="225"/>
      <c r="G47" s="225"/>
      <c r="H47" s="363"/>
      <c r="I47" s="363"/>
      <c r="J47" s="363"/>
      <c r="K47" s="363"/>
      <c r="L47" s="363"/>
      <c r="M47" s="363"/>
      <c r="N47" s="363"/>
    </row>
    <row r="48" spans="1:14" x14ac:dyDescent="0.2">
      <c r="A48" s="225"/>
      <c r="B48" s="225"/>
      <c r="C48" s="225"/>
      <c r="D48" s="225"/>
      <c r="E48" s="225"/>
      <c r="F48" s="225"/>
      <c r="G48" s="225"/>
      <c r="H48" s="363"/>
      <c r="I48" s="363"/>
      <c r="J48" s="363"/>
      <c r="K48" s="363"/>
      <c r="L48" s="363"/>
      <c r="M48" s="363"/>
      <c r="N48" s="363"/>
    </row>
    <row r="49" spans="1:14" x14ac:dyDescent="0.2">
      <c r="A49" s="225"/>
      <c r="B49" s="225"/>
      <c r="C49" s="225"/>
      <c r="D49" s="225"/>
      <c r="E49" s="225"/>
      <c r="F49" s="225"/>
      <c r="G49" s="225"/>
      <c r="H49" s="363"/>
      <c r="I49" s="363"/>
      <c r="J49" s="363"/>
      <c r="K49" s="363"/>
      <c r="L49" s="363"/>
      <c r="M49" s="363"/>
      <c r="N49" s="363"/>
    </row>
    <row r="50" spans="1:14" x14ac:dyDescent="0.2">
      <c r="A50" s="225"/>
      <c r="B50" s="225"/>
      <c r="C50" s="225"/>
      <c r="D50" s="225"/>
      <c r="E50" s="225"/>
      <c r="F50" s="225"/>
      <c r="G50" s="225"/>
      <c r="H50" s="363"/>
      <c r="I50" s="363"/>
      <c r="J50" s="363"/>
      <c r="K50" s="363"/>
      <c r="L50" s="363"/>
      <c r="M50" s="363"/>
      <c r="N50" s="363"/>
    </row>
    <row r="51" spans="1:14" x14ac:dyDescent="0.2">
      <c r="A51" s="225"/>
      <c r="B51" s="225"/>
      <c r="C51" s="225"/>
      <c r="D51" s="225"/>
      <c r="E51" s="225"/>
      <c r="F51" s="225"/>
      <c r="G51" s="225"/>
      <c r="H51" s="363"/>
      <c r="I51" s="363"/>
      <c r="J51" s="363"/>
      <c r="K51" s="363"/>
      <c r="L51" s="363"/>
      <c r="M51" s="363"/>
      <c r="N51" s="363"/>
    </row>
    <row r="52" spans="1:14" x14ac:dyDescent="0.2">
      <c r="A52" s="225"/>
      <c r="B52" s="225"/>
      <c r="C52" s="225"/>
      <c r="D52" s="225"/>
      <c r="E52" s="225"/>
      <c r="F52" s="225"/>
      <c r="G52" s="225"/>
      <c r="H52" s="363"/>
      <c r="I52" s="363"/>
      <c r="J52" s="363"/>
      <c r="K52" s="363"/>
      <c r="L52" s="363"/>
      <c r="M52" s="363"/>
      <c r="N52" s="363"/>
    </row>
    <row r="53" spans="1:14" x14ac:dyDescent="0.2">
      <c r="A53" s="225"/>
      <c r="B53" s="225"/>
      <c r="C53" s="225"/>
      <c r="D53" s="225"/>
      <c r="E53" s="225"/>
      <c r="F53" s="225"/>
      <c r="G53" s="225"/>
      <c r="H53" s="363"/>
      <c r="I53" s="363"/>
      <c r="J53" s="363"/>
      <c r="K53" s="363"/>
      <c r="L53" s="363"/>
      <c r="M53" s="363"/>
      <c r="N53" s="363"/>
    </row>
    <row r="54" spans="1:14" x14ac:dyDescent="0.2">
      <c r="A54" s="225"/>
      <c r="B54" s="225"/>
      <c r="C54" s="225"/>
      <c r="D54" s="225"/>
      <c r="E54" s="225"/>
      <c r="F54" s="225"/>
      <c r="G54" s="225"/>
      <c r="H54" s="363"/>
      <c r="I54" s="363"/>
      <c r="J54" s="363"/>
      <c r="K54" s="363"/>
      <c r="L54" s="363"/>
      <c r="M54" s="363"/>
      <c r="N54" s="363"/>
    </row>
    <row r="55" spans="1:14" x14ac:dyDescent="0.2">
      <c r="A55" s="225"/>
      <c r="B55" s="225"/>
      <c r="C55" s="225"/>
      <c r="D55" s="225"/>
      <c r="E55" s="225"/>
      <c r="F55" s="225"/>
      <c r="G55" s="225"/>
      <c r="H55" s="363"/>
      <c r="I55" s="363"/>
      <c r="J55" s="363"/>
      <c r="K55" s="363"/>
      <c r="L55" s="363"/>
      <c r="M55" s="363"/>
      <c r="N55" s="363"/>
    </row>
    <row r="56" spans="1:14" x14ac:dyDescent="0.2">
      <c r="A56" s="225"/>
      <c r="B56" s="225"/>
      <c r="C56" s="225"/>
      <c r="D56" s="225"/>
      <c r="E56" s="225"/>
      <c r="F56" s="225"/>
      <c r="G56" s="225"/>
      <c r="H56" s="363"/>
      <c r="I56" s="363"/>
      <c r="J56" s="363"/>
      <c r="K56" s="363"/>
      <c r="L56" s="363"/>
      <c r="M56" s="363"/>
      <c r="N56" s="363"/>
    </row>
    <row r="57" spans="1:14" x14ac:dyDescent="0.2">
      <c r="A57" s="225"/>
      <c r="B57" s="225"/>
      <c r="C57" s="225"/>
      <c r="D57" s="225"/>
      <c r="E57" s="225"/>
      <c r="F57" s="225"/>
      <c r="G57" s="225"/>
      <c r="H57" s="363"/>
      <c r="I57" s="363"/>
      <c r="J57" s="363"/>
      <c r="K57" s="363"/>
      <c r="L57" s="363"/>
      <c r="M57" s="363"/>
      <c r="N57" s="363"/>
    </row>
    <row r="58" spans="1:14" x14ac:dyDescent="0.2">
      <c r="A58" s="225"/>
      <c r="B58" s="225"/>
      <c r="C58" s="225"/>
      <c r="D58" s="225"/>
      <c r="E58" s="225"/>
      <c r="F58" s="225"/>
      <c r="G58" s="225"/>
      <c r="H58" s="363"/>
      <c r="I58" s="363"/>
      <c r="J58" s="363"/>
      <c r="K58" s="363"/>
      <c r="L58" s="363"/>
      <c r="M58" s="363"/>
      <c r="N58" s="363"/>
    </row>
    <row r="59" spans="1:14" x14ac:dyDescent="0.2">
      <c r="A59" s="225"/>
      <c r="B59" s="225"/>
      <c r="C59" s="225"/>
      <c r="D59" s="225"/>
      <c r="E59" s="225"/>
      <c r="F59" s="225"/>
      <c r="G59" s="225"/>
      <c r="H59" s="363"/>
      <c r="I59" s="363"/>
      <c r="J59" s="363"/>
      <c r="K59" s="363"/>
      <c r="L59" s="363"/>
      <c r="M59" s="363"/>
      <c r="N59" s="363"/>
    </row>
    <row r="60" spans="1:14" x14ac:dyDescent="0.2">
      <c r="A60" s="225"/>
      <c r="B60" s="225"/>
      <c r="C60" s="225"/>
      <c r="D60" s="225"/>
      <c r="E60" s="225"/>
      <c r="F60" s="225"/>
      <c r="G60" s="225"/>
      <c r="H60" s="363"/>
      <c r="I60" s="363"/>
      <c r="J60" s="363"/>
      <c r="K60" s="363"/>
      <c r="L60" s="363"/>
      <c r="M60" s="363"/>
      <c r="N60" s="363"/>
    </row>
    <row r="61" spans="1:14" x14ac:dyDescent="0.2">
      <c r="A61" s="225"/>
      <c r="B61" s="225"/>
      <c r="C61" s="225"/>
      <c r="D61" s="225"/>
      <c r="E61" s="225"/>
      <c r="F61" s="225"/>
      <c r="G61" s="225"/>
      <c r="H61" s="363"/>
      <c r="I61" s="363"/>
      <c r="J61" s="363"/>
      <c r="K61" s="363"/>
      <c r="L61" s="363"/>
      <c r="M61" s="363"/>
      <c r="N61" s="363"/>
    </row>
    <row r="62" spans="1:14" x14ac:dyDescent="0.2">
      <c r="A62" s="225"/>
      <c r="B62" s="225"/>
      <c r="C62" s="225"/>
      <c r="D62" s="225"/>
      <c r="E62" s="225"/>
      <c r="F62" s="225"/>
      <c r="G62" s="225"/>
      <c r="H62" s="363"/>
      <c r="I62" s="363"/>
      <c r="J62" s="363"/>
      <c r="K62" s="363"/>
      <c r="L62" s="363"/>
      <c r="M62" s="363"/>
      <c r="N62" s="363"/>
    </row>
    <row r="63" spans="1:14" x14ac:dyDescent="0.2">
      <c r="A63" s="225"/>
      <c r="B63" s="225"/>
      <c r="C63" s="225"/>
      <c r="D63" s="225"/>
      <c r="E63" s="225"/>
      <c r="F63" s="225"/>
      <c r="G63" s="225"/>
      <c r="H63" s="363"/>
      <c r="I63" s="363"/>
      <c r="J63" s="363"/>
      <c r="K63" s="363"/>
      <c r="L63" s="363"/>
      <c r="M63" s="363"/>
      <c r="N63" s="363"/>
    </row>
    <row r="64" spans="1:14" x14ac:dyDescent="0.2">
      <c r="A64" s="225"/>
      <c r="B64" s="225"/>
      <c r="C64" s="225"/>
      <c r="D64" s="225"/>
      <c r="E64" s="225"/>
      <c r="F64" s="225"/>
      <c r="G64" s="225"/>
      <c r="H64" s="363"/>
      <c r="I64" s="363"/>
      <c r="J64" s="363"/>
      <c r="K64" s="363"/>
      <c r="L64" s="363"/>
      <c r="M64" s="363"/>
      <c r="N64" s="363"/>
    </row>
    <row r="65" spans="1:14" x14ac:dyDescent="0.2">
      <c r="A65" s="225"/>
      <c r="B65" s="225"/>
      <c r="C65" s="225"/>
      <c r="D65" s="225"/>
      <c r="E65" s="225"/>
      <c r="F65" s="225"/>
      <c r="G65" s="225"/>
      <c r="H65" s="363"/>
      <c r="I65" s="363"/>
      <c r="J65" s="363"/>
      <c r="K65" s="363"/>
      <c r="L65" s="363"/>
      <c r="M65" s="363"/>
      <c r="N65" s="363"/>
    </row>
    <row r="66" spans="1:14" x14ac:dyDescent="0.2">
      <c r="A66" s="225"/>
      <c r="B66" s="225"/>
      <c r="C66" s="225"/>
      <c r="D66" s="225"/>
      <c r="E66" s="225"/>
      <c r="F66" s="225"/>
      <c r="G66" s="225"/>
      <c r="H66" s="363"/>
      <c r="I66" s="363"/>
      <c r="J66" s="363"/>
      <c r="K66" s="363"/>
      <c r="L66" s="363"/>
      <c r="M66" s="363"/>
      <c r="N66" s="363"/>
    </row>
    <row r="67" spans="1:14" x14ac:dyDescent="0.2">
      <c r="A67" s="225"/>
      <c r="B67" s="225"/>
      <c r="C67" s="225"/>
      <c r="D67" s="225"/>
      <c r="E67" s="225"/>
      <c r="F67" s="225"/>
      <c r="G67" s="225"/>
      <c r="H67" s="363"/>
      <c r="I67" s="363"/>
      <c r="J67" s="363"/>
      <c r="K67" s="363"/>
      <c r="L67" s="363"/>
      <c r="M67" s="363"/>
      <c r="N67" s="363"/>
    </row>
    <row r="68" spans="1:14" x14ac:dyDescent="0.2">
      <c r="A68" s="225"/>
      <c r="B68" s="225"/>
      <c r="C68" s="225"/>
      <c r="D68" s="225"/>
      <c r="E68" s="225"/>
      <c r="F68" s="225"/>
      <c r="G68" s="225"/>
      <c r="H68" s="363"/>
      <c r="I68" s="363"/>
      <c r="J68" s="363"/>
      <c r="K68" s="363"/>
      <c r="L68" s="363"/>
      <c r="M68" s="363"/>
      <c r="N68" s="363"/>
    </row>
    <row r="69" spans="1:14" x14ac:dyDescent="0.2">
      <c r="A69" s="225"/>
      <c r="B69" s="225"/>
      <c r="C69" s="225"/>
      <c r="D69" s="225"/>
      <c r="E69" s="225"/>
      <c r="F69" s="225"/>
      <c r="G69" s="225"/>
      <c r="H69" s="363"/>
      <c r="I69" s="363"/>
      <c r="J69" s="363"/>
      <c r="K69" s="363"/>
      <c r="L69" s="363"/>
      <c r="M69" s="363"/>
      <c r="N69" s="363"/>
    </row>
    <row r="70" spans="1:14" x14ac:dyDescent="0.2">
      <c r="A70" s="225"/>
      <c r="B70" s="225"/>
      <c r="C70" s="225"/>
      <c r="D70" s="225"/>
      <c r="E70" s="225"/>
      <c r="F70" s="225"/>
      <c r="G70" s="225"/>
      <c r="H70" s="363"/>
      <c r="I70" s="363"/>
      <c r="J70" s="363"/>
      <c r="K70" s="363"/>
      <c r="L70" s="363"/>
      <c r="M70" s="363"/>
      <c r="N70" s="363"/>
    </row>
    <row r="71" spans="1:14" x14ac:dyDescent="0.2">
      <c r="A71" s="225"/>
      <c r="B71" s="225"/>
      <c r="C71" s="225"/>
      <c r="D71" s="225"/>
      <c r="E71" s="225"/>
      <c r="F71" s="225"/>
      <c r="G71" s="225"/>
      <c r="H71" s="363"/>
      <c r="I71" s="363"/>
      <c r="J71" s="363"/>
      <c r="K71" s="363"/>
      <c r="L71" s="363"/>
      <c r="M71" s="363"/>
      <c r="N71" s="363"/>
    </row>
    <row r="72" spans="1:14" x14ac:dyDescent="0.2">
      <c r="A72" s="225"/>
      <c r="B72" s="225"/>
      <c r="C72" s="225"/>
      <c r="D72" s="225"/>
      <c r="E72" s="225"/>
      <c r="F72" s="225"/>
      <c r="G72" s="225"/>
      <c r="H72" s="363"/>
      <c r="I72" s="363"/>
      <c r="J72" s="363"/>
      <c r="K72" s="363"/>
      <c r="L72" s="363"/>
      <c r="M72" s="363"/>
      <c r="N72" s="363"/>
    </row>
    <row r="73" spans="1:14" x14ac:dyDescent="0.2">
      <c r="A73" s="225"/>
      <c r="B73" s="225"/>
      <c r="C73" s="225"/>
      <c r="D73" s="225"/>
      <c r="E73" s="225"/>
      <c r="F73" s="225"/>
      <c r="G73" s="225"/>
      <c r="H73" s="363"/>
      <c r="I73" s="363"/>
      <c r="J73" s="363"/>
      <c r="K73" s="363"/>
      <c r="L73" s="363"/>
      <c r="M73" s="363"/>
      <c r="N73" s="363"/>
    </row>
    <row r="74" spans="1:14" x14ac:dyDescent="0.2">
      <c r="A74" s="225"/>
      <c r="B74" s="225"/>
      <c r="C74" s="225"/>
      <c r="D74" s="225"/>
      <c r="E74" s="225"/>
      <c r="F74" s="225"/>
      <c r="G74" s="225"/>
      <c r="H74" s="363"/>
      <c r="I74" s="363"/>
      <c r="J74" s="363"/>
      <c r="K74" s="363"/>
      <c r="L74" s="363"/>
      <c r="M74" s="363"/>
      <c r="N74" s="363"/>
    </row>
    <row r="75" spans="1:14" x14ac:dyDescent="0.2">
      <c r="A75" s="225"/>
      <c r="B75" s="225"/>
      <c r="C75" s="225"/>
      <c r="D75" s="225"/>
      <c r="E75" s="225"/>
      <c r="F75" s="225"/>
      <c r="G75" s="225"/>
      <c r="H75" s="363"/>
      <c r="I75" s="363"/>
      <c r="J75" s="363"/>
      <c r="K75" s="363"/>
      <c r="L75" s="363"/>
      <c r="M75" s="363"/>
      <c r="N75" s="363"/>
    </row>
    <row r="76" spans="1:14" x14ac:dyDescent="0.2">
      <c r="A76" s="225"/>
      <c r="B76" s="225"/>
      <c r="C76" s="225"/>
      <c r="D76" s="225"/>
      <c r="E76" s="225"/>
      <c r="F76" s="225"/>
      <c r="G76" s="225"/>
      <c r="H76" s="363"/>
      <c r="I76" s="363"/>
      <c r="J76" s="363"/>
      <c r="K76" s="363"/>
      <c r="L76" s="363"/>
      <c r="M76" s="363"/>
      <c r="N76" s="363"/>
    </row>
    <row r="77" spans="1:14" x14ac:dyDescent="0.2">
      <c r="A77" s="225"/>
      <c r="B77" s="225"/>
      <c r="C77" s="225"/>
      <c r="D77" s="225"/>
      <c r="E77" s="225"/>
      <c r="F77" s="225"/>
      <c r="G77" s="225"/>
      <c r="H77" s="363"/>
      <c r="I77" s="363"/>
      <c r="J77" s="363"/>
      <c r="K77" s="363"/>
      <c r="L77" s="363"/>
      <c r="M77" s="363"/>
      <c r="N77" s="363"/>
    </row>
    <row r="78" spans="1:14" x14ac:dyDescent="0.2">
      <c r="A78" s="225"/>
      <c r="B78" s="225"/>
      <c r="C78" s="225"/>
      <c r="D78" s="225"/>
      <c r="E78" s="225"/>
      <c r="F78" s="225"/>
      <c r="G78" s="225"/>
      <c r="H78" s="363"/>
      <c r="I78" s="363"/>
      <c r="J78" s="363"/>
      <c r="K78" s="363"/>
      <c r="L78" s="363"/>
      <c r="M78" s="363"/>
      <c r="N78" s="363"/>
    </row>
    <row r="79" spans="1:14" x14ac:dyDescent="0.2">
      <c r="A79" s="225"/>
      <c r="B79" s="225"/>
      <c r="C79" s="225"/>
      <c r="D79" s="225"/>
      <c r="E79" s="225"/>
      <c r="F79" s="225"/>
      <c r="G79" s="225"/>
      <c r="H79" s="363"/>
      <c r="I79" s="363"/>
      <c r="J79" s="363"/>
      <c r="K79" s="363"/>
      <c r="L79" s="363"/>
      <c r="M79" s="363"/>
      <c r="N79" s="363"/>
    </row>
    <row r="80" spans="1:14" x14ac:dyDescent="0.2">
      <c r="A80" s="225"/>
      <c r="B80" s="225"/>
      <c r="C80" s="225"/>
      <c r="D80" s="225"/>
      <c r="E80" s="225"/>
      <c r="F80" s="225"/>
      <c r="G80" s="225"/>
      <c r="H80" s="363"/>
      <c r="I80" s="363"/>
      <c r="J80" s="363"/>
      <c r="K80" s="363"/>
      <c r="L80" s="363"/>
      <c r="M80" s="363"/>
      <c r="N80" s="363"/>
    </row>
    <row r="81" spans="1:14" x14ac:dyDescent="0.2">
      <c r="A81" s="225"/>
      <c r="B81" s="225"/>
      <c r="C81" s="225"/>
      <c r="D81" s="225"/>
      <c r="E81" s="225"/>
      <c r="F81" s="225"/>
      <c r="G81" s="225"/>
      <c r="H81" s="363"/>
      <c r="I81" s="363"/>
      <c r="J81" s="363"/>
      <c r="K81" s="363"/>
      <c r="L81" s="363"/>
      <c r="M81" s="363"/>
      <c r="N81" s="363"/>
    </row>
    <row r="82" spans="1:14" x14ac:dyDescent="0.2">
      <c r="A82" s="225"/>
      <c r="B82" s="225"/>
      <c r="C82" s="225"/>
      <c r="D82" s="225"/>
      <c r="E82" s="225"/>
      <c r="F82" s="225"/>
      <c r="G82" s="225"/>
      <c r="H82" s="363"/>
      <c r="I82" s="363"/>
      <c r="J82" s="363"/>
      <c r="K82" s="363"/>
      <c r="L82" s="363"/>
      <c r="M82" s="363"/>
      <c r="N82" s="363"/>
    </row>
    <row r="83" spans="1:14" x14ac:dyDescent="0.2">
      <c r="A83" s="225"/>
      <c r="B83" s="225"/>
      <c r="C83" s="225"/>
      <c r="D83" s="225"/>
      <c r="E83" s="225"/>
      <c r="F83" s="225"/>
      <c r="G83" s="225"/>
      <c r="H83" s="363"/>
      <c r="I83" s="363"/>
      <c r="J83" s="363"/>
      <c r="K83" s="363"/>
      <c r="L83" s="363"/>
      <c r="M83" s="363"/>
      <c r="N83" s="363"/>
    </row>
    <row r="84" spans="1:14" x14ac:dyDescent="0.2">
      <c r="A84" s="225"/>
      <c r="B84" s="225"/>
      <c r="C84" s="225"/>
      <c r="D84" s="225"/>
      <c r="E84" s="225"/>
      <c r="F84" s="225"/>
      <c r="G84" s="225"/>
      <c r="H84" s="363"/>
      <c r="I84" s="363"/>
      <c r="J84" s="363"/>
      <c r="K84" s="363"/>
      <c r="L84" s="363"/>
      <c r="M84" s="363"/>
      <c r="N84" s="363"/>
    </row>
    <row r="85" spans="1:14" x14ac:dyDescent="0.2">
      <c r="A85" s="225"/>
      <c r="B85" s="225"/>
      <c r="C85" s="225"/>
      <c r="D85" s="225"/>
      <c r="E85" s="225"/>
      <c r="F85" s="225"/>
      <c r="G85" s="225"/>
      <c r="H85" s="363"/>
      <c r="I85" s="363"/>
      <c r="J85" s="363"/>
      <c r="K85" s="363"/>
      <c r="L85" s="363"/>
      <c r="M85" s="363"/>
      <c r="N85" s="363"/>
    </row>
    <row r="86" spans="1:14" x14ac:dyDescent="0.2">
      <c r="A86" s="225"/>
      <c r="B86" s="225"/>
      <c r="C86" s="225"/>
      <c r="D86" s="225"/>
      <c r="E86" s="225"/>
      <c r="F86" s="225"/>
      <c r="G86" s="225"/>
      <c r="H86" s="363"/>
      <c r="I86" s="363"/>
      <c r="J86" s="363"/>
      <c r="K86" s="363"/>
      <c r="L86" s="363"/>
      <c r="M86" s="363"/>
      <c r="N86" s="363"/>
    </row>
    <row r="87" spans="1:14" x14ac:dyDescent="0.2">
      <c r="A87" s="225"/>
      <c r="B87" s="225"/>
      <c r="C87" s="225"/>
      <c r="D87" s="225"/>
      <c r="E87" s="225"/>
      <c r="F87" s="225"/>
      <c r="G87" s="225"/>
      <c r="H87" s="363"/>
      <c r="I87" s="363"/>
      <c r="J87" s="363"/>
      <c r="K87" s="363"/>
      <c r="L87" s="363"/>
      <c r="M87" s="363"/>
      <c r="N87" s="363"/>
    </row>
    <row r="88" spans="1:14" x14ac:dyDescent="0.2">
      <c r="A88" s="225"/>
      <c r="B88" s="225"/>
      <c r="C88" s="225"/>
      <c r="D88" s="225"/>
      <c r="E88" s="225"/>
      <c r="F88" s="225"/>
      <c r="G88" s="225"/>
      <c r="H88" s="363"/>
      <c r="I88" s="363"/>
      <c r="J88" s="363"/>
      <c r="K88" s="363"/>
      <c r="L88" s="363"/>
      <c r="M88" s="363"/>
      <c r="N88" s="363"/>
    </row>
    <row r="89" spans="1:14" x14ac:dyDescent="0.2">
      <c r="A89" s="225"/>
      <c r="B89" s="225"/>
      <c r="C89" s="225"/>
      <c r="D89" s="225"/>
      <c r="E89" s="225"/>
      <c r="F89" s="225"/>
      <c r="G89" s="225"/>
      <c r="H89" s="363"/>
      <c r="I89" s="363"/>
      <c r="J89" s="363"/>
      <c r="K89" s="363"/>
      <c r="L89" s="363"/>
      <c r="M89" s="363"/>
      <c r="N89" s="363"/>
    </row>
    <row r="90" spans="1:14" x14ac:dyDescent="0.2">
      <c r="A90" s="225"/>
      <c r="B90" s="225"/>
      <c r="C90" s="225"/>
      <c r="D90" s="225"/>
      <c r="E90" s="225"/>
      <c r="F90" s="225"/>
      <c r="G90" s="225"/>
      <c r="H90" s="363"/>
      <c r="I90" s="363"/>
      <c r="J90" s="363"/>
      <c r="K90" s="363"/>
      <c r="L90" s="363"/>
      <c r="M90" s="363"/>
      <c r="N90" s="363"/>
    </row>
    <row r="91" spans="1:14" x14ac:dyDescent="0.2">
      <c r="A91" s="225"/>
      <c r="B91" s="225"/>
      <c r="C91" s="225"/>
      <c r="D91" s="225"/>
      <c r="E91" s="225"/>
      <c r="F91" s="225"/>
      <c r="G91" s="225"/>
      <c r="H91" s="363"/>
      <c r="I91" s="363"/>
      <c r="J91" s="363"/>
      <c r="K91" s="363"/>
      <c r="L91" s="363"/>
      <c r="M91" s="363"/>
      <c r="N91" s="363"/>
    </row>
    <row r="92" spans="1:14" x14ac:dyDescent="0.2">
      <c r="A92" s="225"/>
      <c r="B92" s="225"/>
      <c r="C92" s="225"/>
      <c r="D92" s="225"/>
      <c r="E92" s="225"/>
      <c r="F92" s="225"/>
      <c r="G92" s="225"/>
      <c r="H92" s="363"/>
      <c r="I92" s="363"/>
      <c r="J92" s="363"/>
      <c r="K92" s="363"/>
      <c r="L92" s="363"/>
      <c r="M92" s="363"/>
      <c r="N92" s="363"/>
    </row>
    <row r="93" spans="1:14" x14ac:dyDescent="0.2">
      <c r="A93" s="225"/>
      <c r="B93" s="225"/>
      <c r="C93" s="225"/>
      <c r="D93" s="225"/>
      <c r="E93" s="225"/>
      <c r="F93" s="225"/>
      <c r="G93" s="225"/>
      <c r="H93" s="363"/>
      <c r="I93" s="363"/>
      <c r="J93" s="363"/>
      <c r="K93" s="363"/>
      <c r="L93" s="363"/>
      <c r="M93" s="363"/>
      <c r="N93" s="363"/>
    </row>
  </sheetData>
  <mergeCells count="15">
    <mergeCell ref="L41:L93"/>
    <mergeCell ref="M41:M93"/>
    <mergeCell ref="N41:N93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A42:G42"/>
  </mergeCells>
  <hyperlinks>
    <hyperlink ref="G17" r:id="rId1" display="mailto:r.a.wilson@warwick.ac.uk" xr:uid="{5C39AD22-D628-44E6-BE81-477F55DFC76F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522</v>
      </c>
      <c r="B1" t="s">
        <v>544</v>
      </c>
    </row>
    <row r="2" spans="1:2" x14ac:dyDescent="0.2">
      <c r="A2" t="s">
        <v>446</v>
      </c>
      <c r="B2" t="s">
        <v>447</v>
      </c>
    </row>
    <row r="3" spans="1:2" x14ac:dyDescent="0.2">
      <c r="A3" t="s">
        <v>448</v>
      </c>
      <c r="B3" t="s">
        <v>519</v>
      </c>
    </row>
    <row r="4" spans="1:2" x14ac:dyDescent="0.2">
      <c r="A4" t="s">
        <v>520</v>
      </c>
      <c r="B4" s="388">
        <v>44967.559467592589</v>
      </c>
    </row>
    <row r="5" spans="1:2" x14ac:dyDescent="0.2">
      <c r="A5" t="s">
        <v>523</v>
      </c>
      <c r="B5" t="s">
        <v>545</v>
      </c>
    </row>
    <row r="6" spans="1:2" x14ac:dyDescent="0.2">
      <c r="A6" t="s">
        <v>121</v>
      </c>
      <c r="B6" t="s">
        <v>546</v>
      </c>
    </row>
    <row r="40" spans="7:7" x14ac:dyDescent="0.2">
      <c r="G40" s="335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5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4" t="s">
        <v>97</v>
      </c>
    </row>
    <row r="4" spans="1:52" x14ac:dyDescent="0.2">
      <c r="B4" s="82" t="s">
        <v>96</v>
      </c>
      <c r="C4" t="str">
        <f>Stored!B11</f>
        <v>M:/IE/Projects/Nuffield via NFER AI and automation/Data/Results/Workbooks/LO/LO_Database.Main.xlsx</v>
      </c>
    </row>
    <row r="5" spans="1:52" x14ac:dyDescent="0.2">
      <c r="B5" s="82"/>
    </row>
    <row r="6" spans="1:52" ht="22.5" customHeight="1" x14ac:dyDescent="0.2">
      <c r="B6" s="175" t="s">
        <v>137</v>
      </c>
      <c r="C6" s="175"/>
      <c r="D6" s="199"/>
    </row>
    <row r="7" spans="1:52" ht="15.75" customHeight="1" x14ac:dyDescent="0.2">
      <c r="B7" s="52"/>
      <c r="C7" s="53"/>
      <c r="D7" s="54"/>
    </row>
    <row r="8" spans="1:52" ht="21" customHeight="1" x14ac:dyDescent="0.2">
      <c r="B8" s="55"/>
      <c r="C8" s="198"/>
      <c r="D8" s="56"/>
    </row>
    <row r="10" spans="1:52" ht="17.25" customHeight="1" x14ac:dyDescent="0.2">
      <c r="B10" s="176" t="s">
        <v>419</v>
      </c>
      <c r="C10" s="50"/>
      <c r="D10" s="50"/>
      <c r="E10" s="50"/>
      <c r="F10" s="50"/>
      <c r="G10" s="50"/>
      <c r="H10" s="51"/>
    </row>
    <row r="11" spans="1:52" x14ac:dyDescent="0.2">
      <c r="B11" s="52"/>
      <c r="C11" s="58" t="s">
        <v>22</v>
      </c>
      <c r="D11" s="58" t="s">
        <v>23</v>
      </c>
      <c r="E11" s="58" t="s">
        <v>24</v>
      </c>
      <c r="F11" s="58" t="s">
        <v>25</v>
      </c>
      <c r="G11" s="58" t="s">
        <v>26</v>
      </c>
      <c r="H11" s="54"/>
    </row>
    <row r="12" spans="1:52" ht="13.5" thickBot="1" x14ac:dyDescent="0.25">
      <c r="B12" s="173" t="s">
        <v>16</v>
      </c>
      <c r="C12" s="59">
        <f>'Ind T3'!B3</f>
        <v>2015</v>
      </c>
      <c r="D12" s="59">
        <f>'Ind T3'!C3</f>
        <v>2019</v>
      </c>
      <c r="E12" s="59">
        <f>'Ind T3'!D3</f>
        <v>2020</v>
      </c>
      <c r="F12" s="59">
        <f>'Ind T3'!E3</f>
        <v>2025</v>
      </c>
      <c r="G12" s="59">
        <f>'Ind T3'!F3</f>
        <v>2035</v>
      </c>
      <c r="H12" s="54"/>
    </row>
    <row r="13" spans="1:52" ht="13.5" thickBot="1" x14ac:dyDescent="0.25">
      <c r="B13" s="204" t="s">
        <v>12</v>
      </c>
      <c r="C13" s="126">
        <v>2015</v>
      </c>
      <c r="D13" s="60">
        <v>2019</v>
      </c>
      <c r="E13" s="60">
        <v>2020</v>
      </c>
      <c r="F13" s="60">
        <v>2025</v>
      </c>
      <c r="G13" s="61">
        <v>2035</v>
      </c>
      <c r="H13" s="57"/>
    </row>
    <row r="14" spans="1:52" x14ac:dyDescent="0.2">
      <c r="A14" s="82"/>
    </row>
    <row r="16" spans="1:52" ht="45.75" customHeight="1" x14ac:dyDescent="0.2"/>
    <row r="17" spans="5:5" ht="15.75" customHeight="1" x14ac:dyDescent="0.2">
      <c r="E17" s="53"/>
    </row>
    <row r="18" spans="5:5" ht="24" customHeight="1" x14ac:dyDescent="0.2">
      <c r="E18" s="53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installDataButton">
          <controlPr defaultSize="0" autoLine="0" r:id="rId5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4" name="installDataButton"/>
      </mc:Fallback>
    </mc:AlternateContent>
    <mc:AlternateContent xmlns:mc="http://schemas.openxmlformats.org/markup-compatibility/2006">
      <mc:Choice Requires="x14">
        <control shapeId="1025" r:id="rId6" name="SummaryTablesA">
          <controlPr autoLine="0" r:id="rId7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6" name="SummaryTables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2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144</v>
      </c>
    </row>
    <row r="2" spans="1:2" x14ac:dyDescent="0.2">
      <c r="A2" s="82" t="s">
        <v>142</v>
      </c>
    </row>
    <row r="3" spans="1:2" s="1" customFormat="1" x14ac:dyDescent="0.2">
      <c r="A3" s="208"/>
      <c r="B3" s="208"/>
    </row>
    <row r="4" spans="1:2" s="82" customFormat="1" x14ac:dyDescent="0.2">
      <c r="A4" s="209" t="s">
        <v>143</v>
      </c>
      <c r="B4" s="209" t="s">
        <v>144</v>
      </c>
    </row>
    <row r="5" spans="1:2" x14ac:dyDescent="0.2">
      <c r="A5" s="210" t="s">
        <v>381</v>
      </c>
      <c r="B5" s="211" t="s">
        <v>384</v>
      </c>
    </row>
    <row r="6" spans="1:2" x14ac:dyDescent="0.2">
      <c r="A6" s="210" t="s">
        <v>382</v>
      </c>
      <c r="B6" s="211" t="s">
        <v>385</v>
      </c>
    </row>
    <row r="7" spans="1:2" x14ac:dyDescent="0.2">
      <c r="A7" s="210" t="s">
        <v>386</v>
      </c>
      <c r="B7" s="211" t="s">
        <v>388</v>
      </c>
    </row>
    <row r="8" spans="1:2" x14ac:dyDescent="0.2">
      <c r="A8" s="210" t="s">
        <v>389</v>
      </c>
      <c r="B8" s="211" t="s">
        <v>393</v>
      </c>
    </row>
    <row r="9" spans="1:2" x14ac:dyDescent="0.2">
      <c r="A9" s="210" t="s">
        <v>392</v>
      </c>
      <c r="B9" s="212" t="s">
        <v>394</v>
      </c>
    </row>
    <row r="10" spans="1:2" x14ac:dyDescent="0.2">
      <c r="A10" s="210" t="s">
        <v>390</v>
      </c>
      <c r="B10" s="212" t="s">
        <v>395</v>
      </c>
    </row>
    <row r="11" spans="1:2" x14ac:dyDescent="0.2">
      <c r="A11" s="210" t="s">
        <v>396</v>
      </c>
      <c r="B11" s="211" t="s">
        <v>405</v>
      </c>
    </row>
    <row r="12" spans="1:2" x14ac:dyDescent="0.2">
      <c r="A12" s="210" t="s">
        <v>398</v>
      </c>
      <c r="B12" s="211" t="s">
        <v>401</v>
      </c>
    </row>
    <row r="13" spans="1:2" x14ac:dyDescent="0.2">
      <c r="A13" s="210" t="s">
        <v>400</v>
      </c>
      <c r="B13" s="211" t="s">
        <v>402</v>
      </c>
    </row>
    <row r="14" spans="1:2" x14ac:dyDescent="0.2">
      <c r="A14" s="210" t="s">
        <v>417</v>
      </c>
      <c r="B14" s="211" t="s">
        <v>403</v>
      </c>
    </row>
    <row r="15" spans="1:2" x14ac:dyDescent="0.2">
      <c r="A15" s="210" t="s">
        <v>404</v>
      </c>
      <c r="B15" s="211" t="s">
        <v>436</v>
      </c>
    </row>
    <row r="16" spans="1:2" x14ac:dyDescent="0.2">
      <c r="A16" s="210" t="s">
        <v>383</v>
      </c>
      <c r="B16" s="211" t="s">
        <v>509</v>
      </c>
    </row>
    <row r="17" spans="1:2" x14ac:dyDescent="0.2">
      <c r="A17" s="210" t="s">
        <v>387</v>
      </c>
      <c r="B17" s="211" t="s">
        <v>510</v>
      </c>
    </row>
    <row r="18" spans="1:2" x14ac:dyDescent="0.2">
      <c r="A18" s="210" t="s">
        <v>391</v>
      </c>
      <c r="B18" s="211" t="s">
        <v>511</v>
      </c>
    </row>
    <row r="19" spans="1:2" x14ac:dyDescent="0.2">
      <c r="A19" s="210" t="s">
        <v>437</v>
      </c>
      <c r="B19" s="211" t="s">
        <v>438</v>
      </c>
    </row>
    <row r="20" spans="1:2" x14ac:dyDescent="0.2">
      <c r="A20" s="210" t="s">
        <v>397</v>
      </c>
      <c r="B20" s="211" t="s">
        <v>512</v>
      </c>
    </row>
    <row r="21" spans="1:2" x14ac:dyDescent="0.2">
      <c r="A21" s="210" t="s">
        <v>399</v>
      </c>
      <c r="B21" s="211" t="s">
        <v>513</v>
      </c>
    </row>
    <row r="22" spans="1:2" x14ac:dyDescent="0.2">
      <c r="A22" s="210" t="s">
        <v>428</v>
      </c>
      <c r="B22" s="211" t="s">
        <v>430</v>
      </c>
    </row>
    <row r="23" spans="1:2" x14ac:dyDescent="0.2">
      <c r="A23" s="210" t="s">
        <v>429</v>
      </c>
      <c r="B23" s="211" t="s">
        <v>431</v>
      </c>
    </row>
    <row r="24" spans="1:2" x14ac:dyDescent="0.2">
      <c r="A24" s="210" t="s">
        <v>434</v>
      </c>
      <c r="B24" s="211" t="s">
        <v>435</v>
      </c>
    </row>
    <row r="25" spans="1:2" x14ac:dyDescent="0.2">
      <c r="A25" s="210" t="s">
        <v>406</v>
      </c>
      <c r="B25" s="211" t="s">
        <v>407</v>
      </c>
    </row>
    <row r="26" spans="1:2" x14ac:dyDescent="0.2">
      <c r="A26" s="210" t="s">
        <v>408</v>
      </c>
      <c r="B26" s="211" t="s">
        <v>409</v>
      </c>
    </row>
    <row r="27" spans="1:2" x14ac:dyDescent="0.2">
      <c r="A27" s="210" t="s">
        <v>410</v>
      </c>
      <c r="B27" s="211" t="s">
        <v>514</v>
      </c>
    </row>
    <row r="28" spans="1:2" x14ac:dyDescent="0.2">
      <c r="A28" s="210" t="s">
        <v>412</v>
      </c>
      <c r="B28" s="211" t="s">
        <v>515</v>
      </c>
    </row>
    <row r="29" spans="1:2" x14ac:dyDescent="0.2">
      <c r="A29" s="210" t="s">
        <v>411</v>
      </c>
      <c r="B29" s="211" t="s">
        <v>516</v>
      </c>
    </row>
    <row r="30" spans="1:2" x14ac:dyDescent="0.2">
      <c r="A30" s="210" t="s">
        <v>413</v>
      </c>
      <c r="B30" s="211" t="s">
        <v>416</v>
      </c>
    </row>
    <row r="31" spans="1:2" x14ac:dyDescent="0.2">
      <c r="A31" s="210" t="s">
        <v>414</v>
      </c>
      <c r="B31" s="211" t="s">
        <v>517</v>
      </c>
    </row>
    <row r="32" spans="1:2" x14ac:dyDescent="0.2">
      <c r="A32" s="210" t="s">
        <v>415</v>
      </c>
      <c r="B32" s="211" t="s">
        <v>518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3'!A1" display="Ind T3" xr:uid="{00000000-0004-0000-0400-000002000000}"/>
    <hyperlink ref="A8" location="'Ind T4'!A1" display="Ind T4" xr:uid="{00000000-0004-0000-0400-000003000000}"/>
    <hyperlink ref="A9" location="'Ind T5'!A1" display="Ind T5" xr:uid="{00000000-0004-0000-0400-000004000000}"/>
    <hyperlink ref="A10" location="'Ind T6'!A1" display="Ind T6" xr:uid="{00000000-0004-0000-0400-000005000000}"/>
    <hyperlink ref="A11" location="'Ind F1'!A1" display="Ind F1" xr:uid="{00000000-0004-0000-0400-000006000000}"/>
    <hyperlink ref="A12" location="'Ind F2'!A1" display="Ind F2" xr:uid="{00000000-0004-0000-0400-000007000000}"/>
    <hyperlink ref="A13" location="'Ind Occ T1'!A1" display="IndOcc T1" xr:uid="{00000000-0004-0000-0400-000008000000}"/>
    <hyperlink ref="A14" location="'Ind Occ T2'!A1" display="IndOcc T2" xr:uid="{00000000-0004-0000-0400-000009000000}"/>
    <hyperlink ref="A15" location="'Occ T1'!A1" display="Occ T1" xr:uid="{00000000-0004-0000-0400-00000A000000}"/>
    <hyperlink ref="A16" location="'Occ T2'!A1" display="Occ T2" xr:uid="{00000000-0004-0000-0400-00000B000000}"/>
    <hyperlink ref="A17" location="'Occ T3'!A1" display="Occ T3" xr:uid="{00000000-0004-0000-0400-00000C000000}"/>
    <hyperlink ref="A18" location="'Occ T4'!A1" display="Occ T4" xr:uid="{00000000-0004-0000-0400-00000D000000}"/>
    <hyperlink ref="A20" location="'Occ F1'!A1" display="Occ F1" xr:uid="{00000000-0004-0000-0400-00000E000000}"/>
    <hyperlink ref="A21" location="'Occ F2'!A1" display="Occ F2" xr:uid="{00000000-0004-0000-0400-00000F000000}"/>
    <hyperlink ref="A25" location="'Qual T1'!A1" display="Qual T1" xr:uid="{00000000-0004-0000-0400-000010000000}"/>
    <hyperlink ref="A26" location="'Qual F1'!A1" display="Qual F1" xr:uid="{00000000-0004-0000-0400-000011000000}"/>
    <hyperlink ref="A27" location="'ShiftShare T1'!A1" display="ShiftShare T1" xr:uid="{00000000-0004-0000-0400-000012000000}"/>
    <hyperlink ref="A28" location="'RD T1'!A1" display="RD T1" xr:uid="{00000000-0004-0000-0400-000013000000}"/>
    <hyperlink ref="A29" location="'RD F1'!A1" display="RD F1" xr:uid="{00000000-0004-0000-0400-000014000000}"/>
    <hyperlink ref="A30" location="'Basic T1'!A1" display="Basic T1" xr:uid="{00000000-0004-0000-0400-000015000000}"/>
    <hyperlink ref="A31" location="'Basic T2'!A1" display="Basic T2" xr:uid="{00000000-0004-0000-0400-000016000000}"/>
    <hyperlink ref="A32" location="'Basic T3'!A1" display="Basic T3" xr:uid="{00000000-0004-0000-0400-000017000000}"/>
    <hyperlink ref="A22" location="'Occ F3'!A1" display="Occ F3" xr:uid="{00000000-0004-0000-0400-000018000000}"/>
    <hyperlink ref="A23" location="'Occ F4'!A1" display="Occ F3" xr:uid="{00000000-0004-0000-0400-000019000000}"/>
    <hyperlink ref="A24" location="'Occ F5'!A1" display="Occ F5" xr:uid="{00000000-0004-0000-0400-00001A000000}"/>
    <hyperlink ref="A19" location="'Occ T5'!A1" display="Occ T5" xr:uid="{00000000-0004-0000-0400-00001B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1" width="11.71093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8" t="str">
        <f>CONCATENATE("Industry Table 1  Employment by Industry Sector (SIC 2007), ",B$5,"-",F$5,", ",Info!B5)</f>
        <v>Industry Table 1  Employment by Industry Sector (SIC 2007), 2015-2035, London</v>
      </c>
      <c r="L1" s="18" t="str">
        <f>CONCATENATE("Industry Table 1.1  Employment by Industry Sector (SIC 2007), ",B$5,"-",F$5,", ",Info!B5)</f>
        <v>Industry Table 1.1  Employment by Industry Sector (SIC 2007), 2015-2035, London</v>
      </c>
    </row>
    <row r="2" spans="1:19" x14ac:dyDescent="0.2">
      <c r="A2" s="1" t="s">
        <v>531</v>
      </c>
      <c r="F2" s="15"/>
      <c r="J2" s="15" t="s">
        <v>35</v>
      </c>
    </row>
    <row r="3" spans="1:19" x14ac:dyDescent="0.2">
      <c r="A3" s="35"/>
      <c r="B3" s="35"/>
      <c r="C3" s="35"/>
      <c r="D3" s="35"/>
      <c r="E3" s="35"/>
      <c r="F3" s="35"/>
      <c r="G3" s="16"/>
      <c r="H3" s="27" t="str">
        <f>CONCATENATE(D5,"-",F5)</f>
        <v>2020-2035</v>
      </c>
      <c r="I3" s="35"/>
      <c r="J3" s="35"/>
      <c r="K3" s="16"/>
      <c r="O3" s="1" t="s">
        <v>13</v>
      </c>
      <c r="R3" s="75" t="s">
        <v>41</v>
      </c>
    </row>
    <row r="4" spans="1:19" x14ac:dyDescent="0.2">
      <c r="G4" s="10"/>
      <c r="H4" s="15" t="s">
        <v>29</v>
      </c>
      <c r="I4" s="15" t="s">
        <v>30</v>
      </c>
      <c r="J4" s="15" t="s">
        <v>32</v>
      </c>
      <c r="K4" s="10"/>
      <c r="L4" s="21"/>
      <c r="M4" s="22">
        <f>B5</f>
        <v>2015</v>
      </c>
      <c r="N4" s="22">
        <f>C5</f>
        <v>2019</v>
      </c>
      <c r="O4" s="22">
        <f>D5</f>
        <v>2020</v>
      </c>
      <c r="P4" s="22">
        <f>E5</f>
        <v>2025</v>
      </c>
      <c r="Q4" s="22">
        <f>F5</f>
        <v>2035</v>
      </c>
      <c r="R4" s="74" t="str">
        <f>CONCATENATE(B$5,"-",D$5)</f>
        <v>2015-2020</v>
      </c>
      <c r="S4" s="74" t="str">
        <f>F33</f>
        <v>2020-2035</v>
      </c>
    </row>
    <row r="5" spans="1:19" x14ac:dyDescent="0.2">
      <c r="A5" s="23"/>
      <c r="B5" s="34">
        <f>'Ind T3'!B3</f>
        <v>2015</v>
      </c>
      <c r="C5" s="34">
        <f>'Ind T3'!C3</f>
        <v>2019</v>
      </c>
      <c r="D5" s="34">
        <f>'Ind T3'!D3</f>
        <v>2020</v>
      </c>
      <c r="E5" s="34">
        <f>'Ind T3'!E3</f>
        <v>2025</v>
      </c>
      <c r="F5" s="34">
        <f>'Ind T3'!F3</f>
        <v>2035</v>
      </c>
      <c r="G5" s="11"/>
      <c r="H5" s="62" t="s">
        <v>18</v>
      </c>
      <c r="I5" s="62" t="s">
        <v>31</v>
      </c>
      <c r="J5" s="62" t="s">
        <v>33</v>
      </c>
      <c r="K5" s="11"/>
      <c r="L5" t="str">
        <f t="shared" ref="L5:Q10" si="0">A7</f>
        <v>Primary sector and utilities</v>
      </c>
      <c r="M5" s="11">
        <f t="shared" si="0"/>
        <v>32.094000000098298</v>
      </c>
      <c r="N5" s="11">
        <f t="shared" si="0"/>
        <v>38.942000000120366</v>
      </c>
      <c r="O5" s="11">
        <f t="shared" si="0"/>
        <v>32.877999999813724</v>
      </c>
      <c r="P5" s="11">
        <f t="shared" si="0"/>
        <v>33.681999999911177</v>
      </c>
      <c r="Q5" s="11">
        <f t="shared" si="0"/>
        <v>36.091999999708392</v>
      </c>
      <c r="R5" s="39">
        <f>IF(D$5-B$5 &lt;&gt; 0,(EXP(LN(D7/B7)/(D$5-B$5))-1)*100,0)</f>
        <v>0.48385972480005091</v>
      </c>
      <c r="S5" s="39">
        <f>F34</f>
        <v>0.62372037197229169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0"/>
        <v>Manufacturing</v>
      </c>
      <c r="M6" s="11">
        <f t="shared" si="0"/>
        <v>123.96000000103739</v>
      </c>
      <c r="N6" s="11">
        <f t="shared" si="0"/>
        <v>135.23100000086251</v>
      </c>
      <c r="O6" s="11">
        <f t="shared" si="0"/>
        <v>146.30099999872098</v>
      </c>
      <c r="P6" s="11">
        <f t="shared" si="0"/>
        <v>143.15799999989969</v>
      </c>
      <c r="Q6" s="11">
        <f t="shared" si="0"/>
        <v>132.75099999898183</v>
      </c>
      <c r="R6" s="39">
        <f t="shared" ref="R6:R10" si="1">IF(D$5-B$5 &lt;&gt; 0,(EXP(LN(D8/B8)/(D$5-B$5))-1)*100,0)</f>
        <v>3.3696737105162633</v>
      </c>
      <c r="S6" s="39">
        <f t="shared" ref="S6:S12" si="2">F35</f>
        <v>-0.64584506543633458</v>
      </c>
    </row>
    <row r="7" spans="1:19" x14ac:dyDescent="0.2">
      <c r="A7" t="str">
        <f>name!C4</f>
        <v>Primary sector and utilities</v>
      </c>
      <c r="B7" s="11">
        <f t="array" ref="B7:B12">MMULT(aggregation!$B$28:$BX$33,'Ind T3'!B5:B79)</f>
        <v>32.094000000098298</v>
      </c>
      <c r="C7" s="11">
        <f t="array" ref="C7:C12">MMULT(aggregation!$B$28:$BX$33,'Ind T3'!C5:C79)</f>
        <v>38.942000000120366</v>
      </c>
      <c r="D7" s="11">
        <f t="array" ref="D7:D12">MMULT(aggregation!$B$28:$BX$33,'Ind T3'!D5:D79)</f>
        <v>32.877999999813724</v>
      </c>
      <c r="E7" s="11">
        <f t="array" ref="E7:E12">MMULT(aggregation!$B$28:$BX$33,'Ind T3'!E5:E79)</f>
        <v>33.681999999911177</v>
      </c>
      <c r="F7" s="11">
        <f t="array" ref="F7:F12">MMULT(aggregation!$B$28:$BX$33,'Ind T3'!F5:F79)</f>
        <v>36.091999999708392</v>
      </c>
      <c r="G7" s="11"/>
      <c r="H7" s="11">
        <f>F7-D7</f>
        <v>3.2139999998946678</v>
      </c>
      <c r="I7" s="11">
        <f t="array" ref="I7:I12">MMULT(aggregation!$B$28:$BX$33,'RD T1'!AB7:AB81)</f>
        <v>15.084554500813777</v>
      </c>
      <c r="J7" s="11">
        <f>SUM(H7:I7)</f>
        <v>18.298554500708445</v>
      </c>
      <c r="K7" s="11"/>
      <c r="L7" t="str">
        <f t="shared" si="0"/>
        <v>Construction</v>
      </c>
      <c r="M7" s="11">
        <f t="shared" si="0"/>
        <v>289.43400000057773</v>
      </c>
      <c r="N7" s="11">
        <f t="shared" si="0"/>
        <v>319.71500000728582</v>
      </c>
      <c r="O7" s="11">
        <f t="shared" si="0"/>
        <v>297.80299999075271</v>
      </c>
      <c r="P7" s="11">
        <f t="shared" si="0"/>
        <v>330.64299998375026</v>
      </c>
      <c r="Q7" s="11">
        <f t="shared" si="0"/>
        <v>379.64199998098906</v>
      </c>
      <c r="R7" s="39">
        <f t="shared" si="1"/>
        <v>0.57172619733880659</v>
      </c>
      <c r="S7" s="39">
        <f t="shared" si="2"/>
        <v>1.6318143954479725</v>
      </c>
    </row>
    <row r="8" spans="1:19" x14ac:dyDescent="0.2">
      <c r="A8" t="str">
        <f>name!C5</f>
        <v>Manufacturing</v>
      </c>
      <c r="B8" s="11">
        <v>123.96000000103739</v>
      </c>
      <c r="C8" s="11">
        <v>135.23100000086251</v>
      </c>
      <c r="D8" s="11">
        <v>146.30099999872098</v>
      </c>
      <c r="E8" s="11">
        <v>143.15799999989969</v>
      </c>
      <c r="F8" s="11">
        <v>132.75099999898183</v>
      </c>
      <c r="G8" s="11"/>
      <c r="H8" s="11">
        <f t="shared" ref="H8:H12" si="3">F8-D8</f>
        <v>-13.549999999739157</v>
      </c>
      <c r="I8" s="11">
        <v>63.531374724154745</v>
      </c>
      <c r="J8" s="11">
        <f t="shared" ref="J8:J12" si="4">SUM(H8:I8)</f>
        <v>49.981374724415588</v>
      </c>
      <c r="K8" s="11"/>
      <c r="L8" t="str">
        <f t="shared" si="0"/>
        <v>Trade, accomod. and transport</v>
      </c>
      <c r="M8" s="11">
        <f t="shared" si="0"/>
        <v>1323.0470000357218</v>
      </c>
      <c r="N8" s="11">
        <f t="shared" si="0"/>
        <v>1418.2680000231994</v>
      </c>
      <c r="O8" s="11">
        <f t="shared" si="0"/>
        <v>1386.4849999834535</v>
      </c>
      <c r="P8" s="11">
        <f t="shared" si="0"/>
        <v>1432.0220000007096</v>
      </c>
      <c r="Q8" s="11">
        <f t="shared" si="0"/>
        <v>1510.7689999848176</v>
      </c>
      <c r="R8" s="39">
        <f t="shared" si="1"/>
        <v>0.9410877943524687</v>
      </c>
      <c r="S8" s="39">
        <f t="shared" si="2"/>
        <v>0.57395434455076444</v>
      </c>
    </row>
    <row r="9" spans="1:19" x14ac:dyDescent="0.2">
      <c r="A9" t="str">
        <f>name!C6</f>
        <v>Construction</v>
      </c>
      <c r="B9" s="11">
        <v>289.43400000057773</v>
      </c>
      <c r="C9" s="11">
        <v>319.71500000728582</v>
      </c>
      <c r="D9" s="11">
        <v>297.80299999075271</v>
      </c>
      <c r="E9" s="11">
        <v>330.64299998375026</v>
      </c>
      <c r="F9" s="11">
        <v>379.64199998098906</v>
      </c>
      <c r="G9" s="11"/>
      <c r="H9" s="11">
        <f t="shared" si="3"/>
        <v>81.838999990236346</v>
      </c>
      <c r="I9" s="11">
        <v>146.76836823186306</v>
      </c>
      <c r="J9" s="11">
        <f t="shared" si="4"/>
        <v>228.60736822209941</v>
      </c>
      <c r="K9" s="11"/>
      <c r="L9" t="str">
        <f t="shared" si="0"/>
        <v>Business and other services</v>
      </c>
      <c r="M9" s="11">
        <f t="shared" si="0"/>
        <v>2621.7669999800705</v>
      </c>
      <c r="N9" s="11">
        <f t="shared" si="0"/>
        <v>2825.7269999778605</v>
      </c>
      <c r="O9" s="11">
        <f t="shared" si="0"/>
        <v>2804.459000011399</v>
      </c>
      <c r="P9" s="11">
        <f t="shared" si="0"/>
        <v>2954.988000047038</v>
      </c>
      <c r="Q9" s="11">
        <f t="shared" si="0"/>
        <v>3118.6940000273239</v>
      </c>
      <c r="R9" s="39">
        <f t="shared" si="1"/>
        <v>1.3563588585384423</v>
      </c>
      <c r="S9" s="39">
        <f t="shared" si="2"/>
        <v>0.71053691243967432</v>
      </c>
    </row>
    <row r="10" spans="1:19" x14ac:dyDescent="0.2">
      <c r="A10" t="str">
        <f>name!C7</f>
        <v>Trade, accomod. and transport</v>
      </c>
      <c r="B10" s="11">
        <v>1323.0470000357218</v>
      </c>
      <c r="C10" s="11">
        <v>1418.2680000231994</v>
      </c>
      <c r="D10" s="11">
        <v>1386.4849999834535</v>
      </c>
      <c r="E10" s="11">
        <v>1432.0220000007096</v>
      </c>
      <c r="F10" s="11">
        <v>1510.7689999848176</v>
      </c>
      <c r="G10" s="11"/>
      <c r="H10" s="11">
        <f t="shared" si="3"/>
        <v>124.28400000136412</v>
      </c>
      <c r="I10" s="11">
        <v>698.03467880257313</v>
      </c>
      <c r="J10" s="11">
        <f t="shared" si="4"/>
        <v>822.31867880393725</v>
      </c>
      <c r="K10" s="11"/>
      <c r="L10" t="str">
        <f t="shared" si="0"/>
        <v>Non-marketed services</v>
      </c>
      <c r="M10" s="11">
        <f t="shared" si="0"/>
        <v>1183.2539999865978</v>
      </c>
      <c r="N10" s="11">
        <f t="shared" si="0"/>
        <v>1232.2339999889325</v>
      </c>
      <c r="O10" s="11">
        <f t="shared" si="0"/>
        <v>1269.4550000211912</v>
      </c>
      <c r="P10" s="11">
        <f t="shared" si="0"/>
        <v>1284.8049999793927</v>
      </c>
      <c r="Q10" s="11">
        <f t="shared" si="0"/>
        <v>1302.7870000156399</v>
      </c>
      <c r="R10" s="39">
        <f t="shared" si="1"/>
        <v>1.4163242472674309</v>
      </c>
      <c r="S10" s="39">
        <f t="shared" si="2"/>
        <v>0.17293697280205134</v>
      </c>
    </row>
    <row r="11" spans="1:19" x14ac:dyDescent="0.2">
      <c r="A11" t="str">
        <f>name!C8</f>
        <v>Business and other services</v>
      </c>
      <c r="B11" s="11">
        <v>2621.7669999800705</v>
      </c>
      <c r="C11" s="11">
        <v>2825.7269999778605</v>
      </c>
      <c r="D11" s="11">
        <v>2804.459000011399</v>
      </c>
      <c r="E11" s="11">
        <v>2954.988000047038</v>
      </c>
      <c r="F11" s="11">
        <v>3118.6940000273239</v>
      </c>
      <c r="G11" s="11"/>
      <c r="H11" s="11">
        <f t="shared" si="3"/>
        <v>314.23500001592492</v>
      </c>
      <c r="I11" s="11">
        <v>1443.4979815155084</v>
      </c>
      <c r="J11" s="11">
        <f t="shared" si="4"/>
        <v>1757.7329815314333</v>
      </c>
      <c r="K11" s="11"/>
      <c r="M11" s="11"/>
      <c r="N11" s="11"/>
      <c r="O11" s="11"/>
      <c r="P11" s="11"/>
      <c r="Q11" s="11"/>
      <c r="R11" s="39"/>
      <c r="S11" s="39"/>
    </row>
    <row r="12" spans="1:19" x14ac:dyDescent="0.2">
      <c r="A12" t="str">
        <f>name!C9</f>
        <v>Non-marketed services</v>
      </c>
      <c r="B12" s="11">
        <v>1183.2539999865978</v>
      </c>
      <c r="C12" s="11">
        <v>1232.2339999889325</v>
      </c>
      <c r="D12" s="11">
        <v>1269.4550000211912</v>
      </c>
      <c r="E12" s="11">
        <v>1284.8049999793927</v>
      </c>
      <c r="F12" s="11">
        <v>1302.7870000156399</v>
      </c>
      <c r="G12" s="11"/>
      <c r="H12" s="11">
        <f t="shared" si="3"/>
        <v>33.331999994448779</v>
      </c>
      <c r="I12" s="11">
        <v>674.98750445348162</v>
      </c>
      <c r="J12" s="11">
        <f t="shared" si="4"/>
        <v>708.3195044479304</v>
      </c>
      <c r="K12" s="11"/>
      <c r="L12" s="23" t="str">
        <f t="shared" ref="L12:Q12" si="5">A14</f>
        <v>All industries</v>
      </c>
      <c r="M12" s="33">
        <f t="shared" si="5"/>
        <v>5573.5560000041032</v>
      </c>
      <c r="N12" s="33">
        <f t="shared" si="5"/>
        <v>5970.1169999982612</v>
      </c>
      <c r="O12" s="33">
        <f t="shared" si="5"/>
        <v>5937.3810000053309</v>
      </c>
      <c r="P12" s="33">
        <f t="shared" si="5"/>
        <v>6179.2980000107018</v>
      </c>
      <c r="Q12" s="33">
        <f t="shared" si="5"/>
        <v>6480.7350000074603</v>
      </c>
      <c r="R12" s="42">
        <f>IF(D$5-B$5 &lt;&gt; 0,(EXP(LN(D14/B14)/(D$5-B$5))-1)*100,0)</f>
        <v>1.2727282491479919</v>
      </c>
      <c r="S12" s="42">
        <f t="shared" si="2"/>
        <v>0.58547928810912531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3" t="str">
        <f>name!C3</f>
        <v>All industries</v>
      </c>
      <c r="B14" s="33">
        <f>SUM(B7:B12)</f>
        <v>5573.5560000041032</v>
      </c>
      <c r="C14" s="33">
        <f t="shared" ref="C14:F14" si="6">SUM(C7:C12)</f>
        <v>5970.1169999982612</v>
      </c>
      <c r="D14" s="33">
        <f t="shared" si="6"/>
        <v>5937.3810000053309</v>
      </c>
      <c r="E14" s="33">
        <f t="shared" si="6"/>
        <v>6179.2980000107018</v>
      </c>
      <c r="F14" s="33">
        <f t="shared" si="6"/>
        <v>6480.7350000074603</v>
      </c>
      <c r="G14" s="33"/>
      <c r="H14" s="33">
        <f>SUM(H7:H12)</f>
        <v>543.35400000212962</v>
      </c>
      <c r="I14" s="33">
        <f>SUM(I7:I12)</f>
        <v>3041.9044622283946</v>
      </c>
      <c r="J14" s="33">
        <f t="shared" ref="J14" si="7">SUM(J7:J12)</f>
        <v>3585.2584622305244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6"/>
      <c r="H15" s="11"/>
      <c r="I15" s="11"/>
      <c r="J15" s="11"/>
      <c r="K15" s="16"/>
      <c r="L15" s="11"/>
    </row>
    <row r="16" spans="1:19" x14ac:dyDescent="0.2">
      <c r="B16" s="11"/>
      <c r="C16" s="11"/>
      <c r="D16" s="11"/>
      <c r="E16" s="11"/>
      <c r="F16" s="11"/>
      <c r="G16" s="17"/>
      <c r="H16" s="16"/>
      <c r="I16" s="16"/>
      <c r="J16" s="347" t="s">
        <v>34</v>
      </c>
      <c r="K16" s="17"/>
      <c r="L16" s="11"/>
    </row>
    <row r="17" spans="1:12" x14ac:dyDescent="0.2">
      <c r="A17" s="35"/>
      <c r="B17" s="64"/>
      <c r="C17" s="64"/>
      <c r="D17" s="64"/>
      <c r="E17" s="64"/>
      <c r="F17" s="64"/>
      <c r="G17" s="17"/>
      <c r="H17" s="27" t="str">
        <f>CONCATENATE(D19,"-",F19)</f>
        <v>2020-2035</v>
      </c>
      <c r="I17" s="35"/>
      <c r="J17" s="35"/>
      <c r="K17" s="17"/>
      <c r="L17" s="11"/>
    </row>
    <row r="18" spans="1:12" x14ac:dyDescent="0.2">
      <c r="B18" s="11"/>
      <c r="C18" s="11"/>
      <c r="D18" s="11"/>
      <c r="E18" s="11"/>
      <c r="F18" s="11"/>
      <c r="G18" s="17"/>
      <c r="H18" s="15" t="s">
        <v>29</v>
      </c>
      <c r="I18" s="15" t="s">
        <v>30</v>
      </c>
      <c r="J18" s="15" t="s">
        <v>32</v>
      </c>
      <c r="K18" s="17"/>
      <c r="L18" s="11"/>
    </row>
    <row r="19" spans="1:12" x14ac:dyDescent="0.2">
      <c r="A19" s="40" t="s">
        <v>463</v>
      </c>
      <c r="B19" s="34">
        <f>B$5</f>
        <v>2015</v>
      </c>
      <c r="C19" s="34">
        <f>C$5</f>
        <v>2019</v>
      </c>
      <c r="D19" s="34">
        <f>D$5</f>
        <v>2020</v>
      </c>
      <c r="E19" s="34">
        <f>E$5</f>
        <v>2025</v>
      </c>
      <c r="F19" s="34">
        <f>F$5</f>
        <v>2035</v>
      </c>
      <c r="G19" s="17"/>
      <c r="H19" s="62" t="s">
        <v>18</v>
      </c>
      <c r="I19" s="62" t="s">
        <v>31</v>
      </c>
      <c r="J19" s="62" t="s">
        <v>33</v>
      </c>
      <c r="K19" s="17"/>
      <c r="L19" s="11"/>
    </row>
    <row r="20" spans="1:12" x14ac:dyDescent="0.2">
      <c r="A20" t="str">
        <f>$A$7</f>
        <v>Primary sector and utilities</v>
      </c>
      <c r="B20" s="17">
        <f>B7/B$14*100</f>
        <v>0.57582627679841503</v>
      </c>
      <c r="C20" s="17">
        <f>C7/C$14*100</f>
        <v>0.65228202395584056</v>
      </c>
      <c r="D20" s="17">
        <f>D7/D$14*100</f>
        <v>0.55374583507078634</v>
      </c>
      <c r="E20" s="17">
        <f>E7/E$14*100</f>
        <v>0.5450780978656935</v>
      </c>
      <c r="F20" s="17">
        <f>F7/F$14*100</f>
        <v>0.55691214036165415</v>
      </c>
      <c r="G20" s="17"/>
      <c r="H20" s="39">
        <f>IF(D7&gt;0,(H7/D7)*100,0)</f>
        <v>9.7755337913281739</v>
      </c>
      <c r="I20" s="39">
        <f>IF(D7&gt;0,(I7/D7)*100,0)</f>
        <v>45.880389624974882</v>
      </c>
      <c r="J20" s="39">
        <f>IF(D7&gt;0,(J7/D7)*100,0)</f>
        <v>55.655923416303054</v>
      </c>
      <c r="K20" s="17"/>
      <c r="L20" s="11"/>
    </row>
    <row r="21" spans="1:12" x14ac:dyDescent="0.2">
      <c r="A21" t="str">
        <f>$A$8</f>
        <v>Manufacturing</v>
      </c>
      <c r="B21" s="17">
        <f t="shared" ref="B21:F27" si="8">B8/B$14*100</f>
        <v>2.2240738229049128</v>
      </c>
      <c r="C21" s="17">
        <f t="shared" si="8"/>
        <v>2.2651314873879671</v>
      </c>
      <c r="D21" s="17">
        <f t="shared" si="8"/>
        <v>2.4640662271562097</v>
      </c>
      <c r="E21" s="17">
        <f t="shared" si="8"/>
        <v>2.3167356550801035</v>
      </c>
      <c r="F21" s="17">
        <f t="shared" si="8"/>
        <v>2.0483942021827617</v>
      </c>
      <c r="G21" s="17"/>
      <c r="H21" s="39">
        <f t="shared" ref="H21:H25" si="9">IF(D8&gt;0,(H8/D8)*100,0)</f>
        <v>-9.2617275342325858</v>
      </c>
      <c r="I21" s="39">
        <f t="shared" ref="I21:I25" si="10">IF(D8&gt;0,(I8/D8)*100,0)</f>
        <v>43.425113105658994</v>
      </c>
      <c r="J21" s="39">
        <f t="shared" ref="J21:J25" si="11">IF(D8&gt;0,(J8/D8)*100,0)</f>
        <v>34.163385571426403</v>
      </c>
      <c r="K21" s="17"/>
      <c r="L21" s="11"/>
    </row>
    <row r="22" spans="1:12" x14ac:dyDescent="0.2">
      <c r="A22" t="str">
        <f>$A$9</f>
        <v>Construction</v>
      </c>
      <c r="B22" s="17">
        <f t="shared" si="8"/>
        <v>5.1929863089267361</v>
      </c>
      <c r="C22" s="17">
        <f t="shared" si="8"/>
        <v>5.3552551818897172</v>
      </c>
      <c r="D22" s="17">
        <f t="shared" si="8"/>
        <v>5.0157299993125815</v>
      </c>
      <c r="E22" s="17">
        <f t="shared" si="8"/>
        <v>5.3508181670988781</v>
      </c>
      <c r="F22" s="17">
        <f t="shared" si="8"/>
        <v>5.8580083891804255</v>
      </c>
      <c r="G22" s="17"/>
      <c r="H22" s="39">
        <f t="shared" si="9"/>
        <v>27.48091859141029</v>
      </c>
      <c r="I22" s="39">
        <f t="shared" si="10"/>
        <v>49.283710451681301</v>
      </c>
      <c r="J22" s="39">
        <f t="shared" si="11"/>
        <v>76.764629043091588</v>
      </c>
      <c r="K22" s="17"/>
      <c r="L22" s="11"/>
    </row>
    <row r="23" spans="1:12" x14ac:dyDescent="0.2">
      <c r="A23" t="str">
        <f>$A$10</f>
        <v>Trade, accomod. and transport</v>
      </c>
      <c r="B23" s="17">
        <f t="shared" si="8"/>
        <v>23.737933198029189</v>
      </c>
      <c r="C23" s="17">
        <f t="shared" si="8"/>
        <v>23.756117342819454</v>
      </c>
      <c r="D23" s="17">
        <f t="shared" si="8"/>
        <v>23.35179433460997</v>
      </c>
      <c r="E23" s="17">
        <f t="shared" si="8"/>
        <v>23.174509466904322</v>
      </c>
      <c r="F23" s="17">
        <f t="shared" si="8"/>
        <v>23.311692269211413</v>
      </c>
      <c r="G23" s="17"/>
      <c r="H23" s="39">
        <f t="shared" si="9"/>
        <v>8.9639628270660943</v>
      </c>
      <c r="I23" s="39">
        <f t="shared" si="10"/>
        <v>50.345635099615471</v>
      </c>
      <c r="J23" s="39">
        <f t="shared" si="11"/>
        <v>59.309597926681569</v>
      </c>
      <c r="K23" s="17"/>
      <c r="L23" s="11"/>
    </row>
    <row r="24" spans="1:12" x14ac:dyDescent="0.2">
      <c r="A24" t="str">
        <f>$A$11</f>
        <v>Business and other services</v>
      </c>
      <c r="B24" s="17">
        <f t="shared" si="8"/>
        <v>47.039394597957582</v>
      </c>
      <c r="C24" s="17">
        <f t="shared" si="8"/>
        <v>47.331182956358866</v>
      </c>
      <c r="D24" s="17">
        <f t="shared" si="8"/>
        <v>47.233940351964634</v>
      </c>
      <c r="E24" s="17">
        <f t="shared" si="8"/>
        <v>47.820771874765065</v>
      </c>
      <c r="F24" s="17">
        <f t="shared" si="8"/>
        <v>48.122535484381537</v>
      </c>
      <c r="G24" s="17"/>
      <c r="H24" s="39">
        <f t="shared" si="9"/>
        <v>11.204834872417377</v>
      </c>
      <c r="I24" s="39">
        <f t="shared" si="10"/>
        <v>51.471530926629384</v>
      </c>
      <c r="J24" s="39">
        <f t="shared" si="11"/>
        <v>62.676365799046764</v>
      </c>
      <c r="K24" s="17"/>
    </row>
    <row r="25" spans="1:12" x14ac:dyDescent="0.2">
      <c r="A25" t="str">
        <f>$A$12</f>
        <v>Non-marketed services</v>
      </c>
      <c r="B25" s="17">
        <f t="shared" si="8"/>
        <v>21.229785795383176</v>
      </c>
      <c r="C25" s="17">
        <f t="shared" si="8"/>
        <v>20.640031007588149</v>
      </c>
      <c r="D25" s="17">
        <f t="shared" si="8"/>
        <v>21.380723251885829</v>
      </c>
      <c r="E25" s="17">
        <f t="shared" si="8"/>
        <v>20.792086738285928</v>
      </c>
      <c r="F25" s="17">
        <f t="shared" si="8"/>
        <v>20.102457514682211</v>
      </c>
      <c r="G25" s="17"/>
      <c r="H25" s="39">
        <f t="shared" si="9"/>
        <v>2.6256937027222205</v>
      </c>
      <c r="I25" s="39">
        <f t="shared" si="10"/>
        <v>53.171440062248287</v>
      </c>
      <c r="J25" s="39">
        <f t="shared" si="11"/>
        <v>55.797133764970511</v>
      </c>
      <c r="K25" s="17"/>
      <c r="L25" s="11"/>
    </row>
    <row r="26" spans="1:12" x14ac:dyDescent="0.2">
      <c r="B26" s="17"/>
      <c r="C26" s="17"/>
      <c r="D26" s="17"/>
      <c r="E26" s="17"/>
      <c r="F26" s="17"/>
      <c r="G26" s="17"/>
      <c r="H26" s="39"/>
      <c r="I26" s="39"/>
      <c r="J26" s="39"/>
      <c r="K26" s="17"/>
      <c r="L26" s="11"/>
    </row>
    <row r="27" spans="1:12" x14ac:dyDescent="0.2">
      <c r="A27" s="23" t="str">
        <f>$A$14</f>
        <v>All industries</v>
      </c>
      <c r="B27" s="25">
        <f t="shared" si="8"/>
        <v>100</v>
      </c>
      <c r="C27" s="25">
        <f t="shared" si="8"/>
        <v>100</v>
      </c>
      <c r="D27" s="25">
        <f t="shared" si="8"/>
        <v>100</v>
      </c>
      <c r="E27" s="25">
        <f t="shared" si="8"/>
        <v>100</v>
      </c>
      <c r="F27" s="25">
        <f t="shared" si="8"/>
        <v>100</v>
      </c>
      <c r="G27" s="17"/>
      <c r="H27" s="42">
        <f>IF(D14&gt;0,(H14/D14)*100,0)</f>
        <v>9.1514086766815499</v>
      </c>
      <c r="I27" s="42">
        <f>IF(D14&gt;0,(I14/D14)*100,0)</f>
        <v>51.233101972497018</v>
      </c>
      <c r="J27" s="42">
        <f>IF(D14&gt;0,(J14/D14)*100,0)</f>
        <v>60.38451064917858</v>
      </c>
      <c r="K27" s="17"/>
      <c r="L27" s="11"/>
    </row>
    <row r="28" spans="1:12" x14ac:dyDescent="0.2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1"/>
    </row>
    <row r="29" spans="1:12" x14ac:dyDescent="0.2"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1"/>
    </row>
    <row r="30" spans="1:12" x14ac:dyDescent="0.2">
      <c r="B30" s="17"/>
      <c r="C30" s="17"/>
      <c r="D30" s="17"/>
      <c r="E30" s="17"/>
      <c r="F30" s="17"/>
      <c r="H30" s="17"/>
      <c r="I30" s="17"/>
      <c r="J30" s="17"/>
    </row>
    <row r="31" spans="1:12" ht="15.75" x14ac:dyDescent="0.25">
      <c r="A31" s="193" t="str">
        <f>CONCATENATE(A1," (Continued)")</f>
        <v>Industry Table 1  Employment by Industry Sector (SIC 2007), 2015-2035, London (Continued)</v>
      </c>
      <c r="B31" s="17"/>
      <c r="C31" s="17"/>
      <c r="D31" s="17"/>
      <c r="E31" s="17"/>
      <c r="F31" s="17"/>
      <c r="G31" s="19"/>
      <c r="K31" s="19"/>
    </row>
    <row r="32" spans="1:12" x14ac:dyDescent="0.2">
      <c r="G32" s="17"/>
      <c r="H32" s="19"/>
      <c r="I32" s="19"/>
      <c r="J32" s="19"/>
      <c r="K32" s="17"/>
    </row>
    <row r="33" spans="1:11" x14ac:dyDescent="0.2">
      <c r="A33" s="194" t="s">
        <v>14</v>
      </c>
      <c r="B33" s="24" t="str">
        <f>CONCATENATE(B$5,"-",C$5)</f>
        <v>2015-2019</v>
      </c>
      <c r="C33" s="24" t="str">
        <f>CONCATENATE(C$5,"-",D$5)</f>
        <v>2019-2020</v>
      </c>
      <c r="D33" s="24" t="str">
        <f>CONCATENATE(D$5,"-",E$5)</f>
        <v>2020-2025</v>
      </c>
      <c r="E33" s="24" t="str">
        <f>CONCATENATE(E$5,"-",F$5)</f>
        <v>2025-2035</v>
      </c>
      <c r="F33" s="24" t="str">
        <f>CONCATENATE(D$5,"-",F$5)</f>
        <v>2020-2035</v>
      </c>
      <c r="G33" s="17"/>
      <c r="H33" s="17"/>
      <c r="I33" s="17"/>
      <c r="J33" s="17"/>
      <c r="K33" s="17"/>
    </row>
    <row r="34" spans="1:11" x14ac:dyDescent="0.2">
      <c r="A34" t="str">
        <f>$A$7</f>
        <v>Primary sector and utilities</v>
      </c>
      <c r="B34" s="17">
        <f>IF(C$5-B$5 &lt;&gt; 0,(EXP(LN(C7/B7)/(C$5-B$5))-1)*100,0)</f>
        <v>4.9539047846714368</v>
      </c>
      <c r="C34" s="17">
        <f>IF(D$5-C$5 &lt;&gt; 0,(EXP(LN(D7/C7)/(D$5-C$5))-1)*100,0)</f>
        <v>-15.571876124204964</v>
      </c>
      <c r="D34" s="17">
        <f>IF(E$5-D$5 &lt;&gt; 0,(EXP(LN(E7/D7)/(E$5-D$5))-1)*100,0)</f>
        <v>0.48436585620510453</v>
      </c>
      <c r="E34" s="17">
        <f>IF(F$5-E$5 &lt;&gt; 0,(EXP(LN(F7/E7)/(F$5-E$5))-1)*100,0)</f>
        <v>0.69347008588400705</v>
      </c>
      <c r="F34" s="17">
        <f>IF(F$5-D$5 &lt;&gt; 0,(EXP(LN(F7/D7)/(F$5-D$5))-1)*100,0)</f>
        <v>0.62372037197229169</v>
      </c>
      <c r="G34" s="17"/>
      <c r="H34" s="17"/>
      <c r="I34" s="17"/>
      <c r="J34" s="17"/>
      <c r="K34" s="17"/>
    </row>
    <row r="35" spans="1:11" x14ac:dyDescent="0.2">
      <c r="A35" t="str">
        <f>$A$8</f>
        <v>Manufacturing</v>
      </c>
      <c r="B35" s="17">
        <f t="shared" ref="B35:B41" si="12">IF(C$5-B$5 &lt;&gt; 0,(EXP(LN(C8/B8)/(C$5-B$5))-1)*100,0)</f>
        <v>2.1994769217887233</v>
      </c>
      <c r="C35" s="17">
        <f t="shared" ref="C35:C41" si="13">IF(D$5-C$5 &lt;&gt; 0,(EXP(LN(D8/C8)/(D$5-C$5))-1)*100,0)</f>
        <v>8.1859928550316532</v>
      </c>
      <c r="D35" s="17">
        <f t="shared" ref="D35:E39" si="14">IF(E$5-D$5 &lt;&gt; 0,(EXP(LN(E8/D8)/(E$5-D$5))-1)*100,0)</f>
        <v>-0.43340264518128002</v>
      </c>
      <c r="E35" s="17">
        <f t="shared" si="14"/>
        <v>-0.75189623418434604</v>
      </c>
      <c r="F35" s="17">
        <f t="shared" ref="F35:F41" si="15">IF(F$5-D$5 &lt;&gt; 0,(EXP(LN(F8/D8)/(F$5-D$5))-1)*100,0)</f>
        <v>-0.64584506543633458</v>
      </c>
      <c r="G35" s="17"/>
      <c r="H35" s="17"/>
      <c r="I35" s="17"/>
      <c r="J35" s="17"/>
      <c r="K35" s="17"/>
    </row>
    <row r="36" spans="1:11" x14ac:dyDescent="0.2">
      <c r="A36" t="str">
        <f>$A$9</f>
        <v>Construction</v>
      </c>
      <c r="B36" s="17">
        <f t="shared" si="12"/>
        <v>2.5187651590128146</v>
      </c>
      <c r="C36" s="17">
        <f t="shared" si="13"/>
        <v>-6.8536039960695572</v>
      </c>
      <c r="D36" s="17">
        <f t="shared" si="14"/>
        <v>2.1141796823994641</v>
      </c>
      <c r="E36" s="17">
        <f t="shared" si="14"/>
        <v>1.3914868968506466</v>
      </c>
      <c r="F36" s="17">
        <f t="shared" si="15"/>
        <v>1.6318143954479725</v>
      </c>
      <c r="G36" s="17"/>
      <c r="H36" s="17"/>
      <c r="I36" s="17"/>
      <c r="J36" s="17"/>
      <c r="K36" s="17"/>
    </row>
    <row r="37" spans="1:11" x14ac:dyDescent="0.2">
      <c r="A37" t="str">
        <f>$A$10</f>
        <v>Trade, accomod. and transport</v>
      </c>
      <c r="B37" s="17">
        <f t="shared" si="12"/>
        <v>1.7526568714018476</v>
      </c>
      <c r="C37" s="17">
        <f t="shared" si="13"/>
        <v>-2.2409727949319946</v>
      </c>
      <c r="D37" s="17">
        <f t="shared" si="14"/>
        <v>0.64840639430554514</v>
      </c>
      <c r="E37" s="17">
        <f t="shared" si="14"/>
        <v>0.53674897496054363</v>
      </c>
      <c r="F37" s="17">
        <f t="shared" si="15"/>
        <v>0.57395434455076444</v>
      </c>
      <c r="G37" s="17"/>
      <c r="H37" s="17"/>
      <c r="I37" s="17"/>
      <c r="J37" s="17"/>
      <c r="K37" s="17"/>
    </row>
    <row r="38" spans="1:11" x14ac:dyDescent="0.2">
      <c r="A38" t="str">
        <f>$A$11</f>
        <v>Business and other services</v>
      </c>
      <c r="B38" s="17">
        <f t="shared" si="12"/>
        <v>1.8905782961926798</v>
      </c>
      <c r="C38" s="17">
        <f t="shared" si="13"/>
        <v>-0.75265586401758178</v>
      </c>
      <c r="D38" s="17">
        <f t="shared" si="14"/>
        <v>1.0511651160992619</v>
      </c>
      <c r="E38" s="17">
        <f t="shared" si="14"/>
        <v>0.54065363013866552</v>
      </c>
      <c r="F38" s="17">
        <f t="shared" si="15"/>
        <v>0.71053691243967432</v>
      </c>
      <c r="G38" s="17"/>
      <c r="H38" s="17"/>
      <c r="I38" s="17"/>
      <c r="J38" s="17"/>
      <c r="K38" s="17"/>
    </row>
    <row r="39" spans="1:11" x14ac:dyDescent="0.2">
      <c r="A39" t="str">
        <f>$A$12</f>
        <v>Non-marketed services</v>
      </c>
      <c r="B39" s="17">
        <f t="shared" si="12"/>
        <v>1.0191713266839875</v>
      </c>
      <c r="C39" s="17">
        <f t="shared" si="13"/>
        <v>3.0206113475681473</v>
      </c>
      <c r="D39" s="17">
        <f t="shared" si="14"/>
        <v>0.24067478426634814</v>
      </c>
      <c r="E39" s="17">
        <f t="shared" si="14"/>
        <v>0.13908523423289409</v>
      </c>
      <c r="F39" s="17">
        <f t="shared" si="15"/>
        <v>0.17293697280205134</v>
      </c>
      <c r="G39" s="17"/>
      <c r="H39" s="17"/>
      <c r="I39" s="17"/>
      <c r="J39" s="17"/>
      <c r="K39" s="17"/>
    </row>
    <row r="40" spans="1:11" x14ac:dyDescent="0.2">
      <c r="B40" s="17"/>
      <c r="C40" s="17"/>
      <c r="D40" s="17"/>
      <c r="E40" s="17"/>
      <c r="F40" s="17"/>
      <c r="G40" s="17"/>
      <c r="H40" s="17"/>
      <c r="I40" s="17"/>
      <c r="J40" s="17"/>
      <c r="K40" s="17"/>
    </row>
    <row r="41" spans="1:11" x14ac:dyDescent="0.2">
      <c r="A41" t="str">
        <f>$A$14</f>
        <v>All industries</v>
      </c>
      <c r="B41" s="17">
        <f t="shared" si="12"/>
        <v>1.733179610351665</v>
      </c>
      <c r="C41" s="17">
        <f t="shared" si="13"/>
        <v>-0.54833096223976252</v>
      </c>
      <c r="D41" s="17">
        <f>IF(E$5-D$5 &lt;&gt; 0,(EXP(LN(E14/D14)/(E$5-D$5))-1)*100,0)</f>
        <v>0.80192927975628603</v>
      </c>
      <c r="E41" s="17">
        <f>IF(F$5-E$5 &lt;&gt; 0,(EXP(LN(F14/E14)/(F$5-E$5))-1)*100,0)</f>
        <v>0.47742864675834884</v>
      </c>
      <c r="F41" s="17">
        <f t="shared" si="15"/>
        <v>0.58547928810912531</v>
      </c>
      <c r="H41" s="17"/>
      <c r="I41" s="17"/>
      <c r="J41" s="17"/>
    </row>
    <row r="42" spans="1:11" x14ac:dyDescent="0.2">
      <c r="B42" s="17"/>
      <c r="C42" s="17"/>
      <c r="D42" s="17"/>
      <c r="E42" s="17"/>
      <c r="F42" s="17"/>
      <c r="G42" s="19"/>
      <c r="K42" s="19"/>
    </row>
    <row r="43" spans="1:11" x14ac:dyDescent="0.2">
      <c r="G43" s="26"/>
      <c r="H43" s="19"/>
      <c r="I43" s="19"/>
      <c r="J43" s="19"/>
      <c r="K43" s="26"/>
    </row>
    <row r="44" spans="1:11" x14ac:dyDescent="0.2">
      <c r="A44" s="1" t="s">
        <v>15</v>
      </c>
      <c r="B44" s="19" t="str">
        <f>CONCATENATE(B$5,"-",C$5)</f>
        <v>2015-2019</v>
      </c>
      <c r="C44" s="19" t="str">
        <f>CONCATENATE(C$5,"-",D$5)</f>
        <v>2019-2020</v>
      </c>
      <c r="D44" s="19" t="str">
        <f>CONCATENATE(D$5,"-",E$5)</f>
        <v>2020-2025</v>
      </c>
      <c r="E44" s="19" t="str">
        <f>CONCATENATE(E$5,"-",F$5)</f>
        <v>2025-2035</v>
      </c>
      <c r="F44" s="19" t="str">
        <f>CONCATENATE(D$5,"-",F$5)</f>
        <v>2020-2035</v>
      </c>
      <c r="G44" s="26"/>
      <c r="H44" s="26"/>
      <c r="I44" s="26"/>
      <c r="J44" s="26"/>
      <c r="K44" s="26"/>
    </row>
    <row r="45" spans="1:11" x14ac:dyDescent="0.2">
      <c r="A45" t="str">
        <f>$A$7</f>
        <v>Primary sector and utilities</v>
      </c>
      <c r="B45" s="26">
        <f>C7-B7</f>
        <v>6.8480000000220684</v>
      </c>
      <c r="C45" s="26">
        <f>D7-C7</f>
        <v>-6.0640000003066419</v>
      </c>
      <c r="D45" s="26">
        <f>E7-D7</f>
        <v>0.80400000009745298</v>
      </c>
      <c r="E45" s="26">
        <f>F7-E7</f>
        <v>2.4099999997972148</v>
      </c>
      <c r="F45" s="26">
        <f>F7-D7</f>
        <v>3.2139999998946678</v>
      </c>
      <c r="G45" s="26"/>
      <c r="H45" s="26"/>
      <c r="I45" s="26"/>
      <c r="J45" s="26"/>
      <c r="K45" s="26"/>
    </row>
    <row r="46" spans="1:11" x14ac:dyDescent="0.2">
      <c r="A46" t="str">
        <f>$A$8</f>
        <v>Manufacturing</v>
      </c>
      <c r="B46" s="26">
        <f t="shared" ref="B46:E52" si="16">C8-B8</f>
        <v>11.270999999825122</v>
      </c>
      <c r="C46" s="26">
        <f>D8-C8</f>
        <v>11.069999997858474</v>
      </c>
      <c r="D46" s="26">
        <f t="shared" si="16"/>
        <v>-3.1429999988212955</v>
      </c>
      <c r="E46" s="26">
        <f t="shared" si="16"/>
        <v>-10.407000000917861</v>
      </c>
      <c r="F46" s="26">
        <f t="shared" ref="F46:F52" si="17">F8-D8</f>
        <v>-13.549999999739157</v>
      </c>
      <c r="G46" s="26"/>
      <c r="H46" s="26"/>
      <c r="I46" s="26"/>
      <c r="J46" s="26"/>
      <c r="K46" s="26"/>
    </row>
    <row r="47" spans="1:11" x14ac:dyDescent="0.2">
      <c r="A47" t="str">
        <f>$A$9</f>
        <v>Construction</v>
      </c>
      <c r="B47" s="26">
        <f t="shared" si="16"/>
        <v>30.281000006708098</v>
      </c>
      <c r="C47" s="26">
        <f t="shared" ref="C47:C50" si="18">D9-C9</f>
        <v>-21.912000016533113</v>
      </c>
      <c r="D47" s="26">
        <f t="shared" si="16"/>
        <v>32.839999992997548</v>
      </c>
      <c r="E47" s="26">
        <f t="shared" si="16"/>
        <v>48.998999997238798</v>
      </c>
      <c r="F47" s="26">
        <f t="shared" si="17"/>
        <v>81.838999990236346</v>
      </c>
      <c r="G47" s="26"/>
      <c r="H47" s="26"/>
      <c r="I47" s="26"/>
      <c r="J47" s="26"/>
      <c r="K47" s="26"/>
    </row>
    <row r="48" spans="1:11" x14ac:dyDescent="0.2">
      <c r="A48" t="str">
        <f>$A$10</f>
        <v>Trade, accomod. and transport</v>
      </c>
      <c r="B48" s="26">
        <f t="shared" si="16"/>
        <v>95.220999987477626</v>
      </c>
      <c r="C48" s="26">
        <f t="shared" si="18"/>
        <v>-31.783000039745957</v>
      </c>
      <c r="D48" s="26">
        <f t="shared" si="16"/>
        <v>45.537000017256105</v>
      </c>
      <c r="E48" s="26">
        <f t="shared" si="16"/>
        <v>78.746999984108015</v>
      </c>
      <c r="F48" s="26">
        <f t="shared" si="17"/>
        <v>124.28400000136412</v>
      </c>
      <c r="G48" s="26"/>
      <c r="H48" s="26"/>
      <c r="I48" s="26"/>
      <c r="J48" s="26"/>
      <c r="K48" s="26"/>
    </row>
    <row r="49" spans="1:11" x14ac:dyDescent="0.2">
      <c r="A49" t="str">
        <f>$A$11</f>
        <v>Business and other services</v>
      </c>
      <c r="B49" s="26">
        <f t="shared" si="16"/>
        <v>203.95999999778996</v>
      </c>
      <c r="C49" s="26">
        <f t="shared" si="18"/>
        <v>-21.267999966461502</v>
      </c>
      <c r="D49" s="26">
        <f t="shared" si="16"/>
        <v>150.529000035639</v>
      </c>
      <c r="E49" s="26">
        <f t="shared" si="16"/>
        <v>163.70599998028592</v>
      </c>
      <c r="F49" s="26">
        <f t="shared" si="17"/>
        <v>314.23500001592492</v>
      </c>
      <c r="G49" s="26"/>
      <c r="H49" s="26"/>
      <c r="I49" s="26"/>
      <c r="J49" s="26"/>
      <c r="K49" s="26"/>
    </row>
    <row r="50" spans="1:11" x14ac:dyDescent="0.2">
      <c r="A50" t="str">
        <f>$A$12</f>
        <v>Non-marketed services</v>
      </c>
      <c r="B50" s="26">
        <f t="shared" si="16"/>
        <v>48.980000002334691</v>
      </c>
      <c r="C50" s="26">
        <f t="shared" si="18"/>
        <v>37.221000032258644</v>
      </c>
      <c r="D50" s="26">
        <f t="shared" si="16"/>
        <v>15.349999958201579</v>
      </c>
      <c r="E50" s="26">
        <f t="shared" si="16"/>
        <v>17.9820000362472</v>
      </c>
      <c r="F50" s="26">
        <f t="shared" si="17"/>
        <v>33.331999994448779</v>
      </c>
      <c r="G50" s="26"/>
      <c r="H50" s="26"/>
      <c r="I50" s="26"/>
      <c r="J50" s="26"/>
      <c r="K50" s="26"/>
    </row>
    <row r="51" spans="1:11" x14ac:dyDescent="0.2">
      <c r="B51" s="26"/>
      <c r="C51" s="26"/>
      <c r="D51" s="26"/>
      <c r="E51" s="26"/>
      <c r="F51" s="26"/>
      <c r="H51" s="26"/>
      <c r="I51" s="26"/>
      <c r="J51" s="26"/>
    </row>
    <row r="52" spans="1:11" x14ac:dyDescent="0.2">
      <c r="A52" s="23" t="str">
        <f>$A$14</f>
        <v>All industries</v>
      </c>
      <c r="B52" s="28">
        <f>C14-B14</f>
        <v>396.56099999415801</v>
      </c>
      <c r="C52" s="28">
        <f>D14-C14</f>
        <v>-32.735999992930374</v>
      </c>
      <c r="D52" s="28">
        <f t="shared" si="16"/>
        <v>241.91700000537094</v>
      </c>
      <c r="E52" s="28">
        <f t="shared" si="16"/>
        <v>301.43699999675846</v>
      </c>
      <c r="F52" s="28">
        <f t="shared" si="17"/>
        <v>543.3540000021294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13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</cols>
  <sheetData>
    <row r="1" spans="1:7" ht="15.75" x14ac:dyDescent="0.25">
      <c r="A1" s="18" t="str">
        <f>CONCATENATE("Industry Table 2  Employment by Industry Group (SIC 2007), ",B$3,"-",F$3,", ",Info!B5)</f>
        <v>Industry Table 2  Employment by Industry Group (SIC 2007), 2015-2035, London</v>
      </c>
    </row>
    <row r="2" spans="1:7" x14ac:dyDescent="0.2">
      <c r="A2" s="1" t="s">
        <v>532</v>
      </c>
    </row>
    <row r="3" spans="1:7" x14ac:dyDescent="0.2">
      <c r="A3" s="21"/>
      <c r="B3" s="22">
        <f>'Ind T3'!B3</f>
        <v>2015</v>
      </c>
      <c r="C3" s="22">
        <f>'Ind T3'!C3</f>
        <v>2019</v>
      </c>
      <c r="D3" s="22">
        <f>'Ind T3'!D3</f>
        <v>2020</v>
      </c>
      <c r="E3" s="22">
        <f>'Ind T3'!E3</f>
        <v>2025</v>
      </c>
      <c r="F3" s="22">
        <f>'Ind T3'!F3</f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f t="array" ref="B5:B26">MMULT(aggregation!$B$3:$BX$24,'Ind T3'!B5:B79)</f>
        <v>1.6959999999793451</v>
      </c>
      <c r="C5" s="11">
        <f t="array" ref="C5:C26">MMULT(aggregation!$B$3:$BX$24,'Ind T3'!C5:C79)</f>
        <v>4.5530000000011261</v>
      </c>
      <c r="D5" s="11">
        <f t="array" ref="D5:D26">MMULT(aggregation!$B$3:$BX$24,'Ind T3'!D5:D79)</f>
        <v>1.0350000000023996</v>
      </c>
      <c r="E5" s="11">
        <f t="array" ref="E5:E26">MMULT(aggregation!$B$3:$BX$24,'Ind T3'!E5:E79)</f>
        <v>1.0710000000172895</v>
      </c>
      <c r="F5" s="11">
        <f t="array" ref="F5:F26">MMULT(aggregation!$B$3:$BX$24,'Ind T3'!F5:F79)</f>
        <v>1.1010000000043316</v>
      </c>
      <c r="G5" s="10"/>
    </row>
    <row r="6" spans="1:7" x14ac:dyDescent="0.2">
      <c r="A6" s="10" t="str">
        <f>name!B5</f>
        <v>Mining and quarrying</v>
      </c>
      <c r="B6" s="11">
        <v>4.2619999999754201</v>
      </c>
      <c r="C6" s="11">
        <v>2.242999999978549</v>
      </c>
      <c r="D6" s="11">
        <v>2.7030000000111776</v>
      </c>
      <c r="E6" s="11">
        <v>2.1960000000236986</v>
      </c>
      <c r="F6" s="11">
        <v>1.6440000000162167</v>
      </c>
    </row>
    <row r="7" spans="1:7" x14ac:dyDescent="0.2">
      <c r="A7" s="10" t="str">
        <f>name!B6</f>
        <v>Food drink and tobacco</v>
      </c>
      <c r="B7" s="11">
        <v>28.49100000053776</v>
      </c>
      <c r="C7" s="11">
        <v>43.139000000567805</v>
      </c>
      <c r="D7" s="11">
        <v>44.624999999315129</v>
      </c>
      <c r="E7" s="11">
        <v>45.290999999783494</v>
      </c>
      <c r="F7" s="11">
        <v>44.388999999243552</v>
      </c>
      <c r="G7" s="11"/>
    </row>
    <row r="8" spans="1:7" x14ac:dyDescent="0.2">
      <c r="A8" s="10" t="str">
        <f>name!B7</f>
        <v>Engineering</v>
      </c>
      <c r="B8" s="11">
        <v>9.7510000000010422</v>
      </c>
      <c r="C8" s="11">
        <v>13.439000000010228</v>
      </c>
      <c r="D8" s="11">
        <v>13.72299999996684</v>
      </c>
      <c r="E8" s="11">
        <v>17.333000000023972</v>
      </c>
      <c r="F8" s="11">
        <v>18.494999999974297</v>
      </c>
      <c r="G8" s="11"/>
    </row>
    <row r="9" spans="1:7" x14ac:dyDescent="0.2">
      <c r="A9" s="10" t="str">
        <f>name!B8</f>
        <v>Rest of manufacturing</v>
      </c>
      <c r="B9" s="11">
        <v>85.718000000498563</v>
      </c>
      <c r="C9" s="11">
        <v>78.653000000284464</v>
      </c>
      <c r="D9" s="11">
        <v>87.952999999439015</v>
      </c>
      <c r="E9" s="11">
        <v>80.534000000092234</v>
      </c>
      <c r="F9" s="11">
        <v>69.866999999763991</v>
      </c>
      <c r="G9" s="11"/>
    </row>
    <row r="10" spans="1:7" x14ac:dyDescent="0.2">
      <c r="A10" s="10" t="str">
        <f>name!B9</f>
        <v>Electricity and gas</v>
      </c>
      <c r="B10" s="11">
        <v>10.292999999952817</v>
      </c>
      <c r="C10" s="11">
        <v>15.214999999958104</v>
      </c>
      <c r="D10" s="11">
        <v>12.42299999999452</v>
      </c>
      <c r="E10" s="11">
        <v>12.218000000079176</v>
      </c>
      <c r="F10" s="11">
        <v>12.449000000055946</v>
      </c>
      <c r="G10" s="11"/>
    </row>
    <row r="11" spans="1:7" x14ac:dyDescent="0.2">
      <c r="A11" s="10" t="str">
        <f>name!B10</f>
        <v>Water and sewerage</v>
      </c>
      <c r="B11" s="11">
        <v>15.843000000190717</v>
      </c>
      <c r="C11" s="11">
        <v>16.931000000182589</v>
      </c>
      <c r="D11" s="11">
        <v>16.71699999980563</v>
      </c>
      <c r="E11" s="11">
        <v>18.196999999791014</v>
      </c>
      <c r="F11" s="11">
        <v>20.897999999631903</v>
      </c>
      <c r="G11" s="11"/>
    </row>
    <row r="12" spans="1:7" x14ac:dyDescent="0.2">
      <c r="A12" s="10" t="str">
        <f>name!B11</f>
        <v>Construction</v>
      </c>
      <c r="B12" s="11">
        <v>289.43400000057773</v>
      </c>
      <c r="C12" s="11">
        <v>319.71500000728582</v>
      </c>
      <c r="D12" s="11">
        <v>297.80299999075271</v>
      </c>
      <c r="E12" s="11">
        <v>330.64299998375026</v>
      </c>
      <c r="F12" s="11">
        <v>379.64199998098906</v>
      </c>
      <c r="G12" s="11"/>
    </row>
    <row r="13" spans="1:7" x14ac:dyDescent="0.2">
      <c r="A13" s="10" t="str">
        <f>name!B12</f>
        <v>Wholesale and retail trade</v>
      </c>
      <c r="B13" s="11">
        <v>665.94600001948652</v>
      </c>
      <c r="C13" s="11">
        <v>638.43700001312141</v>
      </c>
      <c r="D13" s="11">
        <v>638.69099999360094</v>
      </c>
      <c r="E13" s="11">
        <v>631.94400000136363</v>
      </c>
      <c r="F13" s="11">
        <v>632.02499999279519</v>
      </c>
      <c r="G13" s="11"/>
    </row>
    <row r="14" spans="1:7" x14ac:dyDescent="0.2">
      <c r="A14" s="10" t="str">
        <f>name!B13</f>
        <v>Transport and storage</v>
      </c>
      <c r="B14" s="11">
        <v>286.79100000660162</v>
      </c>
      <c r="C14" s="11">
        <v>321.04600000112322</v>
      </c>
      <c r="D14" s="11">
        <v>319.80499999526324</v>
      </c>
      <c r="E14" s="11">
        <v>344.99899999899503</v>
      </c>
      <c r="F14" s="11">
        <v>345.39099999613529</v>
      </c>
      <c r="G14" s="11"/>
    </row>
    <row r="15" spans="1:7" x14ac:dyDescent="0.2">
      <c r="A15" s="10" t="str">
        <f>name!B14</f>
        <v>Accommodation and food</v>
      </c>
      <c r="B15" s="11">
        <v>370.31000000963365</v>
      </c>
      <c r="C15" s="11">
        <v>458.78500000895485</v>
      </c>
      <c r="D15" s="11">
        <v>427.98899999458945</v>
      </c>
      <c r="E15" s="11">
        <v>455.0790000003509</v>
      </c>
      <c r="F15" s="11">
        <v>533.35299999588699</v>
      </c>
      <c r="G15" s="11"/>
    </row>
    <row r="16" spans="1:7" x14ac:dyDescent="0.2">
      <c r="A16" s="10" t="str">
        <f>name!B15</f>
        <v>Media</v>
      </c>
      <c r="B16" s="11">
        <v>169.83099999940578</v>
      </c>
      <c r="C16" s="11">
        <v>167.9069999990358</v>
      </c>
      <c r="D16" s="11">
        <v>177.65000000121492</v>
      </c>
      <c r="E16" s="11">
        <v>186.16600000392302</v>
      </c>
      <c r="F16" s="11">
        <v>190.39500000259886</v>
      </c>
      <c r="G16" s="11"/>
    </row>
    <row r="17" spans="1:7" x14ac:dyDescent="0.2">
      <c r="A17" s="10" t="str">
        <f>name!B16</f>
        <v>Information technology</v>
      </c>
      <c r="B17" s="11">
        <v>262.03799999552723</v>
      </c>
      <c r="C17" s="11">
        <v>316.03299999552218</v>
      </c>
      <c r="D17" s="11">
        <v>332.73700000238267</v>
      </c>
      <c r="E17" s="11">
        <v>360.24400000624189</v>
      </c>
      <c r="F17" s="11">
        <v>393.24500000436967</v>
      </c>
      <c r="G17" s="11"/>
    </row>
    <row r="18" spans="1:7" x14ac:dyDescent="0.2">
      <c r="A18" s="10" t="str">
        <f>name!B17</f>
        <v>Finance and insurance</v>
      </c>
      <c r="B18" s="11">
        <v>372.22399999473578</v>
      </c>
      <c r="C18" s="11">
        <v>408.94599999445848</v>
      </c>
      <c r="D18" s="11">
        <v>403.88500000181784</v>
      </c>
      <c r="E18" s="11">
        <v>410.36400000884646</v>
      </c>
      <c r="F18" s="11">
        <v>414.92400000529392</v>
      </c>
      <c r="G18" s="11"/>
    </row>
    <row r="19" spans="1:7" x14ac:dyDescent="0.2">
      <c r="A19" s="10" t="str">
        <f>name!B18</f>
        <v>Real estate</v>
      </c>
      <c r="B19" s="11">
        <v>136.39699999923894</v>
      </c>
      <c r="C19" s="11">
        <v>130.66799999922634</v>
      </c>
      <c r="D19" s="11">
        <v>160.77699999999172</v>
      </c>
      <c r="E19" s="11">
        <v>152.81600000129112</v>
      </c>
      <c r="F19" s="11">
        <v>160.82000000072313</v>
      </c>
      <c r="G19" s="11"/>
    </row>
    <row r="20" spans="1:7" x14ac:dyDescent="0.2">
      <c r="A20" s="10" t="str">
        <f>name!B19</f>
        <v>Professional services</v>
      </c>
      <c r="B20" s="11">
        <v>758.16899998468466</v>
      </c>
      <c r="C20" s="11">
        <v>830.11899998514627</v>
      </c>
      <c r="D20" s="11">
        <v>777.9650000084024</v>
      </c>
      <c r="E20" s="11">
        <v>823.48100002307365</v>
      </c>
      <c r="F20" s="11">
        <v>871.91000001357156</v>
      </c>
      <c r="G20" s="11"/>
    </row>
    <row r="21" spans="1:7" x14ac:dyDescent="0.2">
      <c r="A21" s="10" t="str">
        <f>name!B20</f>
        <v>Support services</v>
      </c>
      <c r="B21" s="11">
        <v>570.41700000629999</v>
      </c>
      <c r="C21" s="11">
        <v>610.37800000496702</v>
      </c>
      <c r="D21" s="11">
        <v>583.18299999631267</v>
      </c>
      <c r="E21" s="11">
        <v>611.80199999737374</v>
      </c>
      <c r="F21" s="11">
        <v>643.19999999696074</v>
      </c>
      <c r="G21" s="11"/>
    </row>
    <row r="22" spans="1:7" x14ac:dyDescent="0.2">
      <c r="A22" s="10" t="str">
        <f>name!B21</f>
        <v>Public admin. and defence</v>
      </c>
      <c r="B22" s="11">
        <v>217.89999999797885</v>
      </c>
      <c r="C22" s="11">
        <v>240.23199999824902</v>
      </c>
      <c r="D22" s="11">
        <v>255.05000000187471</v>
      </c>
      <c r="E22" s="11">
        <v>259.68400000200432</v>
      </c>
      <c r="F22" s="11">
        <v>258.16400000249814</v>
      </c>
      <c r="G22" s="11"/>
    </row>
    <row r="23" spans="1:7" x14ac:dyDescent="0.2">
      <c r="A23" s="10" t="str">
        <f>name!B22</f>
        <v>Education</v>
      </c>
      <c r="B23" s="11">
        <v>424.52899999628681</v>
      </c>
      <c r="C23" s="11">
        <v>401.33599999756444</v>
      </c>
      <c r="D23" s="11">
        <v>428.92800001602853</v>
      </c>
      <c r="E23" s="11">
        <v>416.31699997814604</v>
      </c>
      <c r="F23" s="11">
        <v>426.25200001051866</v>
      </c>
      <c r="G23" s="11"/>
    </row>
    <row r="24" spans="1:7" x14ac:dyDescent="0.2">
      <c r="A24" s="10" t="str">
        <f>name!B23</f>
        <v>Health and social work</v>
      </c>
      <c r="B24" s="11">
        <v>540.82499999233198</v>
      </c>
      <c r="C24" s="11">
        <v>590.66599999311893</v>
      </c>
      <c r="D24" s="11">
        <v>585.47700000328791</v>
      </c>
      <c r="E24" s="11">
        <v>608.80399999924236</v>
      </c>
      <c r="F24" s="11">
        <v>618.37100000262308</v>
      </c>
      <c r="G24" s="11"/>
    </row>
    <row r="25" spans="1:7" x14ac:dyDescent="0.2">
      <c r="A25" s="10" t="str">
        <f>name!B24</f>
        <v>Arts and entertainment</v>
      </c>
      <c r="B25" s="11">
        <v>201.18200000085997</v>
      </c>
      <c r="C25" s="11">
        <v>194.08599999986984</v>
      </c>
      <c r="D25" s="11">
        <v>208.18700000079011</v>
      </c>
      <c r="E25" s="11">
        <v>230.31100000422029</v>
      </c>
      <c r="F25" s="11">
        <v>253.43400000291834</v>
      </c>
      <c r="G25" s="11"/>
    </row>
    <row r="26" spans="1:7" x14ac:dyDescent="0.2">
      <c r="A26" s="10" t="str">
        <f>name!B25</f>
        <v>Other services</v>
      </c>
      <c r="B26" s="11">
        <v>151.50899999931821</v>
      </c>
      <c r="C26" s="11">
        <v>167.58999999963595</v>
      </c>
      <c r="D26" s="11">
        <v>160.07500000048765</v>
      </c>
      <c r="E26" s="11">
        <v>179.80400000206797</v>
      </c>
      <c r="F26" s="11">
        <v>190.76600000088757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5573.5560000041041</v>
      </c>
      <c r="C28" s="11">
        <f t="shared" ref="C28:F28" si="0">SUM(C5:C26)</f>
        <v>5970.1169999982631</v>
      </c>
      <c r="D28" s="11">
        <f t="shared" si="0"/>
        <v>5937.3810000053318</v>
      </c>
      <c r="E28" s="11">
        <f t="shared" si="0"/>
        <v>6179.2980000107027</v>
      </c>
      <c r="F28" s="11">
        <f t="shared" si="0"/>
        <v>6480.7350000074603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40" t="s">
        <v>463</v>
      </c>
      <c r="B31" s="16">
        <f>B$3</f>
        <v>2015</v>
      </c>
      <c r="C31" s="16">
        <f>C$3</f>
        <v>2019</v>
      </c>
      <c r="D31" s="16">
        <f>D$3</f>
        <v>2020</v>
      </c>
      <c r="E31" s="16">
        <f>E$3</f>
        <v>2025</v>
      </c>
      <c r="F31" s="16">
        <f>F$3</f>
        <v>2035</v>
      </c>
      <c r="G31" s="11"/>
    </row>
    <row r="32" spans="1:7" x14ac:dyDescent="0.2">
      <c r="A32" t="str">
        <f>$A$5</f>
        <v>Agriculture</v>
      </c>
      <c r="B32" s="17">
        <f>B5/B$28*100</f>
        <v>3.0429406288877268E-2</v>
      </c>
      <c r="C32" s="17">
        <f t="shared" ref="C32:E32" si="1">C5/C$28*100</f>
        <v>7.6263162011773827E-2</v>
      </c>
      <c r="D32" s="17">
        <f t="shared" si="1"/>
        <v>1.7431928319935508E-2</v>
      </c>
      <c r="E32" s="17">
        <f t="shared" si="1"/>
        <v>1.7332065875693883E-2</v>
      </c>
      <c r="F32" s="17">
        <f>F5/F$28*100</f>
        <v>1.6988813768855915E-2</v>
      </c>
    </row>
    <row r="33" spans="1:6" x14ac:dyDescent="0.2">
      <c r="A33" t="str">
        <f>$A$6</f>
        <v>Mining and quarrying</v>
      </c>
      <c r="B33" s="17">
        <f t="shared" ref="B33:F53" si="2">B6/B$28*100</f>
        <v>7.6468236794826894E-2</v>
      </c>
      <c r="C33" s="17">
        <f t="shared" si="2"/>
        <v>3.7570452974023817E-2</v>
      </c>
      <c r="D33" s="17">
        <f t="shared" si="2"/>
        <v>4.552512294576936E-2</v>
      </c>
      <c r="E33" s="17">
        <f t="shared" si="2"/>
        <v>3.5538017425602308E-2</v>
      </c>
      <c r="F33" s="17">
        <f t="shared" si="2"/>
        <v>2.5367493039205029E-2</v>
      </c>
    </row>
    <row r="34" spans="1:6" x14ac:dyDescent="0.2">
      <c r="A34" t="str">
        <f>$A$7</f>
        <v>Food drink and tobacco</v>
      </c>
      <c r="B34" s="17">
        <f t="shared" si="2"/>
        <v>0.51118173030856384</v>
      </c>
      <c r="C34" s="17">
        <f t="shared" si="2"/>
        <v>0.72258215375980661</v>
      </c>
      <c r="D34" s="17">
        <f t="shared" si="2"/>
        <v>0.75159401088249267</v>
      </c>
      <c r="E34" s="17">
        <f t="shared" si="2"/>
        <v>0.73294733478956753</v>
      </c>
      <c r="F34" s="17">
        <f t="shared" si="2"/>
        <v>0.68493774238867122</v>
      </c>
    </row>
    <row r="35" spans="1:6" x14ac:dyDescent="0.2">
      <c r="A35" t="str">
        <f>$A$8</f>
        <v>Engineering</v>
      </c>
      <c r="B35" s="17">
        <f t="shared" si="2"/>
        <v>0.17495114429627803</v>
      </c>
      <c r="C35" s="17">
        <f t="shared" si="2"/>
        <v>0.22510446612711504</v>
      </c>
      <c r="D35" s="17">
        <f t="shared" si="2"/>
        <v>0.2311288428341472</v>
      </c>
      <c r="E35" s="17">
        <f t="shared" si="2"/>
        <v>0.28050111841173464</v>
      </c>
      <c r="F35" s="17">
        <f t="shared" si="2"/>
        <v>0.28538429668784493</v>
      </c>
    </row>
    <row r="36" spans="1:6" x14ac:dyDescent="0.2">
      <c r="A36" t="str">
        <f>$A$9</f>
        <v>Rest of manufacturing</v>
      </c>
      <c r="B36" s="17">
        <f t="shared" si="2"/>
        <v>1.5379409483000699</v>
      </c>
      <c r="C36" s="17">
        <f t="shared" si="2"/>
        <v>1.3174448675010446</v>
      </c>
      <c r="D36" s="17">
        <f t="shared" si="2"/>
        <v>1.4813433734395693</v>
      </c>
      <c r="E36" s="17">
        <f t="shared" si="2"/>
        <v>1.3032872018788015</v>
      </c>
      <c r="F36" s="17">
        <f t="shared" si="2"/>
        <v>1.078072163106246</v>
      </c>
    </row>
    <row r="37" spans="1:6" x14ac:dyDescent="0.2">
      <c r="A37" t="str">
        <f>$A$10</f>
        <v>Electricity and gas</v>
      </c>
      <c r="B37" s="17">
        <f t="shared" si="2"/>
        <v>0.18467563616379271</v>
      </c>
      <c r="C37" s="17">
        <f t="shared" si="2"/>
        <v>0.25485262684068888</v>
      </c>
      <c r="D37" s="17">
        <f t="shared" si="2"/>
        <v>0.20923366716711231</v>
      </c>
      <c r="E37" s="17">
        <f t="shared" si="2"/>
        <v>0.1977247253661826</v>
      </c>
      <c r="F37" s="17">
        <f t="shared" si="2"/>
        <v>0.19209240927212137</v>
      </c>
    </row>
    <row r="38" spans="1:6" x14ac:dyDescent="0.2">
      <c r="A38" t="str">
        <f>$A$11</f>
        <v>Water and sewerage</v>
      </c>
      <c r="B38" s="17">
        <f t="shared" si="2"/>
        <v>0.2842529975509181</v>
      </c>
      <c r="C38" s="17">
        <f t="shared" si="2"/>
        <v>0.28359578212935382</v>
      </c>
      <c r="D38" s="17">
        <f t="shared" si="2"/>
        <v>0.28155511663796912</v>
      </c>
      <c r="E38" s="17">
        <f t="shared" si="2"/>
        <v>0.2944832891982147</v>
      </c>
      <c r="F38" s="17">
        <f t="shared" si="2"/>
        <v>0.3224634242814719</v>
      </c>
    </row>
    <row r="39" spans="1:6" x14ac:dyDescent="0.2">
      <c r="A39" t="str">
        <f>$A$12</f>
        <v>Construction</v>
      </c>
      <c r="B39" s="17">
        <f t="shared" si="2"/>
        <v>5.1929863089267361</v>
      </c>
      <c r="C39" s="17">
        <f t="shared" si="2"/>
        <v>5.3552551818897154</v>
      </c>
      <c r="D39" s="17">
        <f t="shared" si="2"/>
        <v>5.0157299993125806</v>
      </c>
      <c r="E39" s="17">
        <f t="shared" si="2"/>
        <v>5.3508181670988773</v>
      </c>
      <c r="F39" s="17">
        <f t="shared" si="2"/>
        <v>5.8580083891804255</v>
      </c>
    </row>
    <row r="40" spans="1:6" x14ac:dyDescent="0.2">
      <c r="A40" t="str">
        <f>$A$13</f>
        <v>Wholesale and retail trade</v>
      </c>
      <c r="B40" s="17">
        <f t="shared" si="2"/>
        <v>11.948314505479019</v>
      </c>
      <c r="C40" s="17">
        <f t="shared" si="2"/>
        <v>10.693877523896218</v>
      </c>
      <c r="D40" s="17">
        <f t="shared" si="2"/>
        <v>10.757116647778329</v>
      </c>
      <c r="E40" s="17">
        <f t="shared" si="2"/>
        <v>10.226792752190768</v>
      </c>
      <c r="F40" s="17">
        <f t="shared" si="2"/>
        <v>9.7523660509505117</v>
      </c>
    </row>
    <row r="41" spans="1:6" x14ac:dyDescent="0.2">
      <c r="A41" t="str">
        <f>$A$14</f>
        <v>Transport and storage</v>
      </c>
      <c r="B41" s="17">
        <f t="shared" si="2"/>
        <v>5.1455659547762771</v>
      </c>
      <c r="C41" s="17">
        <f t="shared" si="2"/>
        <v>5.3775495522318337</v>
      </c>
      <c r="D41" s="17">
        <f t="shared" si="2"/>
        <v>5.3862974263395946</v>
      </c>
      <c r="E41" s="17">
        <f t="shared" si="2"/>
        <v>5.5831422921891365</v>
      </c>
      <c r="F41" s="17">
        <f t="shared" si="2"/>
        <v>5.3295035207540149</v>
      </c>
    </row>
    <row r="42" spans="1:6" x14ac:dyDescent="0.2">
      <c r="A42" t="str">
        <f>$A$15</f>
        <v>Accommodation and food</v>
      </c>
      <c r="B42" s="17">
        <f t="shared" si="2"/>
        <v>6.6440527377738912</v>
      </c>
      <c r="C42" s="17">
        <f t="shared" si="2"/>
        <v>7.684690266691395</v>
      </c>
      <c r="D42" s="17">
        <f t="shared" si="2"/>
        <v>7.2083802604920439</v>
      </c>
      <c r="E42" s="17">
        <f t="shared" si="2"/>
        <v>7.3645744225244139</v>
      </c>
      <c r="F42" s="17">
        <f t="shared" si="2"/>
        <v>8.2298226975068882</v>
      </c>
    </row>
    <row r="43" spans="1:6" x14ac:dyDescent="0.2">
      <c r="A43" t="str">
        <f>$A$16</f>
        <v>Media</v>
      </c>
      <c r="B43" s="17">
        <f t="shared" si="2"/>
        <v>3.0470852001716806</v>
      </c>
      <c r="C43" s="17">
        <f t="shared" si="2"/>
        <v>2.8124574442860104</v>
      </c>
      <c r="D43" s="17">
        <f t="shared" si="2"/>
        <v>2.9920599671985912</v>
      </c>
      <c r="E43" s="17">
        <f t="shared" si="2"/>
        <v>3.0127370455932145</v>
      </c>
      <c r="F43" s="17">
        <f t="shared" si="2"/>
        <v>2.9378612148526315</v>
      </c>
    </row>
    <row r="44" spans="1:6" x14ac:dyDescent="0.2">
      <c r="A44" t="str">
        <f>$A$17</f>
        <v>Information technology</v>
      </c>
      <c r="B44" s="17">
        <f t="shared" si="2"/>
        <v>4.7014509228100385</v>
      </c>
      <c r="C44" s="17">
        <f t="shared" si="2"/>
        <v>5.2935813484997718</v>
      </c>
      <c r="D44" s="17">
        <f t="shared" si="2"/>
        <v>5.6041038970226751</v>
      </c>
      <c r="E44" s="17">
        <f t="shared" si="2"/>
        <v>5.8298531646413219</v>
      </c>
      <c r="F44" s="17">
        <f t="shared" si="2"/>
        <v>6.0679074210551267</v>
      </c>
    </row>
    <row r="45" spans="1:6" x14ac:dyDescent="0.2">
      <c r="A45" t="str">
        <f>$A$18</f>
        <v>Finance and insurance</v>
      </c>
      <c r="B45" s="17">
        <f t="shared" si="2"/>
        <v>6.6783934707834947</v>
      </c>
      <c r="C45" s="17">
        <f t="shared" si="2"/>
        <v>6.8498825063994131</v>
      </c>
      <c r="D45" s="17">
        <f t="shared" si="2"/>
        <v>6.802410018852675</v>
      </c>
      <c r="E45" s="17">
        <f t="shared" si="2"/>
        <v>6.6409485350623267</v>
      </c>
      <c r="F45" s="17">
        <f t="shared" si="2"/>
        <v>6.4024219475849007</v>
      </c>
    </row>
    <row r="46" spans="1:6" x14ac:dyDescent="0.2">
      <c r="A46" t="str">
        <f>$A$19</f>
        <v>Real estate</v>
      </c>
      <c r="B46" s="17">
        <f t="shared" si="2"/>
        <v>2.4472168217048238</v>
      </c>
      <c r="C46" s="17">
        <f t="shared" si="2"/>
        <v>2.1887008244438819</v>
      </c>
      <c r="D46" s="17">
        <f t="shared" si="2"/>
        <v>2.7078774294566466</v>
      </c>
      <c r="E46" s="17">
        <f t="shared" si="2"/>
        <v>2.473031726274189</v>
      </c>
      <c r="F46" s="17">
        <f t="shared" si="2"/>
        <v>2.4815086560480868</v>
      </c>
    </row>
    <row r="47" spans="1:6" x14ac:dyDescent="0.2">
      <c r="A47" s="10" t="str">
        <f>$A$20</f>
        <v>Professional services</v>
      </c>
      <c r="B47" s="17">
        <f t="shared" si="2"/>
        <v>13.602967297433208</v>
      </c>
      <c r="C47" s="17">
        <f t="shared" si="2"/>
        <v>13.90456836918586</v>
      </c>
      <c r="D47" s="17">
        <f t="shared" si="2"/>
        <v>13.10283102950112</v>
      </c>
      <c r="E47" s="17">
        <f t="shared" si="2"/>
        <v>13.326449056537609</v>
      </c>
      <c r="F47" s="17">
        <f t="shared" si="2"/>
        <v>13.453875216508127</v>
      </c>
    </row>
    <row r="48" spans="1:6" x14ac:dyDescent="0.2">
      <c r="A48" s="10" t="str">
        <f>$A$21</f>
        <v>Support services</v>
      </c>
      <c r="B48" s="17">
        <f t="shared" si="2"/>
        <v>10.234345900640093</v>
      </c>
      <c r="C48" s="17">
        <f t="shared" si="2"/>
        <v>10.223886734634256</v>
      </c>
      <c r="D48" s="17">
        <f t="shared" si="2"/>
        <v>9.8222263317073466</v>
      </c>
      <c r="E48" s="17">
        <f t="shared" si="2"/>
        <v>9.9008333955784948</v>
      </c>
      <c r="F48" s="17">
        <f t="shared" si="2"/>
        <v>9.9248001962157115</v>
      </c>
    </row>
    <row r="49" spans="1:6" x14ac:dyDescent="0.2">
      <c r="A49" s="10" t="str">
        <f>$A$22</f>
        <v>Public admin. and defence</v>
      </c>
      <c r="B49" s="17">
        <f t="shared" si="2"/>
        <v>3.9095328009231163</v>
      </c>
      <c r="C49" s="17">
        <f t="shared" si="2"/>
        <v>4.0239077391334028</v>
      </c>
      <c r="D49" s="17">
        <f t="shared" si="2"/>
        <v>4.2956650415670765</v>
      </c>
      <c r="E49" s="17">
        <f t="shared" si="2"/>
        <v>4.2024838420408681</v>
      </c>
      <c r="F49" s="17">
        <f t="shared" si="2"/>
        <v>3.9835605066740261</v>
      </c>
    </row>
    <row r="50" spans="1:6" x14ac:dyDescent="0.2">
      <c r="A50" s="10" t="str">
        <f>$A$23</f>
        <v>Education</v>
      </c>
      <c r="B50" s="17">
        <f t="shared" si="2"/>
        <v>7.6168428198438161</v>
      </c>
      <c r="C50" s="17">
        <f t="shared" si="2"/>
        <v>6.7224143178045122</v>
      </c>
      <c r="D50" s="17">
        <f t="shared" si="2"/>
        <v>7.2241953146621949</v>
      </c>
      <c r="E50" s="17">
        <f t="shared" si="2"/>
        <v>6.7372863386330444</v>
      </c>
      <c r="F50" s="17">
        <f t="shared" si="2"/>
        <v>6.5772169361967112</v>
      </c>
    </row>
    <row r="51" spans="1:6" x14ac:dyDescent="0.2">
      <c r="A51" s="10" t="str">
        <f>$A$24</f>
        <v>Health and social work</v>
      </c>
      <c r="B51" s="17">
        <f t="shared" si="2"/>
        <v>9.703410174616236</v>
      </c>
      <c r="C51" s="17">
        <f t="shared" si="2"/>
        <v>9.8937089506502254</v>
      </c>
      <c r="D51" s="17">
        <f t="shared" si="2"/>
        <v>9.860862895656556</v>
      </c>
      <c r="E51" s="17">
        <f t="shared" si="2"/>
        <v>9.8523165576120117</v>
      </c>
      <c r="F51" s="17">
        <f t="shared" si="2"/>
        <v>9.5416800718114736</v>
      </c>
    </row>
    <row r="52" spans="1:6" x14ac:dyDescent="0.2">
      <c r="A52" s="10" t="str">
        <f>$A$25</f>
        <v>Arts and entertainment</v>
      </c>
      <c r="B52" s="17">
        <f t="shared" si="2"/>
        <v>3.6095806698759612</v>
      </c>
      <c r="C52" s="17">
        <f t="shared" si="2"/>
        <v>3.2509580632997026</v>
      </c>
      <c r="D52" s="17">
        <f t="shared" si="2"/>
        <v>3.506377643621037</v>
      </c>
      <c r="E52" s="17">
        <f t="shared" si="2"/>
        <v>3.7271385844123617</v>
      </c>
      <c r="F52" s="17">
        <f t="shared" si="2"/>
        <v>3.9105749579735414</v>
      </c>
    </row>
    <row r="53" spans="1:6" x14ac:dyDescent="0.2">
      <c r="A53" s="10" t="str">
        <f>$A$26</f>
        <v>Other services</v>
      </c>
      <c r="B53" s="17">
        <f t="shared" si="2"/>
        <v>2.7183543145382703</v>
      </c>
      <c r="C53" s="17">
        <f t="shared" si="2"/>
        <v>2.8071476656099823</v>
      </c>
      <c r="D53" s="17">
        <f t="shared" si="2"/>
        <v>2.6960540346045487</v>
      </c>
      <c r="E53" s="17">
        <f t="shared" si="2"/>
        <v>2.9097803666655429</v>
      </c>
      <c r="F53" s="17">
        <f t="shared" si="2"/>
        <v>2.9435858741434107</v>
      </c>
    </row>
    <row r="54" spans="1:6" x14ac:dyDescent="0.2">
      <c r="B54" s="17"/>
      <c r="C54" s="17"/>
      <c r="D54" s="17"/>
      <c r="E54" s="17"/>
      <c r="F54" s="17"/>
    </row>
    <row r="55" spans="1:6" x14ac:dyDescent="0.2">
      <c r="A55" s="23" t="str">
        <f>$A$28</f>
        <v>All industries</v>
      </c>
      <c r="B55" s="25">
        <f>B28/B$28*100</f>
        <v>100</v>
      </c>
      <c r="C55" s="25">
        <f>C28/C$28*100</f>
        <v>100</v>
      </c>
      <c r="D55" s="25">
        <f>D28/D$28*100</f>
        <v>100</v>
      </c>
      <c r="E55" s="25">
        <f>E28/E$28*100</f>
        <v>100</v>
      </c>
      <c r="F55" s="25">
        <f>F28/F$28*100</f>
        <v>100</v>
      </c>
    </row>
    <row r="56" spans="1:6" x14ac:dyDescent="0.2">
      <c r="B56" s="17"/>
      <c r="C56" s="17"/>
      <c r="D56" s="17"/>
      <c r="E56" s="17"/>
      <c r="F56" s="17"/>
    </row>
    <row r="57" spans="1:6" x14ac:dyDescent="0.2">
      <c r="B57" s="17"/>
      <c r="C57" s="17"/>
      <c r="D57" s="17"/>
      <c r="E57" s="17"/>
      <c r="F57" s="17"/>
    </row>
    <row r="58" spans="1:6" x14ac:dyDescent="0.2">
      <c r="B58" s="17"/>
      <c r="C58" s="17"/>
      <c r="D58" s="17"/>
      <c r="E58" s="17"/>
      <c r="F58" s="17"/>
    </row>
    <row r="59" spans="1:6" ht="15.75" x14ac:dyDescent="0.25">
      <c r="A59" s="18" t="str">
        <f>CONCATENATE(A1," (Continued)")</f>
        <v>Industry Table 2  Employment by Industry Group (SIC 2007), 2015-2035, London (Continued)</v>
      </c>
      <c r="B59" s="17"/>
      <c r="C59" s="17"/>
      <c r="D59" s="17"/>
      <c r="E59" s="17"/>
      <c r="F59" s="17"/>
    </row>
    <row r="61" spans="1:6" x14ac:dyDescent="0.2">
      <c r="A61" s="21"/>
      <c r="B61" s="24" t="str">
        <f>CONCATENATE(B$3,"-",C$3)</f>
        <v>2015-2019</v>
      </c>
      <c r="C61" s="24" t="str">
        <f>CONCATENATE(C$3,"-",D$3)</f>
        <v>2019-2020</v>
      </c>
      <c r="D61" s="24" t="str">
        <f>CONCATENATE(D$3,"-",E$3)</f>
        <v>2020-2025</v>
      </c>
      <c r="E61" s="24" t="str">
        <f>CONCATENATE(E$3,"-",F$3)</f>
        <v>2025-2035</v>
      </c>
      <c r="F61" s="24" t="str">
        <f>CONCATENATE(D$3,"-",F$3)</f>
        <v>2020-2035</v>
      </c>
    </row>
    <row r="62" spans="1:6" x14ac:dyDescent="0.2">
      <c r="A62" s="27" t="s">
        <v>14</v>
      </c>
    </row>
    <row r="63" spans="1:6" x14ac:dyDescent="0.2">
      <c r="A63" t="str">
        <f>$A$5</f>
        <v>Agriculture</v>
      </c>
      <c r="B63" s="17">
        <f>IF(AND(C$3-B$3 &lt;&gt; 0,B5&lt;&gt;0,C5&lt;&gt;0),(EXP(LN(C5/B5)/(C$3-B$3))-1)*100,0)</f>
        <v>28.002352254229624</v>
      </c>
      <c r="C63" s="17">
        <f>IF(AND(D$3-C$3 &lt;&gt; 0,C5&lt;&gt;0,D5&lt;&gt;0),(EXP(LN(D5/C5)/(D$3-C$3))-1)*100,0)</f>
        <v>-77.267735558925025</v>
      </c>
      <c r="D63" s="17">
        <f t="shared" ref="B63:E78" si="3">IF(AND(E$3-D$3 &lt;&gt; 0,D5&lt;&gt;0,E5&lt;&gt;0),(EXP(LN(E5/D5)/(E$3-D$3))-1)*100,0)</f>
        <v>0.686170732733693</v>
      </c>
      <c r="E63" s="17">
        <f t="shared" si="3"/>
        <v>0.27664261404198864</v>
      </c>
      <c r="F63" s="17">
        <f>IF(AND(F$3-D$3 &lt;&gt; 0,D5&lt;&gt;0,F5&lt;&gt;0),(EXP(LN(F5/D5)/(F$3-D$3))-1)*100,0)</f>
        <v>0.41296657343674603</v>
      </c>
    </row>
    <row r="64" spans="1:6" x14ac:dyDescent="0.2">
      <c r="A64" t="str">
        <f>$A$6</f>
        <v>Mining and quarrying</v>
      </c>
      <c r="B64" s="17">
        <f t="shared" si="3"/>
        <v>-14.826605286144501</v>
      </c>
      <c r="C64" s="17">
        <f t="shared" ref="C64:C78" si="4">IF(AND(D$3-C$3 &lt;&gt; 0,C6&lt;&gt;0,D6&lt;&gt;0),(EXP(LN(D6/C6)/(D$3-C$3))-1)*100,0)</f>
        <v>20.508247883951313</v>
      </c>
      <c r="D64" s="17">
        <f t="shared" si="3"/>
        <v>-4.0693785221815437</v>
      </c>
      <c r="E64" s="17">
        <f t="shared" si="3"/>
        <v>-2.8535471281904701</v>
      </c>
      <c r="F64" s="17">
        <f t="shared" ref="F64:F86" si="5">IF(AND(F$3-D$3 &lt;&gt; 0,D6&lt;&gt;0,F6&lt;&gt;0),(EXP(LN(F6/D6)/(F$3-D$3))-1)*100,0)</f>
        <v>-3.2605268559289469</v>
      </c>
    </row>
    <row r="65" spans="1:6" x14ac:dyDescent="0.2">
      <c r="A65" t="str">
        <f>$A$7</f>
        <v>Food drink and tobacco</v>
      </c>
      <c r="B65" s="17">
        <f t="shared" si="3"/>
        <v>10.927849902494691</v>
      </c>
      <c r="C65" s="17">
        <f t="shared" si="4"/>
        <v>3.4446788259527628</v>
      </c>
      <c r="D65" s="17">
        <f t="shared" si="3"/>
        <v>0.29672129203557329</v>
      </c>
      <c r="E65" s="17">
        <f t="shared" si="3"/>
        <v>-0.20096425858392442</v>
      </c>
      <c r="F65" s="17">
        <f t="shared" si="5"/>
        <v>-3.5344079878696366E-2</v>
      </c>
    </row>
    <row r="66" spans="1:6" x14ac:dyDescent="0.2">
      <c r="A66" t="str">
        <f>$A$8</f>
        <v>Engineering</v>
      </c>
      <c r="B66" s="17">
        <f t="shared" si="3"/>
        <v>8.3501331550669846</v>
      </c>
      <c r="C66" s="17">
        <f t="shared" si="4"/>
        <v>2.1132524738179503</v>
      </c>
      <c r="D66" s="17">
        <f t="shared" si="3"/>
        <v>4.7815780346342152</v>
      </c>
      <c r="E66" s="17">
        <f t="shared" si="3"/>
        <v>0.65099206509040553</v>
      </c>
      <c r="F66" s="17">
        <f t="shared" si="5"/>
        <v>2.0094371947205758</v>
      </c>
    </row>
    <row r="67" spans="1:6" x14ac:dyDescent="0.2">
      <c r="A67" t="str">
        <f>$A$9</f>
        <v>Rest of manufacturing</v>
      </c>
      <c r="B67" s="17">
        <f t="shared" si="3"/>
        <v>-2.1274698297235939</v>
      </c>
      <c r="C67" s="17">
        <f t="shared" si="4"/>
        <v>11.824088081981499</v>
      </c>
      <c r="D67" s="17">
        <f t="shared" si="3"/>
        <v>-1.7470219813858434</v>
      </c>
      <c r="E67" s="17">
        <f t="shared" si="3"/>
        <v>-1.4108136277460104</v>
      </c>
      <c r="F67" s="17">
        <f t="shared" si="5"/>
        <v>-1.5230107137572224</v>
      </c>
    </row>
    <row r="68" spans="1:6" x14ac:dyDescent="0.2">
      <c r="A68" t="str">
        <f>$A$10</f>
        <v>Electricity and gas</v>
      </c>
      <c r="B68" s="17">
        <f t="shared" si="3"/>
        <v>10.263683355054521</v>
      </c>
      <c r="C68" s="17">
        <f t="shared" si="4"/>
        <v>-18.35031219172706</v>
      </c>
      <c r="D68" s="17">
        <f t="shared" si="3"/>
        <v>-0.33223325980710205</v>
      </c>
      <c r="E68" s="17">
        <f t="shared" si="3"/>
        <v>0.18747575816739914</v>
      </c>
      <c r="F68" s="17">
        <f t="shared" si="5"/>
        <v>1.393900587611796E-2</v>
      </c>
    </row>
    <row r="69" spans="1:6" x14ac:dyDescent="0.2">
      <c r="A69" t="str">
        <f>$A$11</f>
        <v>Water and sewerage</v>
      </c>
      <c r="B69" s="17">
        <f t="shared" si="3"/>
        <v>1.6743247666495265</v>
      </c>
      <c r="C69" s="17">
        <f t="shared" si="4"/>
        <v>-1.2639536966195242</v>
      </c>
      <c r="D69" s="17">
        <f t="shared" si="3"/>
        <v>1.7110857877856489</v>
      </c>
      <c r="E69" s="17">
        <f t="shared" si="3"/>
        <v>1.3935883114689185</v>
      </c>
      <c r="F69" s="17">
        <f t="shared" si="5"/>
        <v>1.4993105296175147</v>
      </c>
    </row>
    <row r="70" spans="1:6" x14ac:dyDescent="0.2">
      <c r="A70" t="str">
        <f>$A$12</f>
        <v>Construction</v>
      </c>
      <c r="B70" s="17">
        <f t="shared" si="3"/>
        <v>2.5187651590128146</v>
      </c>
      <c r="C70" s="17">
        <f t="shared" si="4"/>
        <v>-6.8536039960695572</v>
      </c>
      <c r="D70" s="17">
        <f t="shared" si="3"/>
        <v>2.1141796823994641</v>
      </c>
      <c r="E70" s="17">
        <f t="shared" si="3"/>
        <v>1.3914868968506466</v>
      </c>
      <c r="F70" s="17">
        <f t="shared" si="5"/>
        <v>1.6318143954479725</v>
      </c>
    </row>
    <row r="71" spans="1:6" x14ac:dyDescent="0.2">
      <c r="A71" t="str">
        <f>$A$13</f>
        <v>Wholesale and retail trade</v>
      </c>
      <c r="B71" s="17">
        <f t="shared" si="3"/>
        <v>-1.0490977839635374</v>
      </c>
      <c r="C71" s="17">
        <f t="shared" si="4"/>
        <v>3.978465854490576E-2</v>
      </c>
      <c r="D71" s="17">
        <f t="shared" si="3"/>
        <v>-0.21217432553115589</v>
      </c>
      <c r="E71" s="17">
        <f t="shared" si="3"/>
        <v>1.2816850828434312E-3</v>
      </c>
      <c r="F71" s="17">
        <f t="shared" si="5"/>
        <v>-6.9921004002171383E-2</v>
      </c>
    </row>
    <row r="72" spans="1:6" x14ac:dyDescent="0.2">
      <c r="A72" t="str">
        <f>$A$14</f>
        <v>Transport and storage</v>
      </c>
      <c r="B72" s="17">
        <f t="shared" si="3"/>
        <v>2.8609275470542483</v>
      </c>
      <c r="C72" s="17">
        <f t="shared" si="4"/>
        <v>-0.38654896988457033</v>
      </c>
      <c r="D72" s="17">
        <f t="shared" si="3"/>
        <v>1.5281604314256736</v>
      </c>
      <c r="E72" s="17">
        <f t="shared" si="3"/>
        <v>1.1356546232721421E-2</v>
      </c>
      <c r="F72" s="17">
        <f t="shared" si="5"/>
        <v>0.51442312599598861</v>
      </c>
    </row>
    <row r="73" spans="1:6" x14ac:dyDescent="0.2">
      <c r="A73" t="str">
        <f>$A$15</f>
        <v>Accommodation and food</v>
      </c>
      <c r="B73" s="17">
        <f t="shared" si="3"/>
        <v>5.5020607076298855</v>
      </c>
      <c r="C73" s="17">
        <f t="shared" si="4"/>
        <v>-6.7125123998745151</v>
      </c>
      <c r="D73" s="17">
        <f t="shared" si="3"/>
        <v>1.2350350591603831</v>
      </c>
      <c r="E73" s="17">
        <f t="shared" si="3"/>
        <v>1.5997863563059767</v>
      </c>
      <c r="F73" s="17">
        <f t="shared" si="5"/>
        <v>1.4780568012429773</v>
      </c>
    </row>
    <row r="74" spans="1:6" x14ac:dyDescent="0.2">
      <c r="A74" t="str">
        <f>$A$16</f>
        <v>Media</v>
      </c>
      <c r="B74" s="17">
        <f t="shared" si="3"/>
        <v>-0.28443397401584081</v>
      </c>
      <c r="C74" s="17">
        <f t="shared" si="4"/>
        <v>5.8026169261764293</v>
      </c>
      <c r="D74" s="17">
        <f t="shared" si="3"/>
        <v>0.94086711347607377</v>
      </c>
      <c r="E74" s="17">
        <f t="shared" si="3"/>
        <v>0.22487358911247313</v>
      </c>
      <c r="F74" s="17">
        <f t="shared" si="5"/>
        <v>0.46297201269123178</v>
      </c>
    </row>
    <row r="75" spans="1:6" x14ac:dyDescent="0.2">
      <c r="A75" t="str">
        <f>$A$17</f>
        <v>Information technology</v>
      </c>
      <c r="B75" s="17">
        <f t="shared" si="3"/>
        <v>4.7953565068286075</v>
      </c>
      <c r="C75" s="17">
        <f t="shared" si="4"/>
        <v>5.2855239823363931</v>
      </c>
      <c r="D75" s="17">
        <f t="shared" si="3"/>
        <v>1.6012689050890483</v>
      </c>
      <c r="E75" s="17">
        <f t="shared" si="3"/>
        <v>0.88036509513711447</v>
      </c>
      <c r="F75" s="17">
        <f t="shared" si="5"/>
        <v>1.1200962191241892</v>
      </c>
    </row>
    <row r="76" spans="1:6" x14ac:dyDescent="0.2">
      <c r="A76" t="str">
        <f>$A$18</f>
        <v>Finance and insurance</v>
      </c>
      <c r="B76" s="17">
        <f t="shared" si="3"/>
        <v>2.3800643517531084</v>
      </c>
      <c r="C76" s="17">
        <f t="shared" si="4"/>
        <v>-1.2375717069513348</v>
      </c>
      <c r="D76" s="17">
        <f t="shared" si="3"/>
        <v>0.31879480832259777</v>
      </c>
      <c r="E76" s="17">
        <f t="shared" si="3"/>
        <v>0.11056908469313509</v>
      </c>
      <c r="F76" s="17">
        <f t="shared" si="5"/>
        <v>0.17992959247232765</v>
      </c>
    </row>
    <row r="77" spans="1:6" x14ac:dyDescent="0.2">
      <c r="A77" t="str">
        <f>$A$19</f>
        <v>Real estate</v>
      </c>
      <c r="B77" s="17">
        <f t="shared" si="3"/>
        <v>-1.0670164554614781</v>
      </c>
      <c r="C77" s="17">
        <f t="shared" si="4"/>
        <v>23.04236691534549</v>
      </c>
      <c r="D77" s="17">
        <f t="shared" si="3"/>
        <v>-1.0105340121078332</v>
      </c>
      <c r="E77" s="17">
        <f t="shared" si="3"/>
        <v>0.5118167682205188</v>
      </c>
      <c r="F77" s="17">
        <f t="shared" si="5"/>
        <v>1.7827854648544417E-3</v>
      </c>
    </row>
    <row r="78" spans="1:6" x14ac:dyDescent="0.2">
      <c r="A78" t="str">
        <f>$A$20</f>
        <v>Professional services</v>
      </c>
      <c r="B78" s="17">
        <f t="shared" si="3"/>
        <v>2.2924505435726328</v>
      </c>
      <c r="C78" s="17">
        <f t="shared" si="4"/>
        <v>-6.2827136805297945</v>
      </c>
      <c r="D78" s="17">
        <f t="shared" si="3"/>
        <v>1.1436692796614967</v>
      </c>
      <c r="E78" s="17">
        <f t="shared" si="3"/>
        <v>0.57309323660588163</v>
      </c>
      <c r="F78" s="17">
        <f t="shared" si="5"/>
        <v>0.76292671150786084</v>
      </c>
    </row>
    <row r="79" spans="1:6" x14ac:dyDescent="0.2">
      <c r="A79" s="10" t="str">
        <f>$A$21</f>
        <v>Support services</v>
      </c>
      <c r="B79" s="17">
        <f t="shared" ref="B79:B84" si="6">IF(AND(C$3-B$3 &lt;&gt; 0,B21&lt;&gt;0,C21&lt;&gt;0),(EXP(LN(C21/B21)/(C$3-B$3))-1)*100,0)</f>
        <v>1.7071776496666802</v>
      </c>
      <c r="C79" s="17">
        <f t="shared" ref="C79:C84" si="7">IF(AND(D$3-C$3 &lt;&gt; 0,C21&lt;&gt;0,D21&lt;&gt;0),(EXP(LN(D21/C21)/(D$3-C$3))-1)*100,0)</f>
        <v>-4.4554358132883332</v>
      </c>
      <c r="D79" s="17">
        <f t="shared" ref="D79:D84" si="8">IF(AND(E$3-D$3 &lt;&gt; 0,D21&lt;&gt;0,E21&lt;&gt;0),(EXP(LN(E21/D21)/(E$3-D$3))-1)*100,0)</f>
        <v>0.96275838566755034</v>
      </c>
      <c r="E79" s="17">
        <f t="shared" ref="E79:E84" si="9">IF(AND(F$3-E$3 &lt;&gt; 0,E21&lt;&gt;0,F21&lt;&gt;0),(EXP(LN(F21/E21)/(F$3-E$3))-1)*100,0)</f>
        <v>0.50172461490036735</v>
      </c>
      <c r="F79" s="17">
        <f t="shared" si="5"/>
        <v>0.65516814549995139</v>
      </c>
    </row>
    <row r="80" spans="1:6" x14ac:dyDescent="0.2">
      <c r="A80" s="10" t="str">
        <f>$A$22</f>
        <v>Public admin. and defence</v>
      </c>
      <c r="B80" s="17">
        <f t="shared" si="6"/>
        <v>2.4692144127751225</v>
      </c>
      <c r="C80" s="17">
        <f t="shared" si="7"/>
        <v>6.1682040709537755</v>
      </c>
      <c r="D80" s="17">
        <f t="shared" si="8"/>
        <v>0.3607672611957824</v>
      </c>
      <c r="E80" s="17">
        <f t="shared" si="9"/>
        <v>-5.8687425475012489E-2</v>
      </c>
      <c r="F80" s="17">
        <f t="shared" si="5"/>
        <v>8.0935652064972885E-2</v>
      </c>
    </row>
    <row r="81" spans="1:6" x14ac:dyDescent="0.2">
      <c r="A81" s="10" t="str">
        <f>$A$23</f>
        <v>Education</v>
      </c>
      <c r="B81" s="17">
        <f t="shared" si="6"/>
        <v>-1.3947158811087101</v>
      </c>
      <c r="C81" s="17">
        <f t="shared" si="7"/>
        <v>6.8750373798093234</v>
      </c>
      <c r="D81" s="17">
        <f t="shared" si="8"/>
        <v>-0.5950641075144758</v>
      </c>
      <c r="E81" s="17">
        <f t="shared" si="9"/>
        <v>0.2361156293736677</v>
      </c>
      <c r="F81" s="17">
        <f t="shared" si="5"/>
        <v>-4.1713644230245706E-2</v>
      </c>
    </row>
    <row r="82" spans="1:6" x14ac:dyDescent="0.2">
      <c r="A82" s="10" t="str">
        <f>$A$24</f>
        <v>Health and social work</v>
      </c>
      <c r="B82" s="17">
        <f t="shared" si="6"/>
        <v>2.2283387564815405</v>
      </c>
      <c r="C82" s="17">
        <f t="shared" si="7"/>
        <v>-0.87849986115527967</v>
      </c>
      <c r="D82" s="17">
        <f t="shared" si="8"/>
        <v>0.78445035959247011</v>
      </c>
      <c r="E82" s="17">
        <f t="shared" si="9"/>
        <v>0.15604386330547726</v>
      </c>
      <c r="F82" s="17">
        <f t="shared" si="5"/>
        <v>0.36507612778460263</v>
      </c>
    </row>
    <row r="83" spans="1:6" x14ac:dyDescent="0.2">
      <c r="A83" s="10" t="str">
        <f>$A$25</f>
        <v>Arts and entertainment</v>
      </c>
      <c r="B83" s="17">
        <f>IF(AND(C$3-B$3 &lt;&gt; 0,B25&lt;&gt;0,C25&lt;&gt;0),(EXP(LN(C25/B25)/(C$3-B$3))-1)*100,0)</f>
        <v>-0.89369784715411793</v>
      </c>
      <c r="C83" s="17">
        <f t="shared" si="7"/>
        <v>7.2653359855578081</v>
      </c>
      <c r="D83" s="17">
        <f t="shared" si="8"/>
        <v>2.0404146666975764</v>
      </c>
      <c r="E83" s="17">
        <f t="shared" si="9"/>
        <v>0.96131992510062325</v>
      </c>
      <c r="F83" s="17">
        <f t="shared" si="5"/>
        <v>1.3197442190671982</v>
      </c>
    </row>
    <row r="84" spans="1:6" x14ac:dyDescent="0.2">
      <c r="A84" s="10" t="str">
        <f>$A$26</f>
        <v>Other services</v>
      </c>
      <c r="B84" s="17">
        <f t="shared" si="6"/>
        <v>2.5539558695406139</v>
      </c>
      <c r="C84" s="17">
        <f t="shared" si="7"/>
        <v>-4.4841577654780256</v>
      </c>
      <c r="D84" s="17">
        <f t="shared" si="8"/>
        <v>2.3517252822014667</v>
      </c>
      <c r="E84" s="17">
        <f t="shared" si="9"/>
        <v>0.59355637957310137</v>
      </c>
      <c r="F84" s="17">
        <f t="shared" si="5"/>
        <v>1.1762310985454993</v>
      </c>
    </row>
    <row r="85" spans="1:6" x14ac:dyDescent="0.2">
      <c r="B85" s="17"/>
      <c r="C85" s="17"/>
      <c r="D85" s="17"/>
      <c r="E85" s="17"/>
      <c r="F85" s="17"/>
    </row>
    <row r="86" spans="1:6" x14ac:dyDescent="0.2">
      <c r="A86" t="str">
        <f>$A$28</f>
        <v>All industries</v>
      </c>
      <c r="B86" s="17">
        <f>IF(AND(C$3-B$3 &lt;&gt; 0,B28&lt;&gt;0,C28&lt;&gt;0),(EXP(LN(C28/B28)/(C$3-B$3))-1)*100,0)</f>
        <v>1.733179610351665</v>
      </c>
      <c r="C86" s="17">
        <f>IF(AND(D$3-C$3 &lt;&gt; 0,C28&lt;&gt;0,D28&lt;&gt;0),(EXP(LN(D28/C28)/(D$3-C$3))-1)*100,0)</f>
        <v>-0.54833096223978472</v>
      </c>
      <c r="D86" s="17">
        <f>IF(AND(E$3-D$3 &lt;&gt; 0,D28&lt;&gt;0,E28&lt;&gt;0),(EXP(LN(E28/D28)/(E$3-D$3))-1)*100,0)</f>
        <v>0.80192927975628603</v>
      </c>
      <c r="E86" s="17">
        <f>IF(AND(F$3-E$3 &lt;&gt; 0,E28&lt;&gt;0,F28&lt;&gt;0),(EXP(LN(F28/E28)/(F$3-E$3))-1)*100,0)</f>
        <v>0.47742864675834884</v>
      </c>
      <c r="F86" s="17">
        <f t="shared" si="5"/>
        <v>0.58547928810912531</v>
      </c>
    </row>
    <row r="89" spans="1:6" x14ac:dyDescent="0.2">
      <c r="A89" s="1" t="s">
        <v>15</v>
      </c>
      <c r="B89" s="19" t="str">
        <f>CONCATENATE(B$3,"-",C$3)</f>
        <v>2015-2019</v>
      </c>
      <c r="C89" s="19" t="str">
        <f>CONCATENATE(C$3,"-",D$3)</f>
        <v>2019-2020</v>
      </c>
      <c r="D89" s="19" t="str">
        <f>CONCATENATE(D$3,"-",E$3)</f>
        <v>2020-2025</v>
      </c>
      <c r="E89" s="19" t="str">
        <f>CONCATENATE(E$3,"-",F$3)</f>
        <v>2025-2035</v>
      </c>
      <c r="F89" s="19" t="str">
        <f>CONCATENATE(D$3,"-",F$3)</f>
        <v>2020-2035</v>
      </c>
    </row>
    <row r="90" spans="1:6" x14ac:dyDescent="0.2">
      <c r="A90" t="str">
        <f>$A$5</f>
        <v>Agriculture</v>
      </c>
      <c r="B90" s="26">
        <f t="shared" ref="B90:E105" si="10">C5-B5</f>
        <v>2.857000000021781</v>
      </c>
      <c r="C90" s="26">
        <f>D5-C5</f>
        <v>-3.5179999999987266</v>
      </c>
      <c r="D90" s="26">
        <f t="shared" si="10"/>
        <v>3.6000000014889899E-2</v>
      </c>
      <c r="E90" s="26">
        <f t="shared" si="10"/>
        <v>2.999999998704217E-2</v>
      </c>
      <c r="F90" s="26">
        <f>F5-D5</f>
        <v>6.6000000001932069E-2</v>
      </c>
    </row>
    <row r="91" spans="1:6" x14ac:dyDescent="0.2">
      <c r="A91" t="str">
        <f>$A$6</f>
        <v>Mining and quarrying</v>
      </c>
      <c r="B91" s="26">
        <f t="shared" si="10"/>
        <v>-2.0189999999968711</v>
      </c>
      <c r="C91" s="26">
        <f t="shared" ref="C91:C105" si="11">D6-C6</f>
        <v>0.46000000003262853</v>
      </c>
      <c r="D91" s="26">
        <f t="shared" si="10"/>
        <v>-0.50699999998747902</v>
      </c>
      <c r="E91" s="26">
        <f t="shared" si="10"/>
        <v>-0.55200000000748184</v>
      </c>
      <c r="F91" s="26">
        <f t="shared" ref="F91:F113" si="12">F6-D6</f>
        <v>-1.0589999999949609</v>
      </c>
    </row>
    <row r="92" spans="1:6" x14ac:dyDescent="0.2">
      <c r="A92" t="str">
        <f>$A$7</f>
        <v>Food drink and tobacco</v>
      </c>
      <c r="B92" s="26">
        <f t="shared" si="10"/>
        <v>14.648000000030045</v>
      </c>
      <c r="C92" s="26">
        <f t="shared" si="11"/>
        <v>1.4859999987473245</v>
      </c>
      <c r="D92" s="26">
        <f t="shared" si="10"/>
        <v>0.66600000046836527</v>
      </c>
      <c r="E92" s="26">
        <f t="shared" si="10"/>
        <v>-0.90200000053994245</v>
      </c>
      <c r="F92" s="26">
        <f t="shared" si="12"/>
        <v>-0.23600000007157718</v>
      </c>
    </row>
    <row r="93" spans="1:6" x14ac:dyDescent="0.2">
      <c r="A93" t="str">
        <f>$A$8</f>
        <v>Engineering</v>
      </c>
      <c r="B93" s="26">
        <f t="shared" si="10"/>
        <v>3.6880000000091862</v>
      </c>
      <c r="C93" s="26">
        <f t="shared" si="11"/>
        <v>0.2839999999566114</v>
      </c>
      <c r="D93" s="26">
        <f t="shared" si="10"/>
        <v>3.6100000000571324</v>
      </c>
      <c r="E93" s="26">
        <f t="shared" si="10"/>
        <v>1.161999999950325</v>
      </c>
      <c r="F93" s="26">
        <f t="shared" si="12"/>
        <v>4.7720000000074574</v>
      </c>
    </row>
    <row r="94" spans="1:6" x14ac:dyDescent="0.2">
      <c r="A94" t="str">
        <f>$A$9</f>
        <v>Rest of manufacturing</v>
      </c>
      <c r="B94" s="26">
        <f t="shared" si="10"/>
        <v>-7.0650000002140985</v>
      </c>
      <c r="C94" s="26">
        <f t="shared" si="11"/>
        <v>9.2999999991545508</v>
      </c>
      <c r="D94" s="26">
        <f t="shared" si="10"/>
        <v>-7.4189999993467808</v>
      </c>
      <c r="E94" s="26">
        <f t="shared" si="10"/>
        <v>-10.667000000328244</v>
      </c>
      <c r="F94" s="26">
        <f t="shared" si="12"/>
        <v>-18.085999999675025</v>
      </c>
    </row>
    <row r="95" spans="1:6" x14ac:dyDescent="0.2">
      <c r="A95" t="str">
        <f>$A$10</f>
        <v>Electricity and gas</v>
      </c>
      <c r="B95" s="26">
        <f t="shared" si="10"/>
        <v>4.922000000005287</v>
      </c>
      <c r="C95" s="26">
        <f t="shared" si="11"/>
        <v>-2.7919999999635845</v>
      </c>
      <c r="D95" s="26">
        <f t="shared" si="10"/>
        <v>-0.20499999991534423</v>
      </c>
      <c r="E95" s="26">
        <f t="shared" si="10"/>
        <v>0.23099999997677045</v>
      </c>
      <c r="F95" s="26">
        <f t="shared" si="12"/>
        <v>2.6000000061426221E-2</v>
      </c>
    </row>
    <row r="96" spans="1:6" x14ac:dyDescent="0.2">
      <c r="A96" t="str">
        <f>$A$11</f>
        <v>Water and sewerage</v>
      </c>
      <c r="B96" s="26">
        <f t="shared" si="10"/>
        <v>1.0879999999918724</v>
      </c>
      <c r="C96" s="26">
        <f t="shared" si="11"/>
        <v>-0.21400000037695932</v>
      </c>
      <c r="D96" s="26">
        <f t="shared" si="10"/>
        <v>1.4799999999853846</v>
      </c>
      <c r="E96" s="26">
        <f t="shared" si="10"/>
        <v>2.7009999998408887</v>
      </c>
      <c r="F96" s="26">
        <f t="shared" si="12"/>
        <v>4.1809999998262732</v>
      </c>
    </row>
    <row r="97" spans="1:6" x14ac:dyDescent="0.2">
      <c r="A97" t="str">
        <f>$A$12</f>
        <v>Construction</v>
      </c>
      <c r="B97" s="26">
        <f t="shared" si="10"/>
        <v>30.281000006708098</v>
      </c>
      <c r="C97" s="26">
        <f t="shared" si="11"/>
        <v>-21.912000016533113</v>
      </c>
      <c r="D97" s="26">
        <f t="shared" si="10"/>
        <v>32.839999992997548</v>
      </c>
      <c r="E97" s="26">
        <f t="shared" si="10"/>
        <v>48.998999997238798</v>
      </c>
      <c r="F97" s="26">
        <f t="shared" si="12"/>
        <v>81.838999990236346</v>
      </c>
    </row>
    <row r="98" spans="1:6" x14ac:dyDescent="0.2">
      <c r="A98" t="str">
        <f>$A$13</f>
        <v>Wholesale and retail trade</v>
      </c>
      <c r="B98" s="26">
        <f t="shared" si="10"/>
        <v>-27.509000006365113</v>
      </c>
      <c r="C98" s="26">
        <f t="shared" si="11"/>
        <v>0.25399998047953432</v>
      </c>
      <c r="D98" s="26">
        <f t="shared" si="10"/>
        <v>-6.7469999922373063</v>
      </c>
      <c r="E98" s="26">
        <f t="shared" si="10"/>
        <v>8.0999991431554008E-2</v>
      </c>
      <c r="F98" s="26">
        <f t="shared" si="12"/>
        <v>-6.6660000008057523</v>
      </c>
    </row>
    <row r="99" spans="1:6" x14ac:dyDescent="0.2">
      <c r="A99" t="str">
        <f>$A$14</f>
        <v>Transport and storage</v>
      </c>
      <c r="B99" s="26">
        <f t="shared" si="10"/>
        <v>34.254999994521597</v>
      </c>
      <c r="C99" s="26">
        <f t="shared" si="11"/>
        <v>-1.2410000058599735</v>
      </c>
      <c r="D99" s="26">
        <f t="shared" si="10"/>
        <v>25.194000003731787</v>
      </c>
      <c r="E99" s="26">
        <f t="shared" si="10"/>
        <v>0.39199999714026035</v>
      </c>
      <c r="F99" s="26">
        <f t="shared" si="12"/>
        <v>25.586000000872048</v>
      </c>
    </row>
    <row r="100" spans="1:6" x14ac:dyDescent="0.2">
      <c r="A100" t="str">
        <f>$A$15</f>
        <v>Accommodation and food</v>
      </c>
      <c r="B100" s="26">
        <f t="shared" si="10"/>
        <v>88.474999999321199</v>
      </c>
      <c r="C100" s="26">
        <f t="shared" si="11"/>
        <v>-30.796000014365404</v>
      </c>
      <c r="D100" s="26">
        <f t="shared" si="10"/>
        <v>27.090000005761453</v>
      </c>
      <c r="E100" s="26">
        <f t="shared" si="10"/>
        <v>78.273999995536087</v>
      </c>
      <c r="F100" s="26">
        <f t="shared" si="12"/>
        <v>105.36400000129754</v>
      </c>
    </row>
    <row r="101" spans="1:6" x14ac:dyDescent="0.2">
      <c r="A101" t="str">
        <f>$A$16</f>
        <v>Media</v>
      </c>
      <c r="B101" s="26">
        <f t="shared" si="10"/>
        <v>-1.924000000369972</v>
      </c>
      <c r="C101" s="26">
        <f t="shared" si="11"/>
        <v>9.7430000021791159</v>
      </c>
      <c r="D101" s="26">
        <f t="shared" si="10"/>
        <v>8.5160000027080969</v>
      </c>
      <c r="E101" s="26">
        <f t="shared" si="10"/>
        <v>4.228999998675846</v>
      </c>
      <c r="F101" s="26">
        <f t="shared" si="12"/>
        <v>12.745000001383943</v>
      </c>
    </row>
    <row r="102" spans="1:6" x14ac:dyDescent="0.2">
      <c r="A102" t="str">
        <f>$A$17</f>
        <v>Information technology</v>
      </c>
      <c r="B102" s="26">
        <f t="shared" si="10"/>
        <v>53.994999999994945</v>
      </c>
      <c r="C102" s="26">
        <f t="shared" si="11"/>
        <v>16.704000006860497</v>
      </c>
      <c r="D102" s="26">
        <f t="shared" si="10"/>
        <v>27.507000003859218</v>
      </c>
      <c r="E102" s="26">
        <f t="shared" si="10"/>
        <v>33.000999998127782</v>
      </c>
      <c r="F102" s="26">
        <f t="shared" si="12"/>
        <v>60.508000001987</v>
      </c>
    </row>
    <row r="103" spans="1:6" x14ac:dyDescent="0.2">
      <c r="A103" t="str">
        <f>$A$18</f>
        <v>Finance and insurance</v>
      </c>
      <c r="B103" s="26">
        <f t="shared" si="10"/>
        <v>36.721999999722698</v>
      </c>
      <c r="C103" s="26">
        <f t="shared" si="11"/>
        <v>-5.0609999926406317</v>
      </c>
      <c r="D103" s="26">
        <f t="shared" si="10"/>
        <v>6.4790000070286169</v>
      </c>
      <c r="E103" s="26">
        <f t="shared" si="10"/>
        <v>4.5599999964474591</v>
      </c>
      <c r="F103" s="26">
        <f t="shared" si="12"/>
        <v>11.039000003476076</v>
      </c>
    </row>
    <row r="104" spans="1:6" x14ac:dyDescent="0.2">
      <c r="A104" t="str">
        <f>$A$19</f>
        <v>Real estate</v>
      </c>
      <c r="B104" s="26">
        <f t="shared" si="10"/>
        <v>-5.7290000000126042</v>
      </c>
      <c r="C104" s="26">
        <f t="shared" si="11"/>
        <v>30.109000000765377</v>
      </c>
      <c r="D104" s="26">
        <f t="shared" si="10"/>
        <v>-7.9609999987006006</v>
      </c>
      <c r="E104" s="26">
        <f t="shared" si="10"/>
        <v>8.0039999994320112</v>
      </c>
      <c r="F104" s="26">
        <f t="shared" si="12"/>
        <v>4.3000000731410637E-2</v>
      </c>
    </row>
    <row r="105" spans="1:6" x14ac:dyDescent="0.2">
      <c r="A105" t="str">
        <f>$A$20</f>
        <v>Professional services</v>
      </c>
      <c r="B105" s="26">
        <f t="shared" si="10"/>
        <v>71.950000000461614</v>
      </c>
      <c r="C105" s="26">
        <f t="shared" si="11"/>
        <v>-52.153999976743876</v>
      </c>
      <c r="D105" s="26">
        <f t="shared" si="10"/>
        <v>45.516000014671249</v>
      </c>
      <c r="E105" s="26">
        <f t="shared" si="10"/>
        <v>48.428999990497914</v>
      </c>
      <c r="F105" s="26">
        <f t="shared" si="12"/>
        <v>93.945000005169163</v>
      </c>
    </row>
    <row r="106" spans="1:6" x14ac:dyDescent="0.2">
      <c r="A106" s="10" t="str">
        <f>$A$21</f>
        <v>Support services</v>
      </c>
      <c r="B106" s="26">
        <f t="shared" ref="B106:B111" si="13">C21-B21</f>
        <v>39.960999998667035</v>
      </c>
      <c r="C106" s="26">
        <f t="shared" ref="C106:C111" si="14">D21-C21</f>
        <v>-27.195000008654347</v>
      </c>
      <c r="D106" s="26">
        <f t="shared" ref="D106:D111" si="15">E21-D21</f>
        <v>28.619000001061067</v>
      </c>
      <c r="E106" s="26">
        <f t="shared" ref="E106:E111" si="16">F21-E21</f>
        <v>31.397999999587</v>
      </c>
      <c r="F106" s="26">
        <f t="shared" si="12"/>
        <v>60.017000000648068</v>
      </c>
    </row>
    <row r="107" spans="1:6" x14ac:dyDescent="0.2">
      <c r="A107" s="10" t="str">
        <f>$A$22</f>
        <v>Public admin. and defence</v>
      </c>
      <c r="B107" s="26">
        <f t="shared" si="13"/>
        <v>22.33200000027017</v>
      </c>
      <c r="C107" s="26">
        <f t="shared" si="14"/>
        <v>14.818000003625684</v>
      </c>
      <c r="D107" s="26">
        <f t="shared" si="15"/>
        <v>4.6340000001296175</v>
      </c>
      <c r="E107" s="26">
        <f t="shared" si="16"/>
        <v>-1.519999999506183</v>
      </c>
      <c r="F107" s="26">
        <f t="shared" si="12"/>
        <v>3.1140000006234345</v>
      </c>
    </row>
    <row r="108" spans="1:6" x14ac:dyDescent="0.2">
      <c r="A108" s="10" t="str">
        <f>$A$23</f>
        <v>Education</v>
      </c>
      <c r="B108" s="26">
        <f t="shared" si="13"/>
        <v>-23.192999998722371</v>
      </c>
      <c r="C108" s="26">
        <f t="shared" si="14"/>
        <v>27.592000018464091</v>
      </c>
      <c r="D108" s="26">
        <f t="shared" si="15"/>
        <v>-12.611000037882491</v>
      </c>
      <c r="E108" s="26">
        <f t="shared" si="16"/>
        <v>9.9350000323726135</v>
      </c>
      <c r="F108" s="26">
        <f t="shared" si="12"/>
        <v>-2.6760000055098772</v>
      </c>
    </row>
    <row r="109" spans="1:6" x14ac:dyDescent="0.2">
      <c r="A109" s="10" t="str">
        <f>$A$24</f>
        <v>Health and social work</v>
      </c>
      <c r="B109" s="26">
        <f t="shared" si="13"/>
        <v>49.841000000786948</v>
      </c>
      <c r="C109" s="26">
        <f t="shared" si="14"/>
        <v>-5.188999989831018</v>
      </c>
      <c r="D109" s="26">
        <f t="shared" si="15"/>
        <v>23.326999995954452</v>
      </c>
      <c r="E109" s="26">
        <f t="shared" si="16"/>
        <v>9.5670000033807128</v>
      </c>
      <c r="F109" s="26">
        <f t="shared" si="12"/>
        <v>32.893999999335165</v>
      </c>
    </row>
    <row r="110" spans="1:6" x14ac:dyDescent="0.2">
      <c r="A110" s="10" t="str">
        <f>$A$25</f>
        <v>Arts and entertainment</v>
      </c>
      <c r="B110" s="26">
        <f t="shared" si="13"/>
        <v>-7.0960000009901307</v>
      </c>
      <c r="C110" s="26">
        <f t="shared" si="14"/>
        <v>14.101000000920266</v>
      </c>
      <c r="D110" s="26">
        <f t="shared" si="15"/>
        <v>22.124000003430183</v>
      </c>
      <c r="E110" s="26">
        <f t="shared" si="16"/>
        <v>23.122999998698049</v>
      </c>
      <c r="F110" s="26">
        <f t="shared" si="12"/>
        <v>45.247000002128232</v>
      </c>
    </row>
    <row r="111" spans="1:6" x14ac:dyDescent="0.2">
      <c r="A111" s="10" t="str">
        <f>$A$26</f>
        <v>Other services</v>
      </c>
      <c r="B111" s="26">
        <f t="shared" si="13"/>
        <v>16.081000000317744</v>
      </c>
      <c r="C111" s="26">
        <f t="shared" si="14"/>
        <v>-7.5149999991483014</v>
      </c>
      <c r="D111" s="26">
        <f t="shared" si="15"/>
        <v>19.729000001580317</v>
      </c>
      <c r="E111" s="26">
        <f t="shared" si="16"/>
        <v>10.961999998819607</v>
      </c>
      <c r="F111" s="26">
        <f t="shared" si="12"/>
        <v>30.691000000399924</v>
      </c>
    </row>
    <row r="112" spans="1:6" x14ac:dyDescent="0.2">
      <c r="B112" s="26"/>
      <c r="C112" s="26"/>
      <c r="D112" s="26"/>
      <c r="E112" s="26"/>
      <c r="F112" s="26"/>
    </row>
    <row r="113" spans="1:6" x14ac:dyDescent="0.2">
      <c r="A113" s="23" t="str">
        <f>$A$28</f>
        <v>All industries</v>
      </c>
      <c r="B113" s="28">
        <f>C28-B28</f>
        <v>396.56099999415892</v>
      </c>
      <c r="C113" s="28">
        <f>D28-C28</f>
        <v>-32.735999992931283</v>
      </c>
      <c r="D113" s="28">
        <f>E28-D28</f>
        <v>241.91700000537094</v>
      </c>
      <c r="E113" s="28">
        <f>F28-E28</f>
        <v>301.43699999675755</v>
      </c>
      <c r="F113" s="28">
        <f t="shared" si="12"/>
        <v>543.35400000212849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G333"/>
  <sheetViews>
    <sheetView showGridLines="0" zoomScale="85" zoomScaleNormal="85" workbookViewId="0"/>
  </sheetViews>
  <sheetFormatPr defaultColWidth="9.140625" defaultRowHeight="12.75" x14ac:dyDescent="0.2"/>
  <cols>
    <col min="1" max="1" width="26.7109375" customWidth="1"/>
    <col min="2" max="6" width="11.7109375" customWidth="1"/>
  </cols>
  <sheetData>
    <row r="1" spans="1:7" ht="15.75" x14ac:dyDescent="0.25">
      <c r="A1" s="18" t="str">
        <f>CONCATENATE("Industry Table 3  Employment by Industry (SIC 2007), ",B$3,"-",F$3,", ",Info!B5)</f>
        <v>Industry Table 3  Employment by Industry (SIC 2007), 2015-2035, London</v>
      </c>
    </row>
    <row r="2" spans="1:7" x14ac:dyDescent="0.2">
      <c r="A2" s="1" t="s">
        <v>533</v>
      </c>
    </row>
    <row r="3" spans="1:7" x14ac:dyDescent="0.2">
      <c r="A3" s="21"/>
      <c r="B3" s="22">
        <v>2015</v>
      </c>
      <c r="C3" s="22">
        <v>2019</v>
      </c>
      <c r="D3" s="22">
        <v>2020</v>
      </c>
      <c r="E3" s="22">
        <v>2025</v>
      </c>
      <c r="F3" s="22">
        <v>2035</v>
      </c>
    </row>
    <row r="4" spans="1:7" x14ac:dyDescent="0.2">
      <c r="A4" s="1" t="s">
        <v>13</v>
      </c>
    </row>
    <row r="5" spans="1:7" x14ac:dyDescent="0.2">
      <c r="A5" t="str">
        <f>name!A4</f>
        <v>Agriculture, etc</v>
      </c>
      <c r="B5" s="11">
        <v>1.6959999999793451</v>
      </c>
      <c r="C5" s="11">
        <v>4.5530000000011261</v>
      </c>
      <c r="D5" s="11">
        <v>1.0350000000023996</v>
      </c>
      <c r="E5" s="11">
        <v>1.0710000000172895</v>
      </c>
      <c r="F5" s="11">
        <v>1.1010000000043316</v>
      </c>
      <c r="G5" s="10"/>
    </row>
    <row r="6" spans="1:7" x14ac:dyDescent="0.2">
      <c r="A6" t="str">
        <f>name!A5</f>
        <v>Coal, oil &amp; gas; Mining &amp; related</v>
      </c>
      <c r="B6" s="11">
        <v>4.2619999999754201</v>
      </c>
      <c r="C6" s="11">
        <v>2.242999999978549</v>
      </c>
      <c r="D6" s="11">
        <v>2.7030000000111776</v>
      </c>
      <c r="E6" s="11">
        <v>2.1960000000236986</v>
      </c>
      <c r="F6" s="11">
        <v>1.6440000000162167</v>
      </c>
    </row>
    <row r="7" spans="1:7" x14ac:dyDescent="0.2">
      <c r="A7" t="str">
        <f>name!A6</f>
        <v>Food products</v>
      </c>
      <c r="B7" s="11">
        <v>27.032000000516902</v>
      </c>
      <c r="C7" s="11">
        <v>38.053000000514366</v>
      </c>
      <c r="D7" s="11">
        <v>38.891999999378996</v>
      </c>
      <c r="E7" s="11">
        <v>39.524999999826676</v>
      </c>
      <c r="F7" s="11">
        <v>38.766999999331112</v>
      </c>
      <c r="G7" s="11"/>
    </row>
    <row r="8" spans="1:7" x14ac:dyDescent="0.2">
      <c r="A8" t="str">
        <f>name!A7</f>
        <v>Beverages and tobacco</v>
      </c>
      <c r="B8" s="11">
        <v>1.4590000000208565</v>
      </c>
      <c r="C8" s="11">
        <v>5.0860000000534367</v>
      </c>
      <c r="D8" s="11">
        <v>5.7329999999361343</v>
      </c>
      <c r="E8" s="11">
        <v>5.7659999999568221</v>
      </c>
      <c r="F8" s="11">
        <v>5.6219999999124424</v>
      </c>
      <c r="G8" s="11"/>
    </row>
    <row r="9" spans="1:7" x14ac:dyDescent="0.2">
      <c r="A9" t="str">
        <f>name!A8</f>
        <v>Textiles</v>
      </c>
      <c r="B9" s="11">
        <v>2.6780000000326583</v>
      </c>
      <c r="C9" s="11">
        <v>3.3110000000166862</v>
      </c>
      <c r="D9" s="11">
        <v>4.5029999999427446</v>
      </c>
      <c r="E9" s="11">
        <v>3.9760000000127613</v>
      </c>
      <c r="F9" s="11">
        <v>3.3859999999857697</v>
      </c>
      <c r="G9" s="11"/>
    </row>
    <row r="10" spans="1:7" x14ac:dyDescent="0.2">
      <c r="A10" t="str">
        <f>name!A9</f>
        <v>Wearing apparel; Leather, etc</v>
      </c>
      <c r="B10" s="11">
        <v>15.26500000021244</v>
      </c>
      <c r="C10" s="11">
        <v>4.785000000031336</v>
      </c>
      <c r="D10" s="11">
        <v>6.8729999999198874</v>
      </c>
      <c r="E10" s="11">
        <v>6.0760000000159602</v>
      </c>
      <c r="F10" s="11">
        <v>5.2499999999760449</v>
      </c>
      <c r="G10" s="11"/>
    </row>
    <row r="11" spans="1:7" x14ac:dyDescent="0.2">
      <c r="A11" t="str">
        <f>name!A10</f>
        <v xml:space="preserve">Wood and cork </v>
      </c>
      <c r="B11" s="11">
        <v>2.0570000000145119</v>
      </c>
      <c r="C11" s="11">
        <v>3.9090000000458081</v>
      </c>
      <c r="D11" s="11">
        <v>4.6339999999164414</v>
      </c>
      <c r="E11" s="11">
        <v>5.1149999998639633</v>
      </c>
      <c r="F11" s="11">
        <v>5.3099999998638037</v>
      </c>
      <c r="G11" s="11"/>
    </row>
    <row r="12" spans="1:7" x14ac:dyDescent="0.2">
      <c r="A12" t="str">
        <f>name!A11</f>
        <v>Paper, etc</v>
      </c>
      <c r="B12" s="11">
        <v>0.53500000000034309</v>
      </c>
      <c r="C12" s="11">
        <v>0.3409999999985725</v>
      </c>
      <c r="D12" s="11">
        <v>0.30500000000051947</v>
      </c>
      <c r="E12" s="11">
        <v>0.3450000000046558</v>
      </c>
      <c r="F12" s="11">
        <v>0.3660000000030787</v>
      </c>
      <c r="G12" s="11"/>
    </row>
    <row r="13" spans="1:7" x14ac:dyDescent="0.2">
      <c r="A13" t="str">
        <f>name!A12</f>
        <v>Printing and recording</v>
      </c>
      <c r="B13" s="11">
        <v>16.34899999994229</v>
      </c>
      <c r="C13" s="11">
        <v>11.31799999994044</v>
      </c>
      <c r="D13" s="11">
        <v>11.383000000047332</v>
      </c>
      <c r="E13" s="11">
        <v>10.392000000188055</v>
      </c>
      <c r="F13" s="11">
        <v>8.3960000001050119</v>
      </c>
      <c r="G13" s="11"/>
    </row>
    <row r="14" spans="1:7" x14ac:dyDescent="0.2">
      <c r="A14" t="str">
        <f>name!A13</f>
        <v>Coke and petroleum; Chemicals, etc</v>
      </c>
      <c r="B14" s="11">
        <v>2.801000000004481</v>
      </c>
      <c r="C14" s="11">
        <v>2.6650000000041842</v>
      </c>
      <c r="D14" s="11">
        <v>2.9199999999887547</v>
      </c>
      <c r="E14" s="11">
        <v>2.5030000000171535</v>
      </c>
      <c r="F14" s="11">
        <v>2.0039999999964526</v>
      </c>
      <c r="G14" s="11"/>
    </row>
    <row r="15" spans="1:7" x14ac:dyDescent="0.2">
      <c r="A15" t="str">
        <f>name!A14</f>
        <v>Pharmaceuticals</v>
      </c>
      <c r="B15" s="11">
        <v>2.1409999999936833</v>
      </c>
      <c r="C15" s="11">
        <v>1.8039999999901812</v>
      </c>
      <c r="D15" s="11">
        <v>2.1760000000096502</v>
      </c>
      <c r="E15" s="11">
        <v>2.0450000000278958</v>
      </c>
      <c r="F15" s="11">
        <v>1.728000000014094</v>
      </c>
      <c r="G15" s="11"/>
    </row>
    <row r="16" spans="1:7" x14ac:dyDescent="0.2">
      <c r="A16" t="str">
        <f>name!A15</f>
        <v>Rubber and plastic</v>
      </c>
      <c r="B16" s="11">
        <v>7.7280000000920639</v>
      </c>
      <c r="C16" s="11">
        <v>6.3480000000305115</v>
      </c>
      <c r="D16" s="11">
        <v>7.2239999999352973</v>
      </c>
      <c r="E16" s="11">
        <v>7.5680000000198673</v>
      </c>
      <c r="F16" s="11">
        <v>6.9019999999515083</v>
      </c>
      <c r="G16" s="11"/>
    </row>
    <row r="17" spans="1:7" x14ac:dyDescent="0.2">
      <c r="A17" t="str">
        <f>name!A16</f>
        <v>Other non-metallic</v>
      </c>
      <c r="B17" s="11">
        <v>3.2280000000069524</v>
      </c>
      <c r="C17" s="11">
        <v>4.8040000000225938</v>
      </c>
      <c r="D17" s="11">
        <v>4.9199999999665751</v>
      </c>
      <c r="E17" s="11">
        <v>5.2270000000026631</v>
      </c>
      <c r="F17" s="11">
        <v>4.8439999999723389</v>
      </c>
      <c r="G17" s="11"/>
    </row>
    <row r="18" spans="1:7" x14ac:dyDescent="0.2">
      <c r="A18" t="str">
        <f>name!A17</f>
        <v>Basic metals</v>
      </c>
      <c r="B18" s="11">
        <v>0.57400000000612994</v>
      </c>
      <c r="C18" s="11">
        <v>0.83200000000855878</v>
      </c>
      <c r="D18" s="11">
        <v>0.70599999999146457</v>
      </c>
      <c r="E18" s="11">
        <v>0.68599999999496974</v>
      </c>
      <c r="F18" s="11">
        <v>0.61099999999293331</v>
      </c>
      <c r="G18" s="11"/>
    </row>
    <row r="19" spans="1:7" x14ac:dyDescent="0.2">
      <c r="A19" t="str">
        <f>name!A18</f>
        <v>Metal products</v>
      </c>
      <c r="B19" s="11">
        <v>9.3560000000617478</v>
      </c>
      <c r="C19" s="11">
        <v>10.316000000060519</v>
      </c>
      <c r="D19" s="11">
        <v>9.681999999916366</v>
      </c>
      <c r="E19" s="11">
        <v>9.3419999999776877</v>
      </c>
      <c r="F19" s="11">
        <v>8.1889999999710845</v>
      </c>
      <c r="G19" s="11"/>
    </row>
    <row r="20" spans="1:7" x14ac:dyDescent="0.2">
      <c r="A20" t="str">
        <f>name!A19</f>
        <v>Computer, etc</v>
      </c>
      <c r="B20" s="11">
        <v>3.4569999999899745</v>
      </c>
      <c r="C20" s="11">
        <v>7.6559999999977979</v>
      </c>
      <c r="D20" s="11">
        <v>8.2319999999891174</v>
      </c>
      <c r="E20" s="11">
        <v>11.227000000031936</v>
      </c>
      <c r="F20" s="11">
        <v>12.83299999999689</v>
      </c>
      <c r="G20" s="11"/>
    </row>
    <row r="21" spans="1:7" x14ac:dyDescent="0.2">
      <c r="A21" t="str">
        <f>name!A20</f>
        <v>Electrical equipment</v>
      </c>
      <c r="B21" s="11">
        <v>1.8490000000026967</v>
      </c>
      <c r="C21" s="11">
        <v>3.3180000000050995</v>
      </c>
      <c r="D21" s="11">
        <v>2.997999999992639</v>
      </c>
      <c r="E21" s="11">
        <v>3.146999999999633</v>
      </c>
      <c r="F21" s="11">
        <v>2.9549999999886807</v>
      </c>
      <c r="G21" s="11"/>
    </row>
    <row r="22" spans="1:7" x14ac:dyDescent="0.2">
      <c r="A22" t="str">
        <f>name!A21</f>
        <v>Machinery n.e.c.</v>
      </c>
      <c r="B22" s="11">
        <v>4.4450000000083705</v>
      </c>
      <c r="C22" s="11">
        <v>2.4650000000073309</v>
      </c>
      <c r="D22" s="11">
        <v>2.4929999999850829</v>
      </c>
      <c r="E22" s="11">
        <v>2.9589999999924039</v>
      </c>
      <c r="F22" s="11">
        <v>2.7069999999887262</v>
      </c>
      <c r="G22" s="11"/>
    </row>
    <row r="23" spans="1:7" x14ac:dyDescent="0.2">
      <c r="A23" t="str">
        <f>name!A22</f>
        <v>Motor vehicles, etc</v>
      </c>
      <c r="B23" s="11">
        <v>4.0170000000418149</v>
      </c>
      <c r="C23" s="11">
        <v>3.604000000032765</v>
      </c>
      <c r="D23" s="11">
        <v>3.5269999999626425</v>
      </c>
      <c r="E23" s="11">
        <v>2.9679999999789581</v>
      </c>
      <c r="F23" s="11">
        <v>2.1409999999773257</v>
      </c>
      <c r="G23" s="11"/>
    </row>
    <row r="24" spans="1:7" x14ac:dyDescent="0.2">
      <c r="A24" t="str">
        <f>name!A23</f>
        <v>Other transport equipment</v>
      </c>
      <c r="B24" s="11">
        <v>0.9080000000026559</v>
      </c>
      <c r="C24" s="11">
        <v>1.7600000000088272</v>
      </c>
      <c r="D24" s="11">
        <v>2.0139999999732834</v>
      </c>
      <c r="E24" s="11">
        <v>1.6319999999758439</v>
      </c>
      <c r="F24" s="11">
        <v>1.2329999999841277</v>
      </c>
      <c r="G24" s="11"/>
    </row>
    <row r="25" spans="1:7" x14ac:dyDescent="0.2">
      <c r="A25" t="str">
        <f>name!A24</f>
        <v>Furniture</v>
      </c>
      <c r="B25" s="11">
        <v>4.8260000000320975</v>
      </c>
      <c r="C25" s="11">
        <v>4.089000000036183</v>
      </c>
      <c r="D25" s="11">
        <v>3.949999999972992</v>
      </c>
      <c r="E25" s="11">
        <v>3.2959999999876044</v>
      </c>
      <c r="F25" s="11">
        <v>2.7759999999801832</v>
      </c>
      <c r="G25" s="11"/>
    </row>
    <row r="26" spans="1:7" x14ac:dyDescent="0.2">
      <c r="A26" t="str">
        <f>name!A25</f>
        <v>Other manufacturing</v>
      </c>
      <c r="B26" s="11">
        <v>6.2770000000211175</v>
      </c>
      <c r="C26" s="11">
        <v>8.2119999999989925</v>
      </c>
      <c r="D26" s="11">
        <v>9.7369999999585541</v>
      </c>
      <c r="E26" s="11">
        <v>8.0350000000484734</v>
      </c>
      <c r="F26" s="11">
        <v>6.7179999999971365</v>
      </c>
      <c r="G26" s="11"/>
    </row>
    <row r="27" spans="1:7" x14ac:dyDescent="0.2">
      <c r="A27" t="str">
        <f>name!A26</f>
        <v>Repair and installation</v>
      </c>
      <c r="B27" s="11">
        <v>6.9780000000335765</v>
      </c>
      <c r="C27" s="11">
        <v>10.5550000000583</v>
      </c>
      <c r="D27" s="11">
        <v>13.398999999936516</v>
      </c>
      <c r="E27" s="11">
        <v>11.327999999975713</v>
      </c>
      <c r="F27" s="11">
        <v>10.012999999993093</v>
      </c>
      <c r="G27" s="11"/>
    </row>
    <row r="28" spans="1:7" x14ac:dyDescent="0.2">
      <c r="A28" t="str">
        <f>name!A27</f>
        <v>Electricity, gas, etc</v>
      </c>
      <c r="B28" s="11">
        <v>10.292999999952817</v>
      </c>
      <c r="C28" s="11">
        <v>15.214999999958104</v>
      </c>
      <c r="D28" s="11">
        <v>12.42299999999452</v>
      </c>
      <c r="E28" s="11">
        <v>12.218000000079176</v>
      </c>
      <c r="F28" s="11">
        <v>12.449000000055946</v>
      </c>
      <c r="G28" s="11"/>
    </row>
    <row r="29" spans="1:7" x14ac:dyDescent="0.2">
      <c r="A29" t="str">
        <f>name!A28</f>
        <v>Water</v>
      </c>
      <c r="B29" s="11">
        <v>0.85499999999723464</v>
      </c>
      <c r="C29" s="11">
        <v>0.55299999999686311</v>
      </c>
      <c r="D29" s="11">
        <v>0.613999999999153</v>
      </c>
      <c r="E29" s="11">
        <v>0.66500000000078952</v>
      </c>
      <c r="F29" s="11">
        <v>0.75700000000020651</v>
      </c>
      <c r="G29" s="11"/>
    </row>
    <row r="30" spans="1:7" x14ac:dyDescent="0.2">
      <c r="A30" t="str">
        <f>name!A29</f>
        <v>Sewerage</v>
      </c>
      <c r="B30" s="11">
        <v>3.6230000000657916</v>
      </c>
      <c r="C30" s="11">
        <v>1.6600000000215134</v>
      </c>
      <c r="D30" s="11">
        <v>1.6949999999799696</v>
      </c>
      <c r="E30" s="11">
        <v>1.8489999999769746</v>
      </c>
      <c r="F30" s="11">
        <v>2.1359999999494441</v>
      </c>
      <c r="G30" s="11"/>
    </row>
    <row r="31" spans="1:7" x14ac:dyDescent="0.2">
      <c r="A31" t="str">
        <f>name!A30</f>
        <v>Waste management</v>
      </c>
      <c r="B31" s="11">
        <v>11.36500000012769</v>
      </c>
      <c r="C31" s="11">
        <v>14.718000000164212</v>
      </c>
      <c r="D31" s="11">
        <v>14.407999999826506</v>
      </c>
      <c r="E31" s="11">
        <v>15.682999999813251</v>
      </c>
      <c r="F31" s="11">
        <v>18.004999999682251</v>
      </c>
      <c r="G31" s="11"/>
    </row>
    <row r="32" spans="1:7" x14ac:dyDescent="0.2">
      <c r="A32" t="str">
        <f>name!A31</f>
        <v>Construction</v>
      </c>
      <c r="B32" s="11">
        <v>112.59200000027323</v>
      </c>
      <c r="C32" s="11">
        <v>140.87800000295604</v>
      </c>
      <c r="D32" s="11">
        <v>131.77499999614869</v>
      </c>
      <c r="E32" s="11">
        <v>146.29199999356877</v>
      </c>
      <c r="F32" s="11">
        <v>168.08799999226872</v>
      </c>
      <c r="G32" s="11"/>
    </row>
    <row r="33" spans="1:7" x14ac:dyDescent="0.2">
      <c r="A33" t="str">
        <f>name!A32</f>
        <v>Civil engineering</v>
      </c>
      <c r="B33" s="11">
        <v>52.688000000084422</v>
      </c>
      <c r="C33" s="11">
        <v>36.838000000917781</v>
      </c>
      <c r="D33" s="11">
        <v>34.008999998851792</v>
      </c>
      <c r="E33" s="11">
        <v>37.725999997889247</v>
      </c>
      <c r="F33" s="11">
        <v>43.184999997603001</v>
      </c>
      <c r="G33" s="11"/>
    </row>
    <row r="34" spans="1:7" x14ac:dyDescent="0.2">
      <c r="A34" t="str">
        <f>name!A33</f>
        <v>Specialised construction</v>
      </c>
      <c r="B34" s="11">
        <v>124.15400000022005</v>
      </c>
      <c r="C34" s="11">
        <v>141.99900000341199</v>
      </c>
      <c r="D34" s="11">
        <v>132.01899999575218</v>
      </c>
      <c r="E34" s="11">
        <v>146.62499999229226</v>
      </c>
      <c r="F34" s="11">
        <v>168.36899999111733</v>
      </c>
      <c r="G34" s="11"/>
    </row>
    <row r="35" spans="1:7" x14ac:dyDescent="0.2">
      <c r="A35" t="str">
        <f>name!A34</f>
        <v>Motor vehicle trade</v>
      </c>
      <c r="B35" s="11">
        <v>43.628000001056151</v>
      </c>
      <c r="C35" s="11">
        <v>53.027000001037251</v>
      </c>
      <c r="D35" s="11">
        <v>50.624999999186606</v>
      </c>
      <c r="E35" s="11">
        <v>49.310999999412466</v>
      </c>
      <c r="F35" s="11">
        <v>49.57299999930143</v>
      </c>
      <c r="G35" s="11"/>
    </row>
    <row r="36" spans="1:7" x14ac:dyDescent="0.2">
      <c r="A36" t="str">
        <f>name!A35</f>
        <v>Wholesale trade</v>
      </c>
      <c r="B36" s="11">
        <v>152.89100000284014</v>
      </c>
      <c r="C36" s="11">
        <v>169.35600000205565</v>
      </c>
      <c r="D36" s="11">
        <v>169.38999999742003</v>
      </c>
      <c r="E36" s="11">
        <v>166.45999999935322</v>
      </c>
      <c r="F36" s="11">
        <v>166.14999999817456</v>
      </c>
      <c r="G36" s="11"/>
    </row>
    <row r="37" spans="1:7" x14ac:dyDescent="0.2">
      <c r="A37" t="str">
        <f>name!A36</f>
        <v>Retail trade</v>
      </c>
      <c r="B37" s="11">
        <v>469.42700001559029</v>
      </c>
      <c r="C37" s="11">
        <v>416.05400001002852</v>
      </c>
      <c r="D37" s="11">
        <v>418.67599999699428</v>
      </c>
      <c r="E37" s="11">
        <v>416.17300000259792</v>
      </c>
      <c r="F37" s="11">
        <v>416.30199999531919</v>
      </c>
      <c r="G37" s="11"/>
    </row>
    <row r="38" spans="1:7" x14ac:dyDescent="0.2">
      <c r="A38" t="str">
        <f>name!A37</f>
        <v>Land transport, etc</v>
      </c>
      <c r="B38" s="11">
        <v>142.69800000382872</v>
      </c>
      <c r="C38" s="11">
        <v>166.62499999896559</v>
      </c>
      <c r="D38" s="11">
        <v>153.94899999770013</v>
      </c>
      <c r="E38" s="11">
        <v>182.73700000040441</v>
      </c>
      <c r="F38" s="11">
        <v>185.2499999988251</v>
      </c>
      <c r="G38" s="11"/>
    </row>
    <row r="39" spans="1:7" x14ac:dyDescent="0.2">
      <c r="A39" t="str">
        <f>name!A38</f>
        <v>Water transport</v>
      </c>
      <c r="B39" s="11">
        <v>5.9150000000350555</v>
      </c>
      <c r="C39" s="11">
        <v>4.5350000000300321</v>
      </c>
      <c r="D39" s="11">
        <v>4.8099999999827387</v>
      </c>
      <c r="E39" s="11">
        <v>4.0390000000289801</v>
      </c>
      <c r="F39" s="11">
        <v>3.8100000000094756</v>
      </c>
      <c r="G39" s="11"/>
    </row>
    <row r="40" spans="1:7" x14ac:dyDescent="0.2">
      <c r="A40" t="str">
        <f>name!A39</f>
        <v>Air transport</v>
      </c>
      <c r="B40" s="11">
        <v>39.46200000047255</v>
      </c>
      <c r="C40" s="11">
        <v>38.668000000327993</v>
      </c>
      <c r="D40" s="11">
        <v>37.883999999737668</v>
      </c>
      <c r="E40" s="11">
        <v>34.406999999917772</v>
      </c>
      <c r="F40" s="11">
        <v>33.136999999791435</v>
      </c>
      <c r="G40" s="11"/>
    </row>
    <row r="41" spans="1:7" x14ac:dyDescent="0.2">
      <c r="A41" t="str">
        <f>name!A40</f>
        <v>Warehousing, etc</v>
      </c>
      <c r="B41" s="11">
        <v>63.453000001287442</v>
      </c>
      <c r="C41" s="11">
        <v>66.364000000966627</v>
      </c>
      <c r="D41" s="11">
        <v>73.268999998928024</v>
      </c>
      <c r="E41" s="11">
        <v>73.500999999364481</v>
      </c>
      <c r="F41" s="11">
        <v>72.964999998955761</v>
      </c>
      <c r="G41" s="11"/>
    </row>
    <row r="42" spans="1:7" x14ac:dyDescent="0.2">
      <c r="A42" t="str">
        <f>name!A41</f>
        <v>Postal and courier</v>
      </c>
      <c r="B42" s="11">
        <v>35.263000000977826</v>
      </c>
      <c r="C42" s="11">
        <v>44.854000000832947</v>
      </c>
      <c r="D42" s="11">
        <v>49.892999998914703</v>
      </c>
      <c r="E42" s="11">
        <v>50.314999999279422</v>
      </c>
      <c r="F42" s="11">
        <v>50.228999998553519</v>
      </c>
      <c r="G42" s="11"/>
    </row>
    <row r="43" spans="1:7" x14ac:dyDescent="0.2">
      <c r="A43" t="str">
        <f>name!A42</f>
        <v>Accommodation</v>
      </c>
      <c r="B43" s="11">
        <v>63.127000001310428</v>
      </c>
      <c r="C43" s="11">
        <v>93.08100000140324</v>
      </c>
      <c r="D43" s="11">
        <v>77.297999998829226</v>
      </c>
      <c r="E43" s="11">
        <v>89.928999999965626</v>
      </c>
      <c r="F43" s="11">
        <v>97.244999999173373</v>
      </c>
      <c r="G43" s="11"/>
    </row>
    <row r="44" spans="1:7" x14ac:dyDescent="0.2">
      <c r="A44" t="str">
        <f>name!A43</f>
        <v>Food and beverage services</v>
      </c>
      <c r="B44" s="11">
        <v>307.18300000832323</v>
      </c>
      <c r="C44" s="11">
        <v>365.7040000075516</v>
      </c>
      <c r="D44" s="11">
        <v>350.69099999576019</v>
      </c>
      <c r="E44" s="11">
        <v>365.15000000038526</v>
      </c>
      <c r="F44" s="11">
        <v>436.10799999671366</v>
      </c>
      <c r="G44" s="11"/>
    </row>
    <row r="45" spans="1:7" x14ac:dyDescent="0.2">
      <c r="A45" t="str">
        <f>name!A44</f>
        <v>Publishing activities</v>
      </c>
      <c r="B45" s="11">
        <v>67.334999999487607</v>
      </c>
      <c r="C45" s="11">
        <v>65.484999999428126</v>
      </c>
      <c r="D45" s="11">
        <v>67.945000000420762</v>
      </c>
      <c r="E45" s="11">
        <v>71.117000001616603</v>
      </c>
      <c r="F45" s="11">
        <v>72.559000001043998</v>
      </c>
      <c r="G45" s="11"/>
    </row>
    <row r="46" spans="1:7" x14ac:dyDescent="0.2">
      <c r="A46" t="str">
        <f>name!A45</f>
        <v>Film and music</v>
      </c>
      <c r="B46" s="11">
        <v>72.875000000000071</v>
      </c>
      <c r="C46" s="11">
        <v>75.947999999742606</v>
      </c>
      <c r="D46" s="11">
        <v>81.494000000554337</v>
      </c>
      <c r="E46" s="11">
        <v>85.555000001620513</v>
      </c>
      <c r="F46" s="11">
        <v>87.877000001053318</v>
      </c>
      <c r="G46" s="11"/>
    </row>
    <row r="47" spans="1:7" x14ac:dyDescent="0.2">
      <c r="A47" t="str">
        <f>name!A46</f>
        <v>Broadcasting</v>
      </c>
      <c r="B47" s="11">
        <v>29.620999999918094</v>
      </c>
      <c r="C47" s="11">
        <v>26.473999999865065</v>
      </c>
      <c r="D47" s="11">
        <v>28.211000000239803</v>
      </c>
      <c r="E47" s="11">
        <v>29.49400000068589</v>
      </c>
      <c r="F47" s="11">
        <v>29.959000000501529</v>
      </c>
      <c r="G47" s="11"/>
    </row>
    <row r="48" spans="1:7" x14ac:dyDescent="0.2">
      <c r="A48" t="str">
        <f>name!A47</f>
        <v>Telecommunications</v>
      </c>
      <c r="B48" s="11">
        <v>38.551999999496815</v>
      </c>
      <c r="C48" s="11">
        <v>36.236999999654039</v>
      </c>
      <c r="D48" s="11">
        <v>37.027000000171292</v>
      </c>
      <c r="E48" s="11">
        <v>39.939000000530704</v>
      </c>
      <c r="F48" s="11">
        <v>43.321000000408723</v>
      </c>
      <c r="G48" s="11"/>
    </row>
    <row r="49" spans="1:7" x14ac:dyDescent="0.2">
      <c r="A49" t="str">
        <f>name!A48</f>
        <v>Computing services</v>
      </c>
      <c r="B49" s="11">
        <v>181.31099999650414</v>
      </c>
      <c r="C49" s="11">
        <v>235.24199999629207</v>
      </c>
      <c r="D49" s="11">
        <v>246.7330000020784</v>
      </c>
      <c r="E49" s="11">
        <v>266.98400000499441</v>
      </c>
      <c r="F49" s="11">
        <v>291.15400000363286</v>
      </c>
      <c r="G49" s="11"/>
    </row>
    <row r="50" spans="1:7" x14ac:dyDescent="0.2">
      <c r="A50" t="str">
        <f>name!A49</f>
        <v>Information services</v>
      </c>
      <c r="B50" s="11">
        <v>42.174999999526264</v>
      </c>
      <c r="C50" s="11">
        <v>44.553999999576071</v>
      </c>
      <c r="D50" s="11">
        <v>48.977000000132996</v>
      </c>
      <c r="E50" s="11">
        <v>53.321000000716758</v>
      </c>
      <c r="F50" s="11">
        <v>58.77000000032811</v>
      </c>
      <c r="G50" s="11"/>
    </row>
    <row r="51" spans="1:7" x14ac:dyDescent="0.2">
      <c r="A51" t="str">
        <f>name!A50</f>
        <v>Financial services</v>
      </c>
      <c r="B51" s="11">
        <v>176.9049999975916</v>
      </c>
      <c r="C51" s="11">
        <v>192.50399999752202</v>
      </c>
      <c r="D51" s="11">
        <v>186.80000000071288</v>
      </c>
      <c r="E51" s="11">
        <v>189.09400000364147</v>
      </c>
      <c r="F51" s="11">
        <v>190.87100000226951</v>
      </c>
      <c r="G51" s="11"/>
    </row>
    <row r="52" spans="1:7" x14ac:dyDescent="0.2">
      <c r="A52" t="str">
        <f>name!A51</f>
        <v>Insurance and pensions</v>
      </c>
      <c r="B52" s="11">
        <v>30.572999999684161</v>
      </c>
      <c r="C52" s="11">
        <v>36.041999999562002</v>
      </c>
      <c r="D52" s="11">
        <v>35.417000000017786</v>
      </c>
      <c r="E52" s="11">
        <v>35.800000000778979</v>
      </c>
      <c r="F52" s="11">
        <v>36.01200000024847</v>
      </c>
      <c r="G52" s="11"/>
    </row>
    <row r="53" spans="1:7" x14ac:dyDescent="0.2">
      <c r="A53" t="str">
        <f>name!A52</f>
        <v>Auxiliary financial services</v>
      </c>
      <c r="B53" s="11">
        <v>164.74599999745999</v>
      </c>
      <c r="C53" s="11">
        <v>180.39999999737447</v>
      </c>
      <c r="D53" s="11">
        <v>181.66800000108714</v>
      </c>
      <c r="E53" s="11">
        <v>185.470000004426</v>
      </c>
      <c r="F53" s="11">
        <v>188.04100000277595</v>
      </c>
      <c r="G53" s="11"/>
    </row>
    <row r="54" spans="1:7" x14ac:dyDescent="0.2">
      <c r="A54" t="str">
        <f>name!A53</f>
        <v>Real estate</v>
      </c>
      <c r="B54" s="11">
        <v>136.39699999923894</v>
      </c>
      <c r="C54" s="11">
        <v>130.66799999922634</v>
      </c>
      <c r="D54" s="11">
        <v>160.77699999999172</v>
      </c>
      <c r="E54" s="11">
        <v>152.81600000129112</v>
      </c>
      <c r="F54" s="11">
        <v>160.82000000072313</v>
      </c>
      <c r="G54" s="11"/>
    </row>
    <row r="55" spans="1:7" x14ac:dyDescent="0.2">
      <c r="A55" t="str">
        <f>name!A54</f>
        <v>Legal and accounting</v>
      </c>
      <c r="B55" s="11">
        <v>206.59799999578786</v>
      </c>
      <c r="C55" s="11">
        <v>254.18199999526564</v>
      </c>
      <c r="D55" s="11">
        <v>230.16200000230853</v>
      </c>
      <c r="E55" s="11">
        <v>243.97000000735329</v>
      </c>
      <c r="F55" s="11">
        <v>258.22600000393476</v>
      </c>
      <c r="G55" s="11"/>
    </row>
    <row r="56" spans="1:7" x14ac:dyDescent="0.2">
      <c r="A56" t="str">
        <f>name!A55</f>
        <v>Head offices, etc</v>
      </c>
      <c r="B56" s="11">
        <v>272.39899999408226</v>
      </c>
      <c r="C56" s="11">
        <v>250.3639999953119</v>
      </c>
      <c r="D56" s="11">
        <v>243.30800000238855</v>
      </c>
      <c r="E56" s="11">
        <v>255.50600000662078</v>
      </c>
      <c r="F56" s="11">
        <v>267.85300000378817</v>
      </c>
      <c r="G56" s="11"/>
    </row>
    <row r="57" spans="1:7" x14ac:dyDescent="0.2">
      <c r="A57" t="str">
        <f>name!A56</f>
        <v>Architectural and related</v>
      </c>
      <c r="B57" s="11">
        <v>94.652999997740224</v>
      </c>
      <c r="C57" s="11">
        <v>114.54599999774312</v>
      </c>
      <c r="D57" s="11">
        <v>110.31700000145665</v>
      </c>
      <c r="E57" s="11">
        <v>107.01100000308908</v>
      </c>
      <c r="F57" s="11">
        <v>110.78200000205013</v>
      </c>
      <c r="G57" s="11"/>
    </row>
    <row r="58" spans="1:7" x14ac:dyDescent="0.2">
      <c r="A58" t="str">
        <f>name!A57</f>
        <v>Scientific research and development</v>
      </c>
      <c r="B58" s="11">
        <v>20.782999999802719</v>
      </c>
      <c r="C58" s="11">
        <v>26.149999999810564</v>
      </c>
      <c r="D58" s="11">
        <v>23.789000000572649</v>
      </c>
      <c r="E58" s="11">
        <v>26.594000000297669</v>
      </c>
      <c r="F58" s="11">
        <v>28.831000000553779</v>
      </c>
      <c r="G58" s="11"/>
    </row>
    <row r="59" spans="1:7" x14ac:dyDescent="0.2">
      <c r="A59" t="str">
        <f>name!A58</f>
        <v>Advertising, etc</v>
      </c>
      <c r="B59" s="11">
        <v>110.77199999797361</v>
      </c>
      <c r="C59" s="11">
        <v>121.36499999781006</v>
      </c>
      <c r="D59" s="11">
        <v>112.83300000104789</v>
      </c>
      <c r="E59" s="11">
        <v>126.09300000412061</v>
      </c>
      <c r="F59" s="11">
        <v>136.5150000020198</v>
      </c>
      <c r="G59" s="11"/>
    </row>
    <row r="60" spans="1:7" x14ac:dyDescent="0.2">
      <c r="A60" t="str">
        <f>name!A59</f>
        <v>Other professional</v>
      </c>
      <c r="B60" s="11">
        <v>47.277999999434329</v>
      </c>
      <c r="C60" s="11">
        <v>59.35999999928935</v>
      </c>
      <c r="D60" s="11">
        <v>53.562000000551855</v>
      </c>
      <c r="E60" s="11">
        <v>59.834000001573429</v>
      </c>
      <c r="F60" s="11">
        <v>64.8220000011937</v>
      </c>
      <c r="G60" s="11"/>
    </row>
    <row r="61" spans="1:7" x14ac:dyDescent="0.2">
      <c r="A61" t="str">
        <f>name!A60</f>
        <v>Veterinary</v>
      </c>
      <c r="B61" s="11">
        <v>5.6859999998635899</v>
      </c>
      <c r="C61" s="11">
        <v>4.1519999999155957</v>
      </c>
      <c r="D61" s="11">
        <v>3.9940000000761593</v>
      </c>
      <c r="E61" s="11">
        <v>4.4730000000188621</v>
      </c>
      <c r="F61" s="11">
        <v>4.8810000000311522</v>
      </c>
      <c r="G61" s="11"/>
    </row>
    <row r="62" spans="1:7" x14ac:dyDescent="0.2">
      <c r="A62" t="str">
        <f>name!A61</f>
        <v>Rental and leasing</v>
      </c>
      <c r="B62" s="11">
        <v>17.226000000079772</v>
      </c>
      <c r="C62" s="11">
        <v>23.686000000041865</v>
      </c>
      <c r="D62" s="11">
        <v>23.362999999974928</v>
      </c>
      <c r="E62" s="11">
        <v>24.525000000108392</v>
      </c>
      <c r="F62" s="11">
        <v>25.836000000084422</v>
      </c>
      <c r="G62" s="11"/>
    </row>
    <row r="63" spans="1:7" x14ac:dyDescent="0.2">
      <c r="A63" t="str">
        <f>name!A62</f>
        <v>Employment activities</v>
      </c>
      <c r="B63" s="11">
        <v>188.5090000022158</v>
      </c>
      <c r="C63" s="11">
        <v>195.39400000173072</v>
      </c>
      <c r="D63" s="11">
        <v>185.01499999890569</v>
      </c>
      <c r="E63" s="11">
        <v>194.16599999926214</v>
      </c>
      <c r="F63" s="11">
        <v>204.23899999907673</v>
      </c>
      <c r="G63" s="11"/>
    </row>
    <row r="64" spans="1:7" x14ac:dyDescent="0.2">
      <c r="A64" t="str">
        <f>name!A63</f>
        <v>Travel, etc</v>
      </c>
      <c r="B64" s="11">
        <v>24.815000000471656</v>
      </c>
      <c r="C64" s="11">
        <v>25.940000000367519</v>
      </c>
      <c r="D64" s="11">
        <v>24.935999999574186</v>
      </c>
      <c r="E64" s="11">
        <v>26.190999999767524</v>
      </c>
      <c r="F64" s="11">
        <v>27.642999999516157</v>
      </c>
      <c r="G64" s="11"/>
    </row>
    <row r="65" spans="1:7" x14ac:dyDescent="0.2">
      <c r="A65" t="str">
        <f>name!A64</f>
        <v>Security, etc</v>
      </c>
      <c r="B65" s="11">
        <v>61.310000000670343</v>
      </c>
      <c r="C65" s="11">
        <v>51.198000000349573</v>
      </c>
      <c r="D65" s="11">
        <v>51.156999999821963</v>
      </c>
      <c r="E65" s="11">
        <v>53.765999999886432</v>
      </c>
      <c r="F65" s="11">
        <v>56.728999999729623</v>
      </c>
      <c r="G65" s="11"/>
    </row>
    <row r="66" spans="1:7" x14ac:dyDescent="0.2">
      <c r="A66" t="str">
        <f>name!A65</f>
        <v>Services to buildings</v>
      </c>
      <c r="B66" s="11">
        <v>186.45400000182516</v>
      </c>
      <c r="C66" s="11">
        <v>176.44900000131452</v>
      </c>
      <c r="D66" s="11">
        <v>165.8869999987856</v>
      </c>
      <c r="E66" s="11">
        <v>173.58299999892108</v>
      </c>
      <c r="F66" s="11">
        <v>181.51299999937191</v>
      </c>
      <c r="G66" s="11"/>
    </row>
    <row r="67" spans="1:7" x14ac:dyDescent="0.2">
      <c r="A67" t="str">
        <f>name!A66</f>
        <v>Office administrative</v>
      </c>
      <c r="B67" s="11">
        <v>92.103000001037202</v>
      </c>
      <c r="C67" s="11">
        <v>137.71100000116277</v>
      </c>
      <c r="D67" s="11">
        <v>132.82499999925031</v>
      </c>
      <c r="E67" s="11">
        <v>139.57099999942821</v>
      </c>
      <c r="F67" s="11">
        <v>147.23999999918192</v>
      </c>
      <c r="G67" s="11"/>
    </row>
    <row r="68" spans="1:7" x14ac:dyDescent="0.2">
      <c r="A68" t="str">
        <f>name!A67</f>
        <v>Public administration and defence</v>
      </c>
      <c r="B68" s="11">
        <v>217.89999999797885</v>
      </c>
      <c r="C68" s="11">
        <v>240.23199999824902</v>
      </c>
      <c r="D68" s="11">
        <v>255.05000000187471</v>
      </c>
      <c r="E68" s="11">
        <v>259.68400000200432</v>
      </c>
      <c r="F68" s="11">
        <v>258.16400000249814</v>
      </c>
      <c r="G68" s="11"/>
    </row>
    <row r="69" spans="1:7" x14ac:dyDescent="0.2">
      <c r="A69" t="str">
        <f>name!A68</f>
        <v xml:space="preserve">Education </v>
      </c>
      <c r="B69" s="11">
        <v>424.52899999628681</v>
      </c>
      <c r="C69" s="11">
        <v>401.33599999756444</v>
      </c>
      <c r="D69" s="11">
        <v>428.92800001602853</v>
      </c>
      <c r="E69" s="11">
        <v>416.31699997814604</v>
      </c>
      <c r="F69" s="11">
        <v>426.25200001051866</v>
      </c>
      <c r="G69" s="11"/>
    </row>
    <row r="70" spans="1:7" x14ac:dyDescent="0.2">
      <c r="A70" t="str">
        <f>name!A69</f>
        <v>Health</v>
      </c>
      <c r="B70" s="11">
        <v>321.08199999572429</v>
      </c>
      <c r="C70" s="11">
        <v>369.20499999592442</v>
      </c>
      <c r="D70" s="11">
        <v>376.61700000235152</v>
      </c>
      <c r="E70" s="11">
        <v>400.35400000013721</v>
      </c>
      <c r="F70" s="11">
        <v>414.2960000021655</v>
      </c>
      <c r="G70" s="11"/>
    </row>
    <row r="71" spans="1:7" x14ac:dyDescent="0.2">
      <c r="A71" t="str">
        <f>name!A70</f>
        <v>Residential care</v>
      </c>
      <c r="B71" s="11">
        <v>66.462999999010222</v>
      </c>
      <c r="C71" s="11">
        <v>65.036999999206401</v>
      </c>
      <c r="D71" s="11">
        <v>61.540000000304332</v>
      </c>
      <c r="E71" s="11">
        <v>61.626999999763591</v>
      </c>
      <c r="F71" s="11">
        <v>60.737000000095556</v>
      </c>
      <c r="G71" s="11"/>
    </row>
    <row r="72" spans="1:7" x14ac:dyDescent="0.2">
      <c r="A72" t="str">
        <f>name!A71</f>
        <v>Social work</v>
      </c>
      <c r="B72" s="11">
        <v>153.27999999759749</v>
      </c>
      <c r="C72" s="11">
        <v>156.42399999798818</v>
      </c>
      <c r="D72" s="11">
        <v>147.32000000063198</v>
      </c>
      <c r="E72" s="11">
        <v>146.82299999934159</v>
      </c>
      <c r="F72" s="11">
        <v>143.33800000036197</v>
      </c>
      <c r="G72" s="11"/>
    </row>
    <row r="73" spans="1:7" x14ac:dyDescent="0.2">
      <c r="A73" t="str">
        <f>name!A72</f>
        <v>Arts and entertainment</v>
      </c>
      <c r="B73" s="11">
        <v>68.423000000472967</v>
      </c>
      <c r="C73" s="11">
        <v>66.744999999938258</v>
      </c>
      <c r="D73" s="11">
        <v>77.73900000041769</v>
      </c>
      <c r="E73" s="11">
        <v>82.683000001995822</v>
      </c>
      <c r="F73" s="11">
        <v>87.857000001267451</v>
      </c>
      <c r="G73" s="11"/>
    </row>
    <row r="74" spans="1:7" x14ac:dyDescent="0.2">
      <c r="A74" t="str">
        <f>name!A73</f>
        <v>Libraries, etc</v>
      </c>
      <c r="B74" s="11">
        <v>38.165000000208991</v>
      </c>
      <c r="C74" s="11">
        <v>39.661999999966696</v>
      </c>
      <c r="D74" s="11">
        <v>47.099000000174605</v>
      </c>
      <c r="E74" s="11">
        <v>50.147000001118549</v>
      </c>
      <c r="F74" s="11">
        <v>53.659000000692551</v>
      </c>
      <c r="G74" s="11"/>
    </row>
    <row r="75" spans="1:7" x14ac:dyDescent="0.2">
      <c r="A75" t="str">
        <f>name!A74</f>
        <v>Gambling and betting</v>
      </c>
      <c r="B75" s="11">
        <v>25.391000000029468</v>
      </c>
      <c r="C75" s="11">
        <v>22.269999999987437</v>
      </c>
      <c r="D75" s="11">
        <v>21.520000000076447</v>
      </c>
      <c r="E75" s="11">
        <v>25.26800000030336</v>
      </c>
      <c r="F75" s="11">
        <v>29.238000000286938</v>
      </c>
      <c r="G75" s="11"/>
    </row>
    <row r="76" spans="1:7" x14ac:dyDescent="0.2">
      <c r="A76" t="str">
        <f>name!A75</f>
        <v>Sport and recreation</v>
      </c>
      <c r="B76" s="11">
        <v>69.203000000148535</v>
      </c>
      <c r="C76" s="11">
        <v>65.408999999977439</v>
      </c>
      <c r="D76" s="11">
        <v>61.829000000121368</v>
      </c>
      <c r="E76" s="11">
        <v>72.213000000802566</v>
      </c>
      <c r="F76" s="11">
        <v>82.680000000671384</v>
      </c>
      <c r="G76" s="11"/>
    </row>
    <row r="77" spans="1:7" x14ac:dyDescent="0.2">
      <c r="A77" t="str">
        <f>name!A76</f>
        <v>Membership organisations</v>
      </c>
      <c r="B77" s="11">
        <v>84.038999998728855</v>
      </c>
      <c r="C77" s="11">
        <v>84.546999998969554</v>
      </c>
      <c r="D77" s="11">
        <v>77.863000000600806</v>
      </c>
      <c r="E77" s="11">
        <v>87.137000001432867</v>
      </c>
      <c r="F77" s="11">
        <v>92.203000000885496</v>
      </c>
      <c r="G77" s="11"/>
    </row>
    <row r="78" spans="1:7" x14ac:dyDescent="0.2">
      <c r="A78" t="str">
        <f>name!A77</f>
        <v>Repair of goods</v>
      </c>
      <c r="B78" s="11">
        <v>5.756000000005522</v>
      </c>
      <c r="C78" s="11">
        <v>9.163000000058295</v>
      </c>
      <c r="D78" s="11">
        <v>10.598000000040788</v>
      </c>
      <c r="E78" s="11">
        <v>12.209000000194456</v>
      </c>
      <c r="F78" s="11">
        <v>13.201000000022407</v>
      </c>
      <c r="G78" s="11"/>
    </row>
    <row r="79" spans="1:7" x14ac:dyDescent="0.2">
      <c r="A79" t="str">
        <f>name!A78</f>
        <v>Other personal service</v>
      </c>
      <c r="B79" s="11">
        <v>61.714000000583816</v>
      </c>
      <c r="C79" s="11">
        <v>73.880000000608106</v>
      </c>
      <c r="D79" s="11">
        <v>71.613999999846072</v>
      </c>
      <c r="E79" s="11">
        <v>80.458000000440649</v>
      </c>
      <c r="F79" s="11">
        <v>85.361999999979687</v>
      </c>
      <c r="G79" s="11"/>
    </row>
    <row r="80" spans="1:7" x14ac:dyDescent="0.2">
      <c r="B80" s="11"/>
      <c r="C80" s="11"/>
      <c r="D80" s="11"/>
      <c r="E80" s="11"/>
      <c r="F80" s="11"/>
      <c r="G80" s="11"/>
    </row>
    <row r="81" spans="1:7" x14ac:dyDescent="0.2">
      <c r="A81" s="23" t="str">
        <f>name!A3</f>
        <v>All industries</v>
      </c>
      <c r="B81" s="33">
        <f>SUM(B5:B79)</f>
        <v>5573.5560000041041</v>
      </c>
      <c r="C81" s="33">
        <f t="shared" ref="C81:F81" si="0">SUM(C5:C79)</f>
        <v>5970.1169999982631</v>
      </c>
      <c r="D81" s="33">
        <f t="shared" si="0"/>
        <v>5937.3810000053327</v>
      </c>
      <c r="E81" s="33">
        <f t="shared" si="0"/>
        <v>6179.2980000107036</v>
      </c>
      <c r="F81" s="33">
        <f t="shared" si="0"/>
        <v>6480.7350000074621</v>
      </c>
      <c r="G81" s="11"/>
    </row>
    <row r="82" spans="1:7" x14ac:dyDescent="0.2">
      <c r="B82" s="11"/>
      <c r="C82" s="11"/>
      <c r="D82" s="11"/>
      <c r="E82" s="11"/>
      <c r="F82" s="11"/>
      <c r="G82" s="11"/>
    </row>
    <row r="83" spans="1:7" x14ac:dyDescent="0.2">
      <c r="B83" s="11"/>
      <c r="C83" s="11"/>
      <c r="D83" s="11"/>
      <c r="E83" s="11"/>
      <c r="F83" s="11"/>
      <c r="G83" s="11"/>
    </row>
    <row r="84" spans="1:7" x14ac:dyDescent="0.2">
      <c r="B84" s="11"/>
      <c r="C84" s="11"/>
      <c r="D84" s="11"/>
      <c r="E84" s="11"/>
      <c r="F84" s="11"/>
      <c r="G84" s="11"/>
    </row>
    <row r="85" spans="1:7" ht="15.75" x14ac:dyDescent="0.25">
      <c r="A85" s="18" t="str">
        <f>CONCATENATE($A$1," (Continued)")</f>
        <v>Industry Table 3  Employment by Industry (SIC 2007), 2015-2035, London (Continued)</v>
      </c>
      <c r="B85" s="17"/>
      <c r="C85" s="17"/>
      <c r="D85" s="17"/>
      <c r="E85" s="17"/>
      <c r="F85" s="17"/>
      <c r="G85" s="11"/>
    </row>
    <row r="87" spans="1:7" x14ac:dyDescent="0.2">
      <c r="A87" s="35"/>
      <c r="B87" s="22">
        <f>B$3</f>
        <v>2015</v>
      </c>
      <c r="C87" s="22">
        <f>C$3</f>
        <v>2019</v>
      </c>
      <c r="D87" s="22">
        <f>D$3</f>
        <v>2020</v>
      </c>
      <c r="E87" s="22">
        <f>E$3</f>
        <v>2025</v>
      </c>
      <c r="F87" s="22">
        <f>F$3</f>
        <v>2035</v>
      </c>
      <c r="G87" s="11"/>
    </row>
    <row r="88" spans="1:7" x14ac:dyDescent="0.2">
      <c r="A88" s="27" t="s">
        <v>463</v>
      </c>
    </row>
    <row r="89" spans="1:7" x14ac:dyDescent="0.2">
      <c r="A89" t="str">
        <f>$A$5</f>
        <v>Agriculture, etc</v>
      </c>
      <c r="B89" s="17">
        <f t="shared" ref="B89:F98" si="1">B5/B$81*100</f>
        <v>3.0429406288877268E-2</v>
      </c>
      <c r="C89" s="17">
        <f t="shared" si="1"/>
        <v>7.6263162011773827E-2</v>
      </c>
      <c r="D89" s="17">
        <f t="shared" si="1"/>
        <v>1.7431928319935508E-2</v>
      </c>
      <c r="E89" s="17">
        <f t="shared" si="1"/>
        <v>1.7332065875693879E-2</v>
      </c>
      <c r="F89" s="17">
        <f t="shared" si="1"/>
        <v>1.6988813768855908E-2</v>
      </c>
    </row>
    <row r="90" spans="1:7" x14ac:dyDescent="0.2">
      <c r="A90" t="str">
        <f>$A$6</f>
        <v>Coal, oil &amp; gas; Mining &amp; related</v>
      </c>
      <c r="B90" s="17">
        <f t="shared" si="1"/>
        <v>7.6468236794826894E-2</v>
      </c>
      <c r="C90" s="17">
        <f t="shared" si="1"/>
        <v>3.7570452974023817E-2</v>
      </c>
      <c r="D90" s="17">
        <f t="shared" si="1"/>
        <v>4.5525122945769353E-2</v>
      </c>
      <c r="E90" s="17">
        <f t="shared" si="1"/>
        <v>3.5538017425602308E-2</v>
      </c>
      <c r="F90" s="17">
        <f t="shared" si="1"/>
        <v>2.5367493039205026E-2</v>
      </c>
    </row>
    <row r="91" spans="1:7" x14ac:dyDescent="0.2">
      <c r="A91" t="str">
        <f>$A$7</f>
        <v>Food products</v>
      </c>
      <c r="B91" s="17">
        <f t="shared" si="1"/>
        <v>0.48500454647799351</v>
      </c>
      <c r="C91" s="17">
        <f t="shared" si="1"/>
        <v>0.63739119351472406</v>
      </c>
      <c r="D91" s="17">
        <f t="shared" si="1"/>
        <v>0.65503628618988852</v>
      </c>
      <c r="E91" s="17">
        <f t="shared" si="1"/>
        <v>0.63963576444700054</v>
      </c>
      <c r="F91" s="17">
        <f t="shared" si="1"/>
        <v>0.59818832276410738</v>
      </c>
    </row>
    <row r="92" spans="1:7" x14ac:dyDescent="0.2">
      <c r="A92" t="str">
        <f>$A$8</f>
        <v>Beverages and tobacco</v>
      </c>
      <c r="B92" s="17">
        <f t="shared" si="1"/>
        <v>2.6177183830570324E-2</v>
      </c>
      <c r="C92" s="17">
        <f t="shared" si="1"/>
        <v>8.5190960245082575E-2</v>
      </c>
      <c r="D92" s="17">
        <f t="shared" si="1"/>
        <v>9.6557724692604111E-2</v>
      </c>
      <c r="E92" s="17">
        <f t="shared" si="1"/>
        <v>9.3311570342566985E-2</v>
      </c>
      <c r="F92" s="17">
        <f t="shared" si="1"/>
        <v>8.6749419624563714E-2</v>
      </c>
    </row>
    <row r="93" spans="1:7" x14ac:dyDescent="0.2">
      <c r="A93" t="str">
        <f>$A$9</f>
        <v>Textiles</v>
      </c>
      <c r="B93" s="17">
        <f t="shared" si="1"/>
        <v>4.8048319601178967E-2</v>
      </c>
      <c r="C93" s="17">
        <f t="shared" si="1"/>
        <v>5.5459549620512458E-2</v>
      </c>
      <c r="D93" s="17">
        <f t="shared" si="1"/>
        <v>7.5841520022695189E-2</v>
      </c>
      <c r="E93" s="17">
        <f t="shared" si="1"/>
        <v>6.434387854422742E-2</v>
      </c>
      <c r="F93" s="17">
        <f t="shared" si="1"/>
        <v>5.2247160236946449E-2</v>
      </c>
    </row>
    <row r="94" spans="1:7" x14ac:dyDescent="0.2">
      <c r="A94" t="str">
        <f>$A$10</f>
        <v>Wearing apparel; Leather, etc</v>
      </c>
      <c r="B94" s="17">
        <f t="shared" si="1"/>
        <v>0.27388259847395807</v>
      </c>
      <c r="C94" s="17">
        <f t="shared" si="1"/>
        <v>8.0149183006509389E-2</v>
      </c>
      <c r="D94" s="17">
        <f t="shared" si="1"/>
        <v>0.11575810950844681</v>
      </c>
      <c r="E94" s="17">
        <f t="shared" si="1"/>
        <v>9.8328321437247984E-2</v>
      </c>
      <c r="F94" s="17">
        <f t="shared" si="1"/>
        <v>8.100932995979622E-2</v>
      </c>
    </row>
    <row r="95" spans="1:7" x14ac:dyDescent="0.2">
      <c r="A95" t="str">
        <f>$A$11</f>
        <v xml:space="preserve">Wood and cork </v>
      </c>
      <c r="B95" s="17">
        <f t="shared" si="1"/>
        <v>3.6906420246122895E-2</v>
      </c>
      <c r="C95" s="17">
        <f t="shared" si="1"/>
        <v>6.5476103735436761E-2</v>
      </c>
      <c r="D95" s="17">
        <f t="shared" si="1"/>
        <v>7.8047880031823447E-2</v>
      </c>
      <c r="E95" s="17">
        <f t="shared" si="1"/>
        <v>8.2776393044243918E-2</v>
      </c>
      <c r="F95" s="17">
        <f t="shared" si="1"/>
        <v>8.1935150871894763E-2</v>
      </c>
    </row>
    <row r="96" spans="1:7" x14ac:dyDescent="0.2">
      <c r="A96" t="str">
        <f>$A$12</f>
        <v>Paper, etc</v>
      </c>
      <c r="B96" s="17">
        <f t="shared" si="1"/>
        <v>9.5988987999752612E-3</v>
      </c>
      <c r="C96" s="17">
        <f t="shared" si="1"/>
        <v>5.7117808578738358E-3</v>
      </c>
      <c r="D96" s="17">
        <f t="shared" si="1"/>
        <v>5.1369450604609257E-3</v>
      </c>
      <c r="E96" s="17">
        <f t="shared" si="1"/>
        <v>5.5831584753487885E-3</v>
      </c>
      <c r="F96" s="17">
        <f t="shared" si="1"/>
        <v>5.6475075744133541E-3</v>
      </c>
    </row>
    <row r="97" spans="1:6" x14ac:dyDescent="0.2">
      <c r="A97" t="str">
        <f>$A$13</f>
        <v>Printing and recording</v>
      </c>
      <c r="B97" s="17">
        <f t="shared" si="1"/>
        <v>0.29333158220587097</v>
      </c>
      <c r="C97" s="17">
        <f t="shared" si="1"/>
        <v>0.18957752419163199</v>
      </c>
      <c r="D97" s="17">
        <f t="shared" si="1"/>
        <v>0.19171752663400088</v>
      </c>
      <c r="E97" s="17">
        <f t="shared" si="1"/>
        <v>0.16817444311910601</v>
      </c>
      <c r="F97" s="17">
        <f t="shared" si="1"/>
        <v>0.12955320654363037</v>
      </c>
    </row>
    <row r="98" spans="1:6" x14ac:dyDescent="0.2">
      <c r="A98" t="str">
        <f>$A$14</f>
        <v>Coke and petroleum; Chemicals, etc</v>
      </c>
      <c r="B98" s="17">
        <f t="shared" si="1"/>
        <v>5.0255169231320521E-2</v>
      </c>
      <c r="C98" s="17">
        <f t="shared" si="1"/>
        <v>4.4638991162232827E-2</v>
      </c>
      <c r="D98" s="17">
        <f t="shared" si="1"/>
        <v>4.9179933037582266E-2</v>
      </c>
      <c r="E98" s="17">
        <f t="shared" si="1"/>
        <v>4.0506219315087535E-2</v>
      </c>
      <c r="F98" s="17">
        <f t="shared" si="1"/>
        <v>3.092241852188286E-2</v>
      </c>
    </row>
    <row r="99" spans="1:6" x14ac:dyDescent="0.2">
      <c r="A99" t="str">
        <f>$A$15</f>
        <v>Pharmaceuticals</v>
      </c>
      <c r="B99" s="17">
        <f t="shared" ref="B99:F108" si="2">B15/B$81*100</f>
        <v>3.8413537066678917E-2</v>
      </c>
      <c r="C99" s="17">
        <f t="shared" si="2"/>
        <v>3.0217163248068772E-2</v>
      </c>
      <c r="D99" s="17">
        <f t="shared" si="2"/>
        <v>3.6649155578995118E-2</v>
      </c>
      <c r="E99" s="17">
        <f t="shared" si="2"/>
        <v>3.3094374150985331E-2</v>
      </c>
      <c r="F99" s="17">
        <f t="shared" si="2"/>
        <v>2.6663642318534922E-2</v>
      </c>
    </row>
    <row r="100" spans="1:6" x14ac:dyDescent="0.2">
      <c r="A100" t="str">
        <f>$A$16</f>
        <v>Rubber and plastic</v>
      </c>
      <c r="B100" s="17">
        <f t="shared" si="2"/>
        <v>0.13865474752718684</v>
      </c>
      <c r="C100" s="17">
        <f t="shared" si="2"/>
        <v>0.10632957444606794</v>
      </c>
      <c r="D100" s="17">
        <f t="shared" si="2"/>
        <v>0.12166980693893163</v>
      </c>
      <c r="E100" s="17">
        <f t="shared" si="2"/>
        <v>0.12247345895936332</v>
      </c>
      <c r="F100" s="17">
        <f t="shared" si="2"/>
        <v>0.10650026578688315</v>
      </c>
    </row>
    <row r="101" spans="1:6" x14ac:dyDescent="0.2">
      <c r="A101" t="str">
        <f>$A$17</f>
        <v>Other non-metallic</v>
      </c>
      <c r="B101" s="17">
        <f t="shared" si="2"/>
        <v>5.7916346404424307E-2</v>
      </c>
      <c r="C101" s="17">
        <f t="shared" si="2"/>
        <v>8.0467434725717962E-2</v>
      </c>
      <c r="D101" s="17">
        <f t="shared" si="2"/>
        <v>8.286481867951806E-2</v>
      </c>
      <c r="E101" s="17">
        <f t="shared" si="2"/>
        <v>8.4588896667446845E-2</v>
      </c>
      <c r="F101" s="17">
        <f t="shared" si="2"/>
        <v>7.4744608442819549E-2</v>
      </c>
    </row>
    <row r="102" spans="1:6" x14ac:dyDescent="0.2">
      <c r="A102" t="str">
        <f>$A$18</f>
        <v>Basic metals</v>
      </c>
      <c r="B102" s="17">
        <f t="shared" si="2"/>
        <v>1.0298631609796461E-2</v>
      </c>
      <c r="C102" s="17">
        <f t="shared" si="2"/>
        <v>1.3936075289794169E-2</v>
      </c>
      <c r="D102" s="17">
        <f t="shared" si="2"/>
        <v>1.1890764631591446E-2</v>
      </c>
      <c r="E102" s="17">
        <f t="shared" si="2"/>
        <v>1.1101584678288399E-2</v>
      </c>
      <c r="F102" s="17">
        <f t="shared" si="2"/>
        <v>9.4279429723978809E-3</v>
      </c>
    </row>
    <row r="103" spans="1:6" x14ac:dyDescent="0.2">
      <c r="A103" t="str">
        <f>$A$19</f>
        <v>Metal products</v>
      </c>
      <c r="B103" s="17">
        <f t="shared" si="2"/>
        <v>0.16786410686561432</v>
      </c>
      <c r="C103" s="17">
        <f t="shared" si="2"/>
        <v>0.17279393352028982</v>
      </c>
      <c r="D103" s="17">
        <f t="shared" si="2"/>
        <v>0.163068531393011</v>
      </c>
      <c r="E103" s="17">
        <f t="shared" si="2"/>
        <v>0.15118222166921721</v>
      </c>
      <c r="F103" s="17">
        <f t="shared" si="2"/>
        <v>0.12635912438884872</v>
      </c>
    </row>
    <row r="104" spans="1:6" x14ac:dyDescent="0.2">
      <c r="A104" t="str">
        <f>$A$20</f>
        <v>Computer, etc</v>
      </c>
      <c r="B104" s="17">
        <f t="shared" si="2"/>
        <v>6.2025033927844794E-2</v>
      </c>
      <c r="C104" s="17">
        <f t="shared" si="2"/>
        <v>0.12823869280953831</v>
      </c>
      <c r="D104" s="17">
        <f t="shared" si="2"/>
        <v>0.13864698930356203</v>
      </c>
      <c r="E104" s="17">
        <f t="shared" si="2"/>
        <v>0.18168730493354565</v>
      </c>
      <c r="F104" s="17">
        <f t="shared" si="2"/>
        <v>0.19801766311972505</v>
      </c>
    </row>
    <row r="105" spans="1:6" x14ac:dyDescent="0.2">
      <c r="A105" t="str">
        <f>$A$21</f>
        <v>Electrical equipment</v>
      </c>
      <c r="B105" s="17">
        <f t="shared" si="2"/>
        <v>3.3174511927418243E-2</v>
      </c>
      <c r="C105" s="17">
        <f t="shared" si="2"/>
        <v>5.5576800253764956E-2</v>
      </c>
      <c r="D105" s="17">
        <f t="shared" si="2"/>
        <v>5.0493643577697742E-2</v>
      </c>
      <c r="E105" s="17">
        <f t="shared" si="2"/>
        <v>5.0928115135314429E-2</v>
      </c>
      <c r="F105" s="17">
        <f t="shared" si="2"/>
        <v>4.5596680005975838E-2</v>
      </c>
    </row>
    <row r="106" spans="1:6" x14ac:dyDescent="0.2">
      <c r="A106" t="str">
        <f>$A$22</f>
        <v>Machinery n.e.c.</v>
      </c>
      <c r="B106" s="17">
        <f t="shared" si="2"/>
        <v>7.9751598441014995E-2</v>
      </c>
      <c r="C106" s="17">
        <f t="shared" si="2"/>
        <v>4.1288973063811782E-2</v>
      </c>
      <c r="D106" s="17">
        <f t="shared" si="2"/>
        <v>4.1988209952887379E-2</v>
      </c>
      <c r="E106" s="17">
        <f t="shared" si="2"/>
        <v>4.7885698342874525E-2</v>
      </c>
      <c r="F106" s="17">
        <f t="shared" si="2"/>
        <v>4.1769953562143948E-2</v>
      </c>
    </row>
    <row r="107" spans="1:6" x14ac:dyDescent="0.2">
      <c r="A107" t="str">
        <f>$A$23</f>
        <v>Motor vehicles, etc</v>
      </c>
      <c r="B107" s="17">
        <f t="shared" si="2"/>
        <v>7.2072479401639758E-2</v>
      </c>
      <c r="C107" s="17">
        <f t="shared" si="2"/>
        <v>6.0367326135045821E-2</v>
      </c>
      <c r="D107" s="17">
        <f t="shared" si="2"/>
        <v>5.9403295829583362E-2</v>
      </c>
      <c r="E107" s="17">
        <f t="shared" si="2"/>
        <v>4.8031345955055364E-2</v>
      </c>
      <c r="F107" s="17">
        <f t="shared" si="2"/>
        <v>3.3036376274833953E-2</v>
      </c>
    </row>
    <row r="108" spans="1:6" x14ac:dyDescent="0.2">
      <c r="A108" t="str">
        <f>$A$24</f>
        <v>Other transport equipment</v>
      </c>
      <c r="B108" s="17">
        <f t="shared" si="2"/>
        <v>1.6291215159621387E-2</v>
      </c>
      <c r="C108" s="17">
        <f t="shared" si="2"/>
        <v>2.9480159266716873E-2</v>
      </c>
      <c r="D108" s="17">
        <f t="shared" si="2"/>
        <v>3.392067984135555E-2</v>
      </c>
      <c r="E108" s="17">
        <f t="shared" si="2"/>
        <v>2.6410767047859107E-2</v>
      </c>
      <c r="F108" s="17">
        <f t="shared" si="2"/>
        <v>1.902561977897118E-2</v>
      </c>
    </row>
    <row r="109" spans="1:6" x14ac:dyDescent="0.2">
      <c r="A109" t="str">
        <f>$A$25</f>
        <v>Furniture</v>
      </c>
      <c r="B109" s="17">
        <f t="shared" ref="B109:F118" si="3">B25/B$81*100</f>
        <v>8.658744973637196E-2</v>
      </c>
      <c r="C109" s="17">
        <f t="shared" si="3"/>
        <v>6.8491120023901925E-2</v>
      </c>
      <c r="D109" s="17">
        <f t="shared" si="3"/>
        <v>6.6527649143106105E-2</v>
      </c>
      <c r="E109" s="17">
        <f t="shared" si="3"/>
        <v>5.3339392273716126E-2</v>
      </c>
      <c r="F109" s="17">
        <f t="shared" si="3"/>
        <v>4.2834647612917158E-2</v>
      </c>
    </row>
    <row r="110" spans="1:6" x14ac:dyDescent="0.2">
      <c r="A110" t="str">
        <f>$A$26</f>
        <v>Other manufacturing</v>
      </c>
      <c r="B110" s="17">
        <f t="shared" si="3"/>
        <v>0.11262109863104444</v>
      </c>
      <c r="C110" s="17">
        <f t="shared" si="3"/>
        <v>0.13755174312331536</v>
      </c>
      <c r="D110" s="17">
        <f t="shared" si="3"/>
        <v>0.16399486574888505</v>
      </c>
      <c r="E110" s="17">
        <f t="shared" si="3"/>
        <v>0.13003095173650073</v>
      </c>
      <c r="F110" s="17">
        <f t="shared" si="3"/>
        <v>0.10366108165184044</v>
      </c>
    </row>
    <row r="111" spans="1:6" x14ac:dyDescent="0.2">
      <c r="A111" t="str">
        <f>$A$27</f>
        <v>Repair and installation</v>
      </c>
      <c r="B111" s="17">
        <f t="shared" si="3"/>
        <v>0.12519834733926488</v>
      </c>
      <c r="C111" s="17">
        <f t="shared" si="3"/>
        <v>0.17679720514792877</v>
      </c>
      <c r="D111" s="17">
        <f t="shared" si="3"/>
        <v>0.22567189135958232</v>
      </c>
      <c r="E111" s="17">
        <f t="shared" si="3"/>
        <v>0.18332179480510719</v>
      </c>
      <c r="F111" s="17">
        <f t="shared" si="3"/>
        <v>0.15450408016963452</v>
      </c>
    </row>
    <row r="112" spans="1:6" x14ac:dyDescent="0.2">
      <c r="A112" t="str">
        <f>$A$28</f>
        <v>Electricity, gas, etc</v>
      </c>
      <c r="B112" s="17">
        <f t="shared" si="3"/>
        <v>0.18467563616379271</v>
      </c>
      <c r="C112" s="17">
        <f t="shared" si="3"/>
        <v>0.25485262684068888</v>
      </c>
      <c r="D112" s="17">
        <f t="shared" si="3"/>
        <v>0.20923366716711225</v>
      </c>
      <c r="E112" s="17">
        <f t="shared" si="3"/>
        <v>0.19772472536618257</v>
      </c>
      <c r="F112" s="17">
        <f t="shared" si="3"/>
        <v>0.19209240927212134</v>
      </c>
    </row>
    <row r="113" spans="1:6" x14ac:dyDescent="0.2">
      <c r="A113" t="str">
        <f>$A$29</f>
        <v>Water</v>
      </c>
      <c r="B113" s="17">
        <f t="shared" si="3"/>
        <v>1.5340296212985122E-2</v>
      </c>
      <c r="C113" s="17">
        <f t="shared" si="3"/>
        <v>9.2628000422273794E-3</v>
      </c>
      <c r="D113" s="17">
        <f t="shared" si="3"/>
        <v>1.0341259892174708E-2</v>
      </c>
      <c r="E113" s="17">
        <f t="shared" si="3"/>
        <v>1.0761740249452893E-2</v>
      </c>
      <c r="F113" s="17">
        <f t="shared" si="3"/>
        <v>1.1680773862830911E-2</v>
      </c>
    </row>
    <row r="114" spans="1:6" x14ac:dyDescent="0.2">
      <c r="A114" t="str">
        <f>$A$30</f>
        <v>Sewerage</v>
      </c>
      <c r="B114" s="17">
        <f t="shared" si="3"/>
        <v>6.5003383837232892E-2</v>
      </c>
      <c r="C114" s="17">
        <f t="shared" si="3"/>
        <v>2.780515021769249E-2</v>
      </c>
      <c r="D114" s="17">
        <f t="shared" si="3"/>
        <v>2.8547940581519816E-2</v>
      </c>
      <c r="E114" s="17">
        <f t="shared" si="3"/>
        <v>2.9922492813484185E-2</v>
      </c>
      <c r="F114" s="17">
        <f t="shared" si="3"/>
        <v>3.2959224531584529E-2</v>
      </c>
    </row>
    <row r="115" spans="1:6" x14ac:dyDescent="0.2">
      <c r="A115" t="str">
        <f>$A$31</f>
        <v>Waste management</v>
      </c>
      <c r="B115" s="17">
        <f t="shared" si="3"/>
        <v>0.20390931750070013</v>
      </c>
      <c r="C115" s="17">
        <f t="shared" si="3"/>
        <v>0.24652783186943394</v>
      </c>
      <c r="D115" s="17">
        <f t="shared" si="3"/>
        <v>0.24266591616427455</v>
      </c>
      <c r="E115" s="17">
        <f t="shared" si="3"/>
        <v>0.25379905613527759</v>
      </c>
      <c r="F115" s="17">
        <f t="shared" si="3"/>
        <v>0.27782342588705633</v>
      </c>
    </row>
    <row r="116" spans="1:6" x14ac:dyDescent="0.2">
      <c r="A116" t="str">
        <f>$A$32</f>
        <v>Construction</v>
      </c>
      <c r="B116" s="17">
        <f t="shared" si="3"/>
        <v>2.0201106797920452</v>
      </c>
      <c r="C116" s="17">
        <f t="shared" si="3"/>
        <v>2.3597192484334397</v>
      </c>
      <c r="D116" s="17">
        <f t="shared" si="3"/>
        <v>2.2194129026927922</v>
      </c>
      <c r="E116" s="17">
        <f t="shared" si="3"/>
        <v>2.3674533902283943</v>
      </c>
      <c r="F116" s="17">
        <f t="shared" si="3"/>
        <v>2.5936564292796294</v>
      </c>
    </row>
    <row r="117" spans="1:6" x14ac:dyDescent="0.2">
      <c r="A117" t="str">
        <f>$A$33</f>
        <v>Civil engineering</v>
      </c>
      <c r="B117" s="17">
        <f t="shared" si="3"/>
        <v>0.94532108406277116</v>
      </c>
      <c r="C117" s="17">
        <f t="shared" si="3"/>
        <v>0.6170398335732532</v>
      </c>
      <c r="D117" s="17">
        <f t="shared" si="3"/>
        <v>0.57279463788531082</v>
      </c>
      <c r="E117" s="17">
        <f t="shared" si="3"/>
        <v>0.61052242500400367</v>
      </c>
      <c r="F117" s="17">
        <f t="shared" si="3"/>
        <v>0.66635960269249206</v>
      </c>
    </row>
    <row r="118" spans="1:6" x14ac:dyDescent="0.2">
      <c r="A118" t="str">
        <f>$A$34</f>
        <v>Specialised construction</v>
      </c>
      <c r="B118" s="17">
        <f t="shared" si="3"/>
        <v>2.2275545450719187</v>
      </c>
      <c r="C118" s="17">
        <f t="shared" si="3"/>
        <v>2.3784960998830225</v>
      </c>
      <c r="D118" s="17">
        <f t="shared" si="3"/>
        <v>2.2235224587344757</v>
      </c>
      <c r="E118" s="17">
        <f t="shared" si="3"/>
        <v>2.3728423518664785</v>
      </c>
      <c r="F118" s="17">
        <f t="shared" si="3"/>
        <v>2.5979923572083021</v>
      </c>
    </row>
    <row r="119" spans="1:6" x14ac:dyDescent="0.2">
      <c r="A119" t="str">
        <f>$A$35</f>
        <v>Motor vehicle trade</v>
      </c>
      <c r="B119" s="17">
        <f t="shared" ref="B119:F128" si="4">B35/B$81*100</f>
        <v>0.78276776982278506</v>
      </c>
      <c r="C119" s="17">
        <f t="shared" si="4"/>
        <v>0.88820704855621224</v>
      </c>
      <c r="D119" s="17">
        <f t="shared" si="4"/>
        <v>0.85264866780725601</v>
      </c>
      <c r="E119" s="17">
        <f t="shared" si="4"/>
        <v>0.7980032683215319</v>
      </c>
      <c r="F119" s="17">
        <f t="shared" si="4"/>
        <v>0.76492866934451653</v>
      </c>
    </row>
    <row r="120" spans="1:6" x14ac:dyDescent="0.2">
      <c r="A120" t="str">
        <f>$A$36</f>
        <v>Wholesale trade</v>
      </c>
      <c r="B120" s="17">
        <f t="shared" si="4"/>
        <v>2.7431499746791377</v>
      </c>
      <c r="C120" s="17">
        <f t="shared" si="4"/>
        <v>2.8367283254600357</v>
      </c>
      <c r="D120" s="17">
        <f t="shared" si="4"/>
        <v>2.8529413894319378</v>
      </c>
      <c r="E120" s="17">
        <f t="shared" si="4"/>
        <v>2.693833506638859</v>
      </c>
      <c r="F120" s="17">
        <f t="shared" si="4"/>
        <v>2.5637524138540346</v>
      </c>
    </row>
    <row r="121" spans="1:6" x14ac:dyDescent="0.2">
      <c r="A121" t="str">
        <f>$A$37</f>
        <v>Retail trade</v>
      </c>
      <c r="B121" s="17">
        <f t="shared" si="4"/>
        <v>8.4223967609770973</v>
      </c>
      <c r="C121" s="17">
        <f t="shared" si="4"/>
        <v>6.96894214987997</v>
      </c>
      <c r="D121" s="17">
        <f t="shared" si="4"/>
        <v>7.0515265905391322</v>
      </c>
      <c r="E121" s="17">
        <f t="shared" si="4"/>
        <v>6.7349559772303751</v>
      </c>
      <c r="F121" s="17">
        <f t="shared" si="4"/>
        <v>6.4236849677519583</v>
      </c>
    </row>
    <row r="122" spans="1:6" x14ac:dyDescent="0.2">
      <c r="A122" t="str">
        <f>$A$38</f>
        <v>Land transport, etc</v>
      </c>
      <c r="B122" s="17">
        <f t="shared" si="4"/>
        <v>2.5602685252238184</v>
      </c>
      <c r="C122" s="17">
        <f t="shared" si="4"/>
        <v>2.7909838282736179</v>
      </c>
      <c r="D122" s="17">
        <f t="shared" si="4"/>
        <v>2.5928772298352061</v>
      </c>
      <c r="E122" s="17">
        <f t="shared" si="4"/>
        <v>2.9572453052124672</v>
      </c>
      <c r="F122" s="17">
        <f t="shared" si="4"/>
        <v>2.8584720714334377</v>
      </c>
    </row>
    <row r="123" spans="1:6" x14ac:dyDescent="0.2">
      <c r="A123" t="str">
        <f>$A$39</f>
        <v>Water transport</v>
      </c>
      <c r="B123" s="17">
        <f t="shared" si="4"/>
        <v>0.10612614280776402</v>
      </c>
      <c r="C123" s="17">
        <f t="shared" si="4"/>
        <v>7.5961660383395357E-2</v>
      </c>
      <c r="D123" s="17">
        <f t="shared" si="4"/>
        <v>8.1012149969463279E-2</v>
      </c>
      <c r="E123" s="17">
        <f t="shared" si="4"/>
        <v>6.5363411831278959E-2</v>
      </c>
      <c r="F123" s="17">
        <f t="shared" si="4"/>
        <v>5.8789628028380864E-2</v>
      </c>
    </row>
    <row r="124" spans="1:6" x14ac:dyDescent="0.2">
      <c r="A124" t="str">
        <f>$A$40</f>
        <v>Air transport</v>
      </c>
      <c r="B124" s="17">
        <f t="shared" si="4"/>
        <v>0.70802195224096598</v>
      </c>
      <c r="C124" s="17">
        <f t="shared" si="4"/>
        <v>0.64769249916440907</v>
      </c>
      <c r="D124" s="17">
        <f t="shared" si="4"/>
        <v>0.63805910383220554</v>
      </c>
      <c r="E124" s="17">
        <f t="shared" si="4"/>
        <v>0.55681082219789646</v>
      </c>
      <c r="F124" s="17">
        <f t="shared" si="4"/>
        <v>0.51131546035678488</v>
      </c>
    </row>
    <row r="125" spans="1:6" x14ac:dyDescent="0.2">
      <c r="A125" t="str">
        <f>$A$41</f>
        <v>Warehousing, etc</v>
      </c>
      <c r="B125" s="17">
        <f t="shared" si="4"/>
        <v>1.1384652814332665</v>
      </c>
      <c r="C125" s="17">
        <f t="shared" si="4"/>
        <v>1.1116030054517512</v>
      </c>
      <c r="D125" s="17">
        <f t="shared" si="4"/>
        <v>1.2340289430451274</v>
      </c>
      <c r="E125" s="17">
        <f t="shared" si="4"/>
        <v>1.1894716843116671</v>
      </c>
      <c r="F125" s="17">
        <f t="shared" si="4"/>
        <v>1.1258753829445542</v>
      </c>
    </row>
    <row r="126" spans="1:6" x14ac:dyDescent="0.2">
      <c r="A126" t="str">
        <f>$A$42</f>
        <v>Postal and courier</v>
      </c>
      <c r="B126" s="17">
        <f t="shared" si="4"/>
        <v>0.63268405307046094</v>
      </c>
      <c r="C126" s="17">
        <f t="shared" si="4"/>
        <v>0.75130855895866022</v>
      </c>
      <c r="D126" s="17">
        <f t="shared" si="4"/>
        <v>0.84031999965759141</v>
      </c>
      <c r="E126" s="17">
        <f t="shared" si="4"/>
        <v>0.81425106863582675</v>
      </c>
      <c r="F126" s="17">
        <f t="shared" si="4"/>
        <v>0.77505097799085565</v>
      </c>
    </row>
    <row r="127" spans="1:6" x14ac:dyDescent="0.2">
      <c r="A127" t="str">
        <f>$A$43</f>
        <v>Accommodation</v>
      </c>
      <c r="B127" s="17">
        <f t="shared" si="4"/>
        <v>1.1326162328191185</v>
      </c>
      <c r="C127" s="17">
        <f t="shared" si="4"/>
        <v>1.5591151731436808</v>
      </c>
      <c r="D127" s="17">
        <f t="shared" si="4"/>
        <v>1.3018871451698955</v>
      </c>
      <c r="E127" s="17">
        <f t="shared" si="4"/>
        <v>1.455327126152677</v>
      </c>
      <c r="F127" s="17">
        <f t="shared" si="4"/>
        <v>1.5005242460779742</v>
      </c>
    </row>
    <row r="128" spans="1:6" x14ac:dyDescent="0.2">
      <c r="A128" t="str">
        <f>$A$44</f>
        <v>Food and beverage services</v>
      </c>
      <c r="B128" s="17">
        <f t="shared" si="4"/>
        <v>5.5114365049547729</v>
      </c>
      <c r="C128" s="17">
        <f t="shared" si="4"/>
        <v>6.1255750935477149</v>
      </c>
      <c r="D128" s="17">
        <f t="shared" si="4"/>
        <v>5.9064931153221467</v>
      </c>
      <c r="E128" s="17">
        <f t="shared" si="4"/>
        <v>5.9092472963717366</v>
      </c>
      <c r="F128" s="17">
        <f t="shared" si="4"/>
        <v>6.7292984514289129</v>
      </c>
    </row>
    <row r="129" spans="1:6" x14ac:dyDescent="0.2">
      <c r="A129" t="str">
        <f>$A$45</f>
        <v>Publishing activities</v>
      </c>
      <c r="B129" s="17">
        <f t="shared" ref="B129:F129" si="5">B45/B$81*100</f>
        <v>1.2081156087682268</v>
      </c>
      <c r="C129" s="17">
        <f t="shared" si="5"/>
        <v>1.0968796758831894</v>
      </c>
      <c r="D129" s="17">
        <f t="shared" si="5"/>
        <v>1.1443597774904413</v>
      </c>
      <c r="E129" s="17">
        <f t="shared" si="5"/>
        <v>1.1508912501305717</v>
      </c>
      <c r="F129" s="17">
        <f t="shared" si="5"/>
        <v>1.1196106614598569</v>
      </c>
    </row>
    <row r="130" spans="1:6" x14ac:dyDescent="0.2">
      <c r="A130" t="str">
        <f>$A$46</f>
        <v>Film and music</v>
      </c>
      <c r="B130" s="17">
        <f t="shared" ref="B130:B154" si="6">B46/B$81*100</f>
        <v>1.30751355149112</v>
      </c>
      <c r="C130" s="17">
        <f t="shared" ref="C130:F130" si="7">C46/C$81*100</f>
        <v>1.2721358727101111</v>
      </c>
      <c r="D130" s="17">
        <f t="shared" si="7"/>
        <v>1.3725580352765157</v>
      </c>
      <c r="E130" s="17">
        <f t="shared" si="7"/>
        <v>1.3845423865538176</v>
      </c>
      <c r="F130" s="17">
        <f t="shared" si="7"/>
        <v>1.3559727407609188</v>
      </c>
    </row>
    <row r="131" spans="1:6" x14ac:dyDescent="0.2">
      <c r="A131" t="str">
        <f>$A$47</f>
        <v>Broadcasting</v>
      </c>
      <c r="B131" s="17">
        <f t="shared" si="6"/>
        <v>0.53145603991233392</v>
      </c>
      <c r="C131" s="17">
        <f t="shared" ref="C131:F131" si="8">C47/C$81*100</f>
        <v>0.44344189569271036</v>
      </c>
      <c r="D131" s="17">
        <f t="shared" si="8"/>
        <v>0.47514215443163349</v>
      </c>
      <c r="E131" s="17">
        <f t="shared" si="8"/>
        <v>0.47730340890882428</v>
      </c>
      <c r="F131" s="17">
        <f t="shared" si="8"/>
        <v>0.4622778126318548</v>
      </c>
    </row>
    <row r="132" spans="1:6" x14ac:dyDescent="0.2">
      <c r="A132" t="str">
        <f>$A$48</f>
        <v>Telecommunications</v>
      </c>
      <c r="B132" s="17">
        <f t="shared" si="6"/>
        <v>0.69169485333005398</v>
      </c>
      <c r="C132" s="17">
        <f t="shared" ref="C132:F132" si="9">C48/C$81*100</f>
        <v>0.6069730291661718</v>
      </c>
      <c r="D132" s="17">
        <f t="shared" si="9"/>
        <v>0.62362513034177924</v>
      </c>
      <c r="E132" s="17">
        <f t="shared" si="9"/>
        <v>0.64633555462872194</v>
      </c>
      <c r="F132" s="17">
        <f t="shared" si="9"/>
        <v>0.66845813014046773</v>
      </c>
    </row>
    <row r="133" spans="1:6" x14ac:dyDescent="0.2">
      <c r="A133" t="str">
        <f>$A$49</f>
        <v>Computing services</v>
      </c>
      <c r="B133" s="17">
        <f t="shared" si="6"/>
        <v>3.2530578323133499</v>
      </c>
      <c r="C133" s="17">
        <f t="shared" ref="C133:F133" si="10">C49/C$81*100</f>
        <v>3.9403247875437031</v>
      </c>
      <c r="D133" s="17">
        <f t="shared" si="10"/>
        <v>4.1555864446269624</v>
      </c>
      <c r="E133" s="17">
        <f t="shared" si="10"/>
        <v>4.3206202388124337</v>
      </c>
      <c r="F133" s="17">
        <f t="shared" si="10"/>
        <v>4.4926077058126523</v>
      </c>
    </row>
    <row r="134" spans="1:6" x14ac:dyDescent="0.2">
      <c r="A134" t="str">
        <f>$A$50</f>
        <v>Information services</v>
      </c>
      <c r="B134" s="17">
        <f t="shared" si="6"/>
        <v>0.75669823716663487</v>
      </c>
      <c r="C134" s="17">
        <f t="shared" ref="C134:F134" si="11">C50/C$81*100</f>
        <v>0.74628353178989681</v>
      </c>
      <c r="D134" s="17">
        <f t="shared" si="11"/>
        <v>0.82489232205393259</v>
      </c>
      <c r="E134" s="17">
        <f t="shared" si="11"/>
        <v>0.86289737120016541</v>
      </c>
      <c r="F134" s="17">
        <f t="shared" si="11"/>
        <v>0.9068415851020053</v>
      </c>
    </row>
    <row r="135" spans="1:6" x14ac:dyDescent="0.2">
      <c r="A135" t="str">
        <f>$A$51</f>
        <v>Financial services</v>
      </c>
      <c r="B135" s="17">
        <f t="shared" si="6"/>
        <v>3.1740059667017131</v>
      </c>
      <c r="C135" s="17">
        <f t="shared" ref="C135:F135" si="12">C51/C$81*100</f>
        <v>3.2244594201014491</v>
      </c>
      <c r="D135" s="17">
        <f t="shared" si="12"/>
        <v>3.1461683190037002</v>
      </c>
      <c r="E135" s="17">
        <f t="shared" si="12"/>
        <v>3.0601210688222826</v>
      </c>
      <c r="F135" s="17">
        <f t="shared" si="12"/>
        <v>2.9452060607639372</v>
      </c>
    </row>
    <row r="136" spans="1:6" x14ac:dyDescent="0.2">
      <c r="A136" t="str">
        <f>$A$52</f>
        <v>Insurance and pensions</v>
      </c>
      <c r="B136" s="17">
        <f t="shared" si="6"/>
        <v>0.54853669721200693</v>
      </c>
      <c r="C136" s="17">
        <f t="shared" ref="C136:F136" si="13">C52/C$81*100</f>
        <v>0.60370676151861824</v>
      </c>
      <c r="D136" s="17">
        <f t="shared" si="13"/>
        <v>0.5965087973971348</v>
      </c>
      <c r="E136" s="17">
        <f t="shared" si="13"/>
        <v>0.57935383599750268</v>
      </c>
      <c r="F136" s="17">
        <f t="shared" si="13"/>
        <v>0.55567771248488029</v>
      </c>
    </row>
    <row r="137" spans="1:6" x14ac:dyDescent="0.2">
      <c r="A137" t="str">
        <f>$A$53</f>
        <v>Auxiliary financial services</v>
      </c>
      <c r="B137" s="17">
        <f t="shared" si="6"/>
        <v>2.9558508068697735</v>
      </c>
      <c r="C137" s="17">
        <f t="shared" ref="C137:F137" si="14">C53/C$81*100</f>
        <v>3.0217163247793462</v>
      </c>
      <c r="D137" s="17">
        <f t="shared" si="14"/>
        <v>3.059732902451838</v>
      </c>
      <c r="E137" s="17">
        <f t="shared" si="14"/>
        <v>3.0014736302425411</v>
      </c>
      <c r="F137" s="17">
        <f t="shared" si="14"/>
        <v>2.9015381743360811</v>
      </c>
    </row>
    <row r="138" spans="1:6" x14ac:dyDescent="0.2">
      <c r="A138" t="str">
        <f>$A$54</f>
        <v>Real estate</v>
      </c>
      <c r="B138" s="17">
        <f t="shared" si="6"/>
        <v>2.4472168217048238</v>
      </c>
      <c r="C138" s="17">
        <f t="shared" ref="C138:F138" si="15">C54/C$81*100</f>
        <v>2.1887008244438819</v>
      </c>
      <c r="D138" s="17">
        <f t="shared" si="15"/>
        <v>2.7078774294566461</v>
      </c>
      <c r="E138" s="17">
        <f t="shared" si="15"/>
        <v>2.4730317262741885</v>
      </c>
      <c r="F138" s="17">
        <f t="shared" si="15"/>
        <v>2.4815086560480863</v>
      </c>
    </row>
    <row r="139" spans="1:6" x14ac:dyDescent="0.2">
      <c r="A139" t="str">
        <f>$A$55</f>
        <v>Legal and accounting</v>
      </c>
      <c r="B139" s="17">
        <f t="shared" si="6"/>
        <v>3.7067538210010937</v>
      </c>
      <c r="C139" s="17">
        <f t="shared" ref="C139:F139" si="16">C55/C$81*100</f>
        <v>4.2575715014519746</v>
      </c>
      <c r="D139" s="17">
        <f t="shared" si="16"/>
        <v>3.8764903246414844</v>
      </c>
      <c r="E139" s="17">
        <f t="shared" si="16"/>
        <v>3.9481831108797585</v>
      </c>
      <c r="F139" s="17">
        <f t="shared" si="16"/>
        <v>3.9845171883071511</v>
      </c>
    </row>
    <row r="140" spans="1:6" x14ac:dyDescent="0.2">
      <c r="A140" t="str">
        <f>$A$56</f>
        <v>Head offices, etc</v>
      </c>
      <c r="B140" s="17">
        <f t="shared" si="6"/>
        <v>4.8873466058990287</v>
      </c>
      <c r="C140" s="17">
        <f t="shared" ref="C140:F140" si="17">C56/C$81*100</f>
        <v>4.1936196559528858</v>
      </c>
      <c r="D140" s="17">
        <f t="shared" si="17"/>
        <v>4.0979010779697314</v>
      </c>
      <c r="E140" s="17">
        <f t="shared" si="17"/>
        <v>4.1348709838266124</v>
      </c>
      <c r="F140" s="17">
        <f t="shared" si="17"/>
        <v>4.1330651539289871</v>
      </c>
    </row>
    <row r="141" spans="1:6" x14ac:dyDescent="0.2">
      <c r="A141" t="str">
        <f>$A$57</f>
        <v>Architectural and related</v>
      </c>
      <c r="B141" s="17">
        <f t="shared" si="6"/>
        <v>1.6982515291435221</v>
      </c>
      <c r="C141" s="17">
        <f t="shared" ref="C141:F141" si="18">C57/C$81*100</f>
        <v>1.9186558655010688</v>
      </c>
      <c r="D141" s="17">
        <f t="shared" si="18"/>
        <v>1.8580077647258542</v>
      </c>
      <c r="E141" s="17">
        <f t="shared" si="18"/>
        <v>1.7317662945354588</v>
      </c>
      <c r="F141" s="17">
        <f t="shared" si="18"/>
        <v>1.7094048746310806</v>
      </c>
    </row>
    <row r="142" spans="1:6" x14ac:dyDescent="0.2">
      <c r="A142" t="str">
        <f>$A$58</f>
        <v>Scientific research and development</v>
      </c>
      <c r="B142" s="17">
        <f t="shared" si="6"/>
        <v>0.37288582010815746</v>
      </c>
      <c r="C142" s="17">
        <f t="shared" ref="C142:F142" si="19">C58/C$81*100</f>
        <v>0.43801486637226994</v>
      </c>
      <c r="D142" s="17">
        <f t="shared" si="19"/>
        <v>0.40066487228209346</v>
      </c>
      <c r="E142" s="17">
        <f t="shared" si="19"/>
        <v>0.43037251157415618</v>
      </c>
      <c r="F142" s="17">
        <f t="shared" si="19"/>
        <v>0.44487237945264818</v>
      </c>
    </row>
    <row r="143" spans="1:6" x14ac:dyDescent="0.2">
      <c r="A143" t="str">
        <f>$A$59</f>
        <v>Advertising, etc</v>
      </c>
      <c r="B143" s="17">
        <f t="shared" si="6"/>
        <v>1.9874564819639748</v>
      </c>
      <c r="C143" s="17">
        <f t="shared" ref="C143:F143" si="20">C59/C$81*100</f>
        <v>2.0328747325696526</v>
      </c>
      <c r="D143" s="17">
        <f t="shared" si="20"/>
        <v>1.9003833508569947</v>
      </c>
      <c r="E143" s="17">
        <f t="shared" si="20"/>
        <v>2.0405715989729285</v>
      </c>
      <c r="F143" s="17">
        <f t="shared" si="20"/>
        <v>2.1064740342239365</v>
      </c>
    </row>
    <row r="144" spans="1:6" x14ac:dyDescent="0.2">
      <c r="A144" t="str">
        <f>$A$60</f>
        <v>Other professional</v>
      </c>
      <c r="B144" s="17">
        <f t="shared" si="6"/>
        <v>0.84825558403646639</v>
      </c>
      <c r="C144" s="17">
        <f t="shared" ref="C144:F144" si="21">C60/C$81*100</f>
        <v>0.994285371615106</v>
      </c>
      <c r="D144" s="17">
        <f t="shared" si="21"/>
        <v>0.90211492239598146</v>
      </c>
      <c r="E144" s="17">
        <f t="shared" si="21"/>
        <v>0.96829769338636507</v>
      </c>
      <c r="F144" s="17">
        <f t="shared" si="21"/>
        <v>1.000226054623728</v>
      </c>
    </row>
    <row r="145" spans="1:6" x14ac:dyDescent="0.2">
      <c r="A145" t="str">
        <f>$A$61</f>
        <v>Veterinary</v>
      </c>
      <c r="B145" s="17">
        <f t="shared" si="6"/>
        <v>0.10201745528096251</v>
      </c>
      <c r="C145" s="17">
        <f t="shared" ref="C145:F145" si="22">C61/C$81*100</f>
        <v>6.9546375722901302E-2</v>
      </c>
      <c r="D145" s="17">
        <f t="shared" si="22"/>
        <v>6.726871662897449E-2</v>
      </c>
      <c r="E145" s="17">
        <f t="shared" si="22"/>
        <v>7.238686336232876E-2</v>
      </c>
      <c r="F145" s="17">
        <f t="shared" si="22"/>
        <v>7.5315531340589173E-2</v>
      </c>
    </row>
    <row r="146" spans="1:6" x14ac:dyDescent="0.2">
      <c r="A146" t="str">
        <f>$A$62</f>
        <v>Rental and leasing</v>
      </c>
      <c r="B146" s="17">
        <f t="shared" si="6"/>
        <v>0.30906659949352061</v>
      </c>
      <c r="C146" s="17">
        <f t="shared" ref="C146:F146" si="23">C62/C$81*100</f>
        <v>0.39674264340294768</v>
      </c>
      <c r="D146" s="17">
        <f t="shared" si="23"/>
        <v>0.39348999163021448</v>
      </c>
      <c r="E146" s="17">
        <f t="shared" si="23"/>
        <v>0.3968897437874967</v>
      </c>
      <c r="F146" s="17">
        <f t="shared" si="23"/>
        <v>0.3986584854967018</v>
      </c>
    </row>
    <row r="147" spans="1:6" x14ac:dyDescent="0.2">
      <c r="A147" t="str">
        <f>$A$63</f>
        <v>Employment activities</v>
      </c>
      <c r="B147" s="17">
        <f t="shared" si="6"/>
        <v>3.3822033904759725</v>
      </c>
      <c r="C147" s="17">
        <f t="shared" ref="C147:F147" si="24">C63/C$81*100</f>
        <v>3.2728671816948904</v>
      </c>
      <c r="D147" s="17">
        <f t="shared" si="24"/>
        <v>3.116104558537502</v>
      </c>
      <c r="E147" s="17">
        <f t="shared" si="24"/>
        <v>3.1422015898719535</v>
      </c>
      <c r="F147" s="17">
        <f t="shared" si="24"/>
        <v>3.1514789603160995</v>
      </c>
    </row>
    <row r="148" spans="1:6" x14ac:dyDescent="0.2">
      <c r="A148" t="str">
        <f>$A$64</f>
        <v>Travel, etc</v>
      </c>
      <c r="B148" s="17">
        <f t="shared" si="6"/>
        <v>0.44522742752478633</v>
      </c>
      <c r="C148" s="17">
        <f t="shared" ref="C148:F148" si="25">C64/C$81*100</f>
        <v>0.43449734737820156</v>
      </c>
      <c r="D148" s="17">
        <f t="shared" si="25"/>
        <v>0.41998315418114129</v>
      </c>
      <c r="E148" s="17">
        <f t="shared" si="25"/>
        <v>0.42385073514373567</v>
      </c>
      <c r="F148" s="17">
        <f t="shared" si="25"/>
        <v>0.42654112534279409</v>
      </c>
    </row>
    <row r="149" spans="1:6" x14ac:dyDescent="0.2">
      <c r="A149" t="str">
        <f>$A$65</f>
        <v>Security, etc</v>
      </c>
      <c r="B149" s="17">
        <f t="shared" si="6"/>
        <v>1.1000158606215706</v>
      </c>
      <c r="C149" s="17">
        <f t="shared" ref="C149:F149" si="26">C65/C$81*100</f>
        <v>0.85757113303415111</v>
      </c>
      <c r="D149" s="17">
        <f t="shared" si="26"/>
        <v>0.86160884739881138</v>
      </c>
      <c r="E149" s="17">
        <f t="shared" si="26"/>
        <v>0.8700988364664286</v>
      </c>
      <c r="F149" s="17">
        <f t="shared" si="26"/>
        <v>0.87534824367397068</v>
      </c>
    </row>
    <row r="150" spans="1:6" x14ac:dyDescent="0.2">
      <c r="A150" t="str">
        <f>$A$66</f>
        <v>Services to buildings</v>
      </c>
      <c r="B150" s="17">
        <f t="shared" si="6"/>
        <v>3.3453328539569331</v>
      </c>
      <c r="C150" s="17">
        <f t="shared" ref="C150:F150" si="27">C66/C$81*100</f>
        <v>2.9555367173099931</v>
      </c>
      <c r="D150" s="17">
        <f t="shared" si="27"/>
        <v>2.7939423122524327</v>
      </c>
      <c r="E150" s="17">
        <f t="shared" si="27"/>
        <v>2.8091055003112069</v>
      </c>
      <c r="F150" s="17">
        <f t="shared" si="27"/>
        <v>2.8008088588588009</v>
      </c>
    </row>
    <row r="151" spans="1:6" x14ac:dyDescent="0.2">
      <c r="A151" t="str">
        <f>$A$67</f>
        <v>Office administrative</v>
      </c>
      <c r="B151" s="17">
        <f t="shared" si="6"/>
        <v>1.6524997685673095</v>
      </c>
      <c r="C151" s="17">
        <f t="shared" ref="C151:F151" si="28">C67/C$81*100</f>
        <v>2.3066717118140705</v>
      </c>
      <c r="D151" s="17">
        <f t="shared" si="28"/>
        <v>2.2370974677072435</v>
      </c>
      <c r="E151" s="17">
        <f t="shared" si="28"/>
        <v>2.2586869899976736</v>
      </c>
      <c r="F151" s="17">
        <f t="shared" si="28"/>
        <v>2.2719645225273428</v>
      </c>
    </row>
    <row r="152" spans="1:6" x14ac:dyDescent="0.2">
      <c r="A152" t="str">
        <f>$A$68</f>
        <v>Public administration and defence</v>
      </c>
      <c r="B152" s="17">
        <f t="shared" si="6"/>
        <v>3.9095328009231163</v>
      </c>
      <c r="C152" s="17">
        <f t="shared" ref="C152:F152" si="29">C68/C$81*100</f>
        <v>4.0239077391334028</v>
      </c>
      <c r="D152" s="17">
        <f t="shared" si="29"/>
        <v>4.2956650415670756</v>
      </c>
      <c r="E152" s="17">
        <f t="shared" si="29"/>
        <v>4.2024838420408681</v>
      </c>
      <c r="F152" s="17">
        <f t="shared" si="29"/>
        <v>3.9835605066740247</v>
      </c>
    </row>
    <row r="153" spans="1:6" x14ac:dyDescent="0.2">
      <c r="A153" t="str">
        <f>$A$69</f>
        <v xml:space="preserve">Education </v>
      </c>
      <c r="B153" s="17">
        <f t="shared" si="6"/>
        <v>7.6168428198438161</v>
      </c>
      <c r="C153" s="17">
        <f t="shared" ref="C153:F153" si="30">C69/C$81*100</f>
        <v>6.7224143178045122</v>
      </c>
      <c r="D153" s="17">
        <f t="shared" si="30"/>
        <v>7.2241953146621931</v>
      </c>
      <c r="E153" s="17">
        <f t="shared" si="30"/>
        <v>6.7372863386330444</v>
      </c>
      <c r="F153" s="17">
        <f t="shared" si="30"/>
        <v>6.5772169361967103</v>
      </c>
    </row>
    <row r="154" spans="1:6" x14ac:dyDescent="0.2">
      <c r="A154" t="str">
        <f>$A$70</f>
        <v>Health</v>
      </c>
      <c r="B154" s="17">
        <f t="shared" si="6"/>
        <v>5.7608105129918465</v>
      </c>
      <c r="C154" s="17">
        <f t="shared" ref="C154:F154" si="31">C70/C$81*100</f>
        <v>6.1842171601667415</v>
      </c>
      <c r="D154" s="17">
        <f t="shared" si="31"/>
        <v>6.3431502880144164</v>
      </c>
      <c r="E154" s="17">
        <f t="shared" si="31"/>
        <v>6.4789560237982329</v>
      </c>
      <c r="F154" s="17">
        <f t="shared" si="31"/>
        <v>6.3927316886385341</v>
      </c>
    </row>
    <row r="155" spans="1:6" x14ac:dyDescent="0.2">
      <c r="A155" t="str">
        <f>$A$71</f>
        <v>Residential care</v>
      </c>
      <c r="B155" s="17">
        <f t="shared" ref="B155:F155" si="32">B71/B$81*100</f>
        <v>1.1924703008090576</v>
      </c>
      <c r="C155" s="17">
        <f t="shared" si="32"/>
        <v>1.0893756353388941</v>
      </c>
      <c r="D155" s="17">
        <f t="shared" si="32"/>
        <v>1.0364839312189846</v>
      </c>
      <c r="E155" s="17">
        <f t="shared" si="32"/>
        <v>0.99731393436045401</v>
      </c>
      <c r="F155" s="17">
        <f t="shared" si="32"/>
        <v>0.93719308072349239</v>
      </c>
    </row>
    <row r="156" spans="1:6" x14ac:dyDescent="0.2">
      <c r="A156" t="str">
        <f>$A$72</f>
        <v>Social work</v>
      </c>
      <c r="B156" s="17">
        <f t="shared" ref="B156:F156" si="33">B72/B$81*100</f>
        <v>2.7501293608153325</v>
      </c>
      <c r="C156" s="17">
        <f t="shared" si="33"/>
        <v>2.6201161551445926</v>
      </c>
      <c r="D156" s="17">
        <f t="shared" si="33"/>
        <v>2.4812286764231515</v>
      </c>
      <c r="E156" s="17">
        <f t="shared" si="33"/>
        <v>2.376046599453324</v>
      </c>
      <c r="F156" s="17">
        <f t="shared" si="33"/>
        <v>2.2117553024494434</v>
      </c>
    </row>
    <row r="157" spans="1:6" x14ac:dyDescent="0.2">
      <c r="A157" t="str">
        <f>$A$73</f>
        <v>Arts and entertainment</v>
      </c>
      <c r="B157" s="17">
        <f t="shared" ref="B157:F157" si="34">B73/B$81*100</f>
        <v>1.2276363599903291</v>
      </c>
      <c r="C157" s="17">
        <f t="shared" si="34"/>
        <v>1.1179847899121185</v>
      </c>
      <c r="D157" s="17">
        <f t="shared" si="34"/>
        <v>1.3093146624807785</v>
      </c>
      <c r="E157" s="17">
        <f t="shared" si="34"/>
        <v>1.3380646151367452</v>
      </c>
      <c r="F157" s="17">
        <f t="shared" si="34"/>
        <v>1.3556641337929463</v>
      </c>
    </row>
    <row r="158" spans="1:6" x14ac:dyDescent="0.2">
      <c r="A158" t="str">
        <f>$A$74</f>
        <v>Libraries, etc</v>
      </c>
      <c r="B158" s="17">
        <f t="shared" ref="B158:F158" si="35">B74/B$81*100</f>
        <v>0.68475135084640559</v>
      </c>
      <c r="C158" s="17">
        <f t="shared" si="35"/>
        <v>0.66434208910777182</v>
      </c>
      <c r="D158" s="17">
        <f t="shared" si="35"/>
        <v>0.79326221443650502</v>
      </c>
      <c r="E158" s="17">
        <f t="shared" si="35"/>
        <v>0.81153231323415187</v>
      </c>
      <c r="F158" s="17">
        <f t="shared" si="35"/>
        <v>0.82797707359783668</v>
      </c>
    </row>
    <row r="159" spans="1:6" x14ac:dyDescent="0.2">
      <c r="A159" t="str">
        <f>$A$75</f>
        <v>Gambling and betting</v>
      </c>
      <c r="B159" s="17">
        <f t="shared" ref="B159:F159" si="36">B75/B$81*100</f>
        <v>0.45556194286037083</v>
      </c>
      <c r="C159" s="17">
        <f t="shared" si="36"/>
        <v>0.37302451526484182</v>
      </c>
      <c r="D159" s="17">
        <f t="shared" si="36"/>
        <v>0.3624493695125362</v>
      </c>
      <c r="E159" s="17">
        <f t="shared" si="36"/>
        <v>0.40891376334754514</v>
      </c>
      <c r="F159" s="17">
        <f t="shared" si="36"/>
        <v>0.45115253131401412</v>
      </c>
    </row>
    <row r="160" spans="1:6" x14ac:dyDescent="0.2">
      <c r="A160" t="str">
        <f>$A$76</f>
        <v>Sport and recreation</v>
      </c>
      <c r="B160" s="17">
        <f t="shared" ref="B160:F160" si="37">B76/B$81*100</f>
        <v>1.2416310161788557</v>
      </c>
      <c r="C160" s="17">
        <f t="shared" si="37"/>
        <v>1.0956066690149702</v>
      </c>
      <c r="D160" s="17">
        <f t="shared" si="37"/>
        <v>1.0413513971912167</v>
      </c>
      <c r="E160" s="17">
        <f t="shared" si="37"/>
        <v>1.1686278926939191</v>
      </c>
      <c r="F160" s="17">
        <f t="shared" si="37"/>
        <v>1.2757812192687432</v>
      </c>
    </row>
    <row r="161" spans="1:6" x14ac:dyDescent="0.2">
      <c r="A161" t="str">
        <f>$A$77</f>
        <v>Membership organisations</v>
      </c>
      <c r="B161" s="17">
        <f t="shared" ref="B161:F161" si="38">B77/B$81*100</f>
        <v>1.5078165537166393</v>
      </c>
      <c r="C161" s="17">
        <f t="shared" si="38"/>
        <v>1.4161699008410413</v>
      </c>
      <c r="D161" s="17">
        <f t="shared" si="38"/>
        <v>1.3114031253936858</v>
      </c>
      <c r="E161" s="17">
        <f t="shared" si="38"/>
        <v>1.4101440001968173</v>
      </c>
      <c r="F161" s="17">
        <f t="shared" si="38"/>
        <v>1.4227244286455059</v>
      </c>
    </row>
    <row r="162" spans="1:6" x14ac:dyDescent="0.2">
      <c r="A162" t="str">
        <f>$A$78</f>
        <v>Repair of goods</v>
      </c>
      <c r="B162" s="17">
        <f t="shared" ref="B162:F162" si="39">B78/B$81*100</f>
        <v>0.10327338596761715</v>
      </c>
      <c r="C162" s="17">
        <f t="shared" si="39"/>
        <v>0.15348107918255138</v>
      </c>
      <c r="D162" s="17">
        <f t="shared" si="39"/>
        <v>0.17849620901928426</v>
      </c>
      <c r="E162" s="17">
        <f t="shared" si="39"/>
        <v>0.19757907775564973</v>
      </c>
      <c r="F162" s="17">
        <f t="shared" si="39"/>
        <v>0.2036960313916123</v>
      </c>
    </row>
    <row r="163" spans="1:6" x14ac:dyDescent="0.2">
      <c r="A163" t="str">
        <f>$A$79</f>
        <v>Other personal service</v>
      </c>
      <c r="B163" s="17">
        <f>B79/B$81*100</f>
        <v>1.1072643748540139</v>
      </c>
      <c r="C163" s="17">
        <f t="shared" ref="C163:F163" si="40">C79/C$81*100</f>
        <v>1.2374966855863896</v>
      </c>
      <c r="D163" s="17">
        <f t="shared" si="40"/>
        <v>1.2061547001915787</v>
      </c>
      <c r="E163" s="17">
        <f t="shared" si="40"/>
        <v>1.3020572887130752</v>
      </c>
      <c r="F163" s="17">
        <f t="shared" si="40"/>
        <v>1.3171654141062921</v>
      </c>
    </row>
    <row r="164" spans="1:6" x14ac:dyDescent="0.2">
      <c r="B164" s="17"/>
      <c r="C164" s="17"/>
      <c r="D164" s="17"/>
      <c r="E164" s="17"/>
      <c r="F164" s="17"/>
    </row>
    <row r="165" spans="1:6" x14ac:dyDescent="0.2">
      <c r="A165" s="23" t="str">
        <f>$A$81</f>
        <v>All industries</v>
      </c>
      <c r="B165" s="25">
        <f>B81/B$81*100</f>
        <v>100</v>
      </c>
      <c r="C165" s="25">
        <f>C81/C$81*100</f>
        <v>100</v>
      </c>
      <c r="D165" s="25">
        <f>D81/D$81*100</f>
        <v>100</v>
      </c>
      <c r="E165" s="25">
        <f>E81/E$81*100</f>
        <v>100</v>
      </c>
      <c r="F165" s="25">
        <f>F81/F$81*100</f>
        <v>100</v>
      </c>
    </row>
    <row r="166" spans="1:6" x14ac:dyDescent="0.2">
      <c r="B166" s="17"/>
      <c r="C166" s="17"/>
      <c r="D166" s="17"/>
      <c r="E166" s="17"/>
      <c r="F166" s="17"/>
    </row>
    <row r="167" spans="1:6" x14ac:dyDescent="0.2">
      <c r="B167" s="17"/>
      <c r="C167" s="17"/>
      <c r="D167" s="17"/>
      <c r="E167" s="17"/>
      <c r="F167" s="17"/>
    </row>
    <row r="168" spans="1:6" x14ac:dyDescent="0.2">
      <c r="B168" s="17"/>
      <c r="C168" s="17"/>
      <c r="D168" s="17"/>
      <c r="E168" s="17"/>
      <c r="F168" s="17"/>
    </row>
    <row r="169" spans="1:6" ht="15.75" x14ac:dyDescent="0.25">
      <c r="A169" s="18" t="str">
        <f>CONCATENATE($A$1," (Continued)")</f>
        <v>Industry Table 3  Employment by Industry (SIC 2007), 2015-2035, London (Continued)</v>
      </c>
      <c r="B169" s="17"/>
      <c r="C169" s="17"/>
      <c r="D169" s="17"/>
      <c r="E169" s="17"/>
      <c r="F169" s="17"/>
    </row>
    <row r="171" spans="1:6" x14ac:dyDescent="0.2">
      <c r="A171" s="21"/>
      <c r="B171" s="24" t="str">
        <f>CONCATENATE(B$3,"-",C$3)</f>
        <v>2015-2019</v>
      </c>
      <c r="C171" s="24" t="str">
        <f>CONCATENATE(C$3,"-",D$3)</f>
        <v>2019-2020</v>
      </c>
      <c r="D171" s="24" t="str">
        <f>CONCATENATE(D$3,"-",E$3)</f>
        <v>2020-2025</v>
      </c>
      <c r="E171" s="24" t="str">
        <f>CONCATENATE(E$3,"-",F$3)</f>
        <v>2025-2035</v>
      </c>
      <c r="F171" s="24" t="str">
        <f>CONCATENATE(D$3,"-",F$3)</f>
        <v>2020-2035</v>
      </c>
    </row>
    <row r="172" spans="1:6" x14ac:dyDescent="0.2">
      <c r="A172" s="27" t="s">
        <v>14</v>
      </c>
    </row>
    <row r="173" spans="1:6" x14ac:dyDescent="0.2">
      <c r="A173" t="str">
        <f>$A$5</f>
        <v>Agriculture, etc</v>
      </c>
      <c r="B173" s="17">
        <f t="shared" ref="B173:E192" si="41">IF(AND(C$3-B$3 &lt;&gt; 0,B5&lt;&gt;0,C5&lt;&gt;0),(EXP(LN(C5/B5)/(C$3-B$3))-1)*100,0)</f>
        <v>28.002352254229624</v>
      </c>
      <c r="C173" s="17">
        <f t="shared" si="41"/>
        <v>-77.267735558925025</v>
      </c>
      <c r="D173" s="17">
        <f t="shared" si="41"/>
        <v>0.686170732733693</v>
      </c>
      <c r="E173" s="17">
        <f t="shared" si="41"/>
        <v>0.27664261404198864</v>
      </c>
      <c r="F173" s="17">
        <f>IF(AND(F$3-D$3 &lt;&gt; 0,D5&lt;&gt;0,F5&lt;&gt;0),(EXP(LN(F5/D5)/(F$3-D$3))-1)*100,0)</f>
        <v>0.41296657343674603</v>
      </c>
    </row>
    <row r="174" spans="1:6" x14ac:dyDescent="0.2">
      <c r="A174" t="str">
        <f>$A$6</f>
        <v>Coal, oil &amp; gas; Mining &amp; related</v>
      </c>
      <c r="B174" s="17">
        <f t="shared" si="41"/>
        <v>-14.826605286144501</v>
      </c>
      <c r="C174" s="17">
        <f t="shared" si="41"/>
        <v>20.508247883951313</v>
      </c>
      <c r="D174" s="17">
        <f t="shared" si="41"/>
        <v>-4.0693785221815437</v>
      </c>
      <c r="E174" s="17">
        <f t="shared" si="41"/>
        <v>-2.8535471281904701</v>
      </c>
      <c r="F174" s="17">
        <f t="shared" ref="F174:F237" si="42">IF(AND(F$3-D$3 &lt;&gt; 0,D6&lt;&gt;0,F6&lt;&gt;0),(EXP(LN(F6/D6)/(F$3-D$3))-1)*100,0)</f>
        <v>-3.2605268559289469</v>
      </c>
    </row>
    <row r="175" spans="1:6" x14ac:dyDescent="0.2">
      <c r="A175" t="str">
        <f>$A$7</f>
        <v>Food products</v>
      </c>
      <c r="B175" s="17">
        <f t="shared" si="41"/>
        <v>8.9250280848785621</v>
      </c>
      <c r="C175" s="17">
        <f t="shared" si="41"/>
        <v>2.2048195907110824</v>
      </c>
      <c r="D175" s="17">
        <f t="shared" si="41"/>
        <v>0.3234180544693821</v>
      </c>
      <c r="E175" s="17">
        <f t="shared" si="41"/>
        <v>-0.1934527768051475</v>
      </c>
      <c r="F175" s="17">
        <f t="shared" si="42"/>
        <v>-2.1459061726414319E-2</v>
      </c>
    </row>
    <row r="176" spans="1:6" x14ac:dyDescent="0.2">
      <c r="A176" t="str">
        <f>$A$8</f>
        <v>Beverages and tobacco</v>
      </c>
      <c r="B176" s="17">
        <f t="shared" si="41"/>
        <v>36.640759079899745</v>
      </c>
      <c r="C176" s="17">
        <f t="shared" si="41"/>
        <v>12.721195436018483</v>
      </c>
      <c r="D176" s="17">
        <f t="shared" si="41"/>
        <v>0.11485881814699006</v>
      </c>
      <c r="E176" s="17">
        <f t="shared" si="41"/>
        <v>-0.25259171630401811</v>
      </c>
      <c r="F176" s="17">
        <f t="shared" si="42"/>
        <v>-0.13025829977618697</v>
      </c>
    </row>
    <row r="177" spans="1:6" x14ac:dyDescent="0.2">
      <c r="A177" t="str">
        <f>$A$9</f>
        <v>Textiles</v>
      </c>
      <c r="B177" s="17">
        <f t="shared" si="41"/>
        <v>5.4477098497003107</v>
      </c>
      <c r="C177" s="17">
        <f t="shared" si="41"/>
        <v>36.001208091816707</v>
      </c>
      <c r="D177" s="17">
        <f t="shared" si="41"/>
        <v>-2.4586222178371586</v>
      </c>
      <c r="E177" s="17">
        <f t="shared" si="41"/>
        <v>-1.5934383294245569</v>
      </c>
      <c r="F177" s="17">
        <f t="shared" si="42"/>
        <v>-1.8826822935408272</v>
      </c>
    </row>
    <row r="178" spans="1:6" x14ac:dyDescent="0.2">
      <c r="A178" t="str">
        <f>$A$10</f>
        <v>Wearing apparel; Leather, etc</v>
      </c>
      <c r="B178" s="17">
        <f t="shared" si="41"/>
        <v>-25.175076177273013</v>
      </c>
      <c r="C178" s="17">
        <f t="shared" si="41"/>
        <v>43.636363633748743</v>
      </c>
      <c r="D178" s="17">
        <f t="shared" si="41"/>
        <v>-2.4349471233853226</v>
      </c>
      <c r="E178" s="17">
        <f t="shared" si="41"/>
        <v>-1.4505615781202463</v>
      </c>
      <c r="F178" s="17">
        <f t="shared" si="42"/>
        <v>-1.7797887277274049</v>
      </c>
    </row>
    <row r="179" spans="1:6" x14ac:dyDescent="0.2">
      <c r="A179" t="str">
        <f>$A$11</f>
        <v xml:space="preserve">Wood and cork </v>
      </c>
      <c r="B179" s="17">
        <f t="shared" si="41"/>
        <v>17.41074524850179</v>
      </c>
      <c r="C179" s="17">
        <f t="shared" si="41"/>
        <v>18.546942948634882</v>
      </c>
      <c r="D179" s="17">
        <f t="shared" si="41"/>
        <v>1.9947744067019935</v>
      </c>
      <c r="E179" s="17">
        <f t="shared" si="41"/>
        <v>0.37484515223791259</v>
      </c>
      <c r="F179" s="17">
        <f t="shared" si="42"/>
        <v>0.91194248177743908</v>
      </c>
    </row>
    <row r="180" spans="1:6" x14ac:dyDescent="0.2">
      <c r="A180" t="str">
        <f>$A$12</f>
        <v>Paper, etc</v>
      </c>
      <c r="B180" s="17">
        <f t="shared" si="41"/>
        <v>-10.648849434578779</v>
      </c>
      <c r="C180" s="17">
        <f t="shared" si="41"/>
        <v>-10.557184750206371</v>
      </c>
      <c r="D180" s="17">
        <f t="shared" si="41"/>
        <v>2.4952764472617073</v>
      </c>
      <c r="E180" s="17">
        <f t="shared" si="41"/>
        <v>0.59263835723579739</v>
      </c>
      <c r="F180" s="17">
        <f t="shared" si="42"/>
        <v>1.2228939875237543</v>
      </c>
    </row>
    <row r="181" spans="1:6" x14ac:dyDescent="0.2">
      <c r="A181" t="str">
        <f>$A$13</f>
        <v>Printing and recording</v>
      </c>
      <c r="B181" s="17">
        <f t="shared" si="41"/>
        <v>-8.7842939859398506</v>
      </c>
      <c r="C181" s="17">
        <f t="shared" si="41"/>
        <v>0.57430641550832995</v>
      </c>
      <c r="D181" s="17">
        <f t="shared" si="41"/>
        <v>-1.8052021411971708</v>
      </c>
      <c r="E181" s="17">
        <f t="shared" si="41"/>
        <v>-2.1102252472540717</v>
      </c>
      <c r="F181" s="17">
        <f t="shared" si="42"/>
        <v>-2.0086563014155123</v>
      </c>
    </row>
    <row r="182" spans="1:6" x14ac:dyDescent="0.2">
      <c r="A182" t="str">
        <f>$A$14</f>
        <v>Coke and petroleum; Chemicals, etc</v>
      </c>
      <c r="B182" s="17">
        <f t="shared" si="41"/>
        <v>-1.2366014276074533</v>
      </c>
      <c r="C182" s="17">
        <f t="shared" si="41"/>
        <v>9.5684802995936291</v>
      </c>
      <c r="D182" s="17">
        <f t="shared" si="41"/>
        <v>-3.0348665202242886</v>
      </c>
      <c r="E182" s="17">
        <f t="shared" si="41"/>
        <v>-2.1989118688234388</v>
      </c>
      <c r="F182" s="17">
        <f t="shared" si="42"/>
        <v>-2.4783611355145396</v>
      </c>
    </row>
    <row r="183" spans="1:6" x14ac:dyDescent="0.2">
      <c r="A183" t="str">
        <f>$A$15</f>
        <v>Pharmaceuticals</v>
      </c>
      <c r="B183" s="17">
        <f t="shared" si="41"/>
        <v>-4.1912957895915204</v>
      </c>
      <c r="C183" s="17">
        <f t="shared" si="41"/>
        <v>20.62084257325354</v>
      </c>
      <c r="D183" s="17">
        <f t="shared" si="41"/>
        <v>-1.2341321372498326</v>
      </c>
      <c r="E183" s="17">
        <f t="shared" si="41"/>
        <v>-1.6702256391469161</v>
      </c>
      <c r="F183" s="17">
        <f t="shared" si="42"/>
        <v>-1.5250755082460765</v>
      </c>
    </row>
    <row r="184" spans="1:6" x14ac:dyDescent="0.2">
      <c r="A184" t="str">
        <f>$A$16</f>
        <v>Rubber and plastic</v>
      </c>
      <c r="B184" s="17">
        <f t="shared" si="41"/>
        <v>-4.7987937486217991</v>
      </c>
      <c r="C184" s="17">
        <f t="shared" si="41"/>
        <v>13.799621926600114</v>
      </c>
      <c r="D184" s="17">
        <f t="shared" si="41"/>
        <v>0.93474199119070178</v>
      </c>
      <c r="E184" s="17">
        <f t="shared" si="41"/>
        <v>-0.91694624208763509</v>
      </c>
      <c r="F184" s="17">
        <f t="shared" si="42"/>
        <v>-0.30352237953650274</v>
      </c>
    </row>
    <row r="185" spans="1:6" x14ac:dyDescent="0.2">
      <c r="A185" t="str">
        <f>$A$17</f>
        <v>Other non-metallic</v>
      </c>
      <c r="B185" s="17">
        <f t="shared" si="41"/>
        <v>10.450419111616217</v>
      </c>
      <c r="C185" s="17">
        <f t="shared" si="41"/>
        <v>2.4146544534437098</v>
      </c>
      <c r="D185" s="17">
        <f t="shared" si="41"/>
        <v>1.2179365550657906</v>
      </c>
      <c r="E185" s="17">
        <f t="shared" si="41"/>
        <v>-0.75807871883226685</v>
      </c>
      <c r="F185" s="17">
        <f t="shared" si="42"/>
        <v>-0.10373086105681661</v>
      </c>
    </row>
    <row r="186" spans="1:6" x14ac:dyDescent="0.2">
      <c r="A186" t="str">
        <f>$A$18</f>
        <v>Basic metals</v>
      </c>
      <c r="B186" s="17">
        <f t="shared" si="41"/>
        <v>9.7243100007979422</v>
      </c>
      <c r="C186" s="17">
        <f t="shared" si="41"/>
        <v>-15.144230771129575</v>
      </c>
      <c r="D186" s="17">
        <f t="shared" si="41"/>
        <v>-0.57310365467545532</v>
      </c>
      <c r="E186" s="17">
        <f t="shared" si="41"/>
        <v>-1.1511298969239969</v>
      </c>
      <c r="F186" s="17">
        <f t="shared" si="42"/>
        <v>-0.95882882885949261</v>
      </c>
    </row>
    <row r="187" spans="1:6" x14ac:dyDescent="0.2">
      <c r="A187" t="str">
        <f>$A$19</f>
        <v>Metal products</v>
      </c>
      <c r="B187" s="17">
        <f t="shared" si="41"/>
        <v>2.4720159121981666</v>
      </c>
      <c r="C187" s="17">
        <f t="shared" si="41"/>
        <v>-6.1457929443624826</v>
      </c>
      <c r="D187" s="17">
        <f t="shared" si="41"/>
        <v>-0.71241281138094692</v>
      </c>
      <c r="E187" s="17">
        <f t="shared" si="41"/>
        <v>-1.3086474813032489</v>
      </c>
      <c r="F187" s="17">
        <f t="shared" si="42"/>
        <v>-1.1103014863501404</v>
      </c>
    </row>
    <row r="188" spans="1:6" x14ac:dyDescent="0.2">
      <c r="A188" t="str">
        <f>$A$20</f>
        <v>Computer, etc</v>
      </c>
      <c r="B188" s="17">
        <f t="shared" si="41"/>
        <v>21.990394654255606</v>
      </c>
      <c r="C188" s="17">
        <f t="shared" si="41"/>
        <v>7.5235109716756066</v>
      </c>
      <c r="D188" s="17">
        <f t="shared" si="41"/>
        <v>6.4024608125825777</v>
      </c>
      <c r="E188" s="17">
        <f t="shared" si="41"/>
        <v>1.3459614621862626</v>
      </c>
      <c r="F188" s="17">
        <f t="shared" si="42"/>
        <v>3.0041815148216244</v>
      </c>
    </row>
    <row r="189" spans="1:6" x14ac:dyDescent="0.2">
      <c r="A189" t="str">
        <f>$A$21</f>
        <v>Electrical equipment</v>
      </c>
      <c r="B189" s="17">
        <f t="shared" si="41"/>
        <v>15.740370331930031</v>
      </c>
      <c r="C189" s="17">
        <f t="shared" si="41"/>
        <v>-9.644364075104539</v>
      </c>
      <c r="D189" s="17">
        <f t="shared" si="41"/>
        <v>0.97480493864789963</v>
      </c>
      <c r="E189" s="17">
        <f t="shared" si="41"/>
        <v>-0.62753241133367554</v>
      </c>
      <c r="F189" s="17">
        <f t="shared" si="42"/>
        <v>-9.6265294032760185E-2</v>
      </c>
    </row>
    <row r="190" spans="1:6" x14ac:dyDescent="0.2">
      <c r="A190" t="str">
        <f>$A$22</f>
        <v>Machinery n.e.c.</v>
      </c>
      <c r="B190" s="17">
        <f t="shared" si="41"/>
        <v>-13.704869553169752</v>
      </c>
      <c r="C190" s="17">
        <f t="shared" si="41"/>
        <v>1.1359026360109103</v>
      </c>
      <c r="D190" s="17">
        <f t="shared" si="41"/>
        <v>3.4866997652179599</v>
      </c>
      <c r="E190" s="17">
        <f t="shared" si="41"/>
        <v>-0.88615393301298973</v>
      </c>
      <c r="F190" s="17">
        <f t="shared" si="42"/>
        <v>0.55053796159578727</v>
      </c>
    </row>
    <row r="191" spans="1:6" x14ac:dyDescent="0.2">
      <c r="A191" t="str">
        <f>$A$23</f>
        <v>Motor vehicles, etc</v>
      </c>
      <c r="B191" s="17">
        <f t="shared" si="41"/>
        <v>-2.6758235038789047</v>
      </c>
      <c r="C191" s="17">
        <f t="shared" si="41"/>
        <v>-2.1365149852780929</v>
      </c>
      <c r="D191" s="17">
        <f t="shared" si="41"/>
        <v>-3.3923123066299299</v>
      </c>
      <c r="E191" s="17">
        <f t="shared" si="41"/>
        <v>-3.2133903726558111</v>
      </c>
      <c r="F191" s="17">
        <f t="shared" si="42"/>
        <v>-3.2730678061228424</v>
      </c>
    </row>
    <row r="192" spans="1:6" x14ac:dyDescent="0.2">
      <c r="A192" t="str">
        <f>$A$24</f>
        <v>Other transport equipment</v>
      </c>
      <c r="B192" s="17">
        <f t="shared" si="41"/>
        <v>17.993125388182918</v>
      </c>
      <c r="C192" s="17">
        <f t="shared" si="41"/>
        <v>14.431818179726275</v>
      </c>
      <c r="D192" s="17">
        <f t="shared" si="41"/>
        <v>-4.1190921203780873</v>
      </c>
      <c r="E192" s="17">
        <f t="shared" si="41"/>
        <v>-2.7646252754756295</v>
      </c>
      <c r="F192" s="17">
        <f t="shared" si="42"/>
        <v>-3.2182269791271811</v>
      </c>
    </row>
    <row r="193" spans="1:6" x14ac:dyDescent="0.2">
      <c r="A193" t="str">
        <f>$A$25</f>
        <v>Furniture</v>
      </c>
      <c r="B193" s="17">
        <f t="shared" ref="B193:E212" si="43">IF(AND(C$3-B$3 &lt;&gt; 0,B25&lt;&gt;0,C25&lt;&gt;0),(EXP(LN(C25/B25)/(C$3-B$3))-1)*100,0)</f>
        <v>-4.0582914411688487</v>
      </c>
      <c r="C193" s="17">
        <f t="shared" si="43"/>
        <v>-3.3993641492286897</v>
      </c>
      <c r="D193" s="17">
        <f t="shared" si="43"/>
        <v>-3.5553766228397787</v>
      </c>
      <c r="E193" s="17">
        <f t="shared" si="43"/>
        <v>-1.7023294961813873</v>
      </c>
      <c r="F193" s="17">
        <f t="shared" si="42"/>
        <v>-2.3239344287296571</v>
      </c>
    </row>
    <row r="194" spans="1:6" x14ac:dyDescent="0.2">
      <c r="A194" t="str">
        <f>$A$26</f>
        <v>Other manufacturing</v>
      </c>
      <c r="B194" s="17">
        <f t="shared" si="43"/>
        <v>6.9483781598383088</v>
      </c>
      <c r="C194" s="17">
        <f t="shared" si="43"/>
        <v>18.570384802237562</v>
      </c>
      <c r="D194" s="17">
        <f t="shared" si="43"/>
        <v>-3.769632972266701</v>
      </c>
      <c r="E194" s="17">
        <f t="shared" si="43"/>
        <v>-1.7742368140304721</v>
      </c>
      <c r="F194" s="17">
        <f t="shared" si="42"/>
        <v>-2.4439243123769328</v>
      </c>
    </row>
    <row r="195" spans="1:6" x14ac:dyDescent="0.2">
      <c r="A195" t="str">
        <f>$A$27</f>
        <v>Repair and installation</v>
      </c>
      <c r="B195" s="17">
        <f t="shared" si="43"/>
        <v>10.90006945290709</v>
      </c>
      <c r="C195" s="17">
        <f t="shared" si="43"/>
        <v>26.944576029014744</v>
      </c>
      <c r="D195" s="17">
        <f t="shared" si="43"/>
        <v>-3.3022941359647451</v>
      </c>
      <c r="E195" s="17">
        <f t="shared" si="43"/>
        <v>-1.2263511470010258</v>
      </c>
      <c r="F195" s="17">
        <f t="shared" si="42"/>
        <v>-1.9232373815010306</v>
      </c>
    </row>
    <row r="196" spans="1:6" x14ac:dyDescent="0.2">
      <c r="A196" t="str">
        <f>$A$28</f>
        <v>Electricity, gas, etc</v>
      </c>
      <c r="B196" s="17">
        <f t="shared" si="43"/>
        <v>10.263683355054521</v>
      </c>
      <c r="C196" s="17">
        <f t="shared" si="43"/>
        <v>-18.35031219172706</v>
      </c>
      <c r="D196" s="17">
        <f t="shared" si="43"/>
        <v>-0.33223325980710205</v>
      </c>
      <c r="E196" s="17">
        <f t="shared" si="43"/>
        <v>0.18747575816739914</v>
      </c>
      <c r="F196" s="17">
        <f t="shared" si="42"/>
        <v>1.393900587611796E-2</v>
      </c>
    </row>
    <row r="197" spans="1:6" x14ac:dyDescent="0.2">
      <c r="A197" t="str">
        <f>$A$29</f>
        <v>Water</v>
      </c>
      <c r="B197" s="17">
        <f t="shared" si="43"/>
        <v>-10.321207051497749</v>
      </c>
      <c r="C197" s="17">
        <f t="shared" si="43"/>
        <v>11.030741410964895</v>
      </c>
      <c r="D197" s="17">
        <f t="shared" si="43"/>
        <v>1.6086438196242003</v>
      </c>
      <c r="E197" s="17">
        <f t="shared" si="43"/>
        <v>1.3041935027636953</v>
      </c>
      <c r="F197" s="17">
        <f t="shared" si="42"/>
        <v>1.40557544811446</v>
      </c>
    </row>
    <row r="198" spans="1:6" x14ac:dyDescent="0.2">
      <c r="A198" t="str">
        <f>$A$30</f>
        <v>Sewerage</v>
      </c>
      <c r="B198" s="17">
        <f t="shared" si="43"/>
        <v>-17.726506542550744</v>
      </c>
      <c r="C198" s="17">
        <f t="shared" si="43"/>
        <v>2.108433732409809</v>
      </c>
      <c r="D198" s="17">
        <f t="shared" si="43"/>
        <v>1.7544571525618835</v>
      </c>
      <c r="E198" s="17">
        <f t="shared" si="43"/>
        <v>1.4533597331227943</v>
      </c>
      <c r="F198" s="17">
        <f t="shared" si="42"/>
        <v>1.5536264130770139</v>
      </c>
    </row>
    <row r="199" spans="1:6" x14ac:dyDescent="0.2">
      <c r="A199" t="str">
        <f>$A$31</f>
        <v>Waste management</v>
      </c>
      <c r="B199" s="17">
        <f t="shared" si="43"/>
        <v>6.6767656153631672</v>
      </c>
      <c r="C199" s="17">
        <f t="shared" si="43"/>
        <v>-2.1062644403740061</v>
      </c>
      <c r="D199" s="17">
        <f t="shared" si="43"/>
        <v>1.7103358883034492</v>
      </c>
      <c r="E199" s="17">
        <f t="shared" si="43"/>
        <v>1.3902977238463787</v>
      </c>
      <c r="F199" s="17">
        <f t="shared" si="42"/>
        <v>1.4968650640309056</v>
      </c>
    </row>
    <row r="200" spans="1:6" x14ac:dyDescent="0.2">
      <c r="A200" t="str">
        <f>$A$32</f>
        <v>Construction</v>
      </c>
      <c r="B200" s="17">
        <f t="shared" si="43"/>
        <v>5.763036464512461</v>
      </c>
      <c r="C200" s="17">
        <f t="shared" si="43"/>
        <v>-6.4616192781103754</v>
      </c>
      <c r="D200" s="17">
        <f t="shared" si="43"/>
        <v>2.1121711618359962</v>
      </c>
      <c r="E200" s="17">
        <f t="shared" si="43"/>
        <v>1.3985193246499827</v>
      </c>
      <c r="F200" s="17">
        <f t="shared" si="42"/>
        <v>1.6358473595037726</v>
      </c>
    </row>
    <row r="201" spans="1:6" x14ac:dyDescent="0.2">
      <c r="A201" t="str">
        <f>$A$33</f>
        <v>Civil engineering</v>
      </c>
      <c r="B201" s="17">
        <f t="shared" si="43"/>
        <v>-8.5579228826935143</v>
      </c>
      <c r="C201" s="17">
        <f t="shared" si="43"/>
        <v>-7.6795700146465755</v>
      </c>
      <c r="D201" s="17">
        <f t="shared" si="43"/>
        <v>2.0961533634531904</v>
      </c>
      <c r="E201" s="17">
        <f t="shared" si="43"/>
        <v>1.3606101947253979</v>
      </c>
      <c r="F201" s="17">
        <f t="shared" si="42"/>
        <v>1.605200562257747</v>
      </c>
    </row>
    <row r="202" spans="1:6" x14ac:dyDescent="0.2">
      <c r="A202" t="str">
        <f>$A$34</f>
        <v>Specialised construction</v>
      </c>
      <c r="B202" s="17">
        <f t="shared" si="43"/>
        <v>3.4144299720788363</v>
      </c>
      <c r="C202" s="17">
        <f t="shared" si="43"/>
        <v>-7.028218513806439</v>
      </c>
      <c r="D202" s="17">
        <f t="shared" si="43"/>
        <v>2.1208256109664259</v>
      </c>
      <c r="E202" s="17">
        <f t="shared" si="43"/>
        <v>1.3924017812694478</v>
      </c>
      <c r="F202" s="17">
        <f t="shared" si="42"/>
        <v>1.634630573481699</v>
      </c>
    </row>
    <row r="203" spans="1:6" x14ac:dyDescent="0.2">
      <c r="A203" t="str">
        <f>$A$35</f>
        <v>Motor vehicle trade</v>
      </c>
      <c r="B203" s="17">
        <f t="shared" si="43"/>
        <v>4.9984621562741083</v>
      </c>
      <c r="C203" s="17">
        <f t="shared" si="43"/>
        <v>-4.5297678575134555</v>
      </c>
      <c r="D203" s="17">
        <f t="shared" si="43"/>
        <v>-0.52458612652895864</v>
      </c>
      <c r="E203" s="17">
        <f t="shared" si="43"/>
        <v>5.3005550806051183E-2</v>
      </c>
      <c r="F203" s="17">
        <f t="shared" si="42"/>
        <v>-0.13989668487722762</v>
      </c>
    </row>
    <row r="204" spans="1:6" x14ac:dyDescent="0.2">
      <c r="A204" t="str">
        <f>$A$36</f>
        <v>Wholesale trade</v>
      </c>
      <c r="B204" s="17">
        <f t="shared" si="43"/>
        <v>2.5899141980183726</v>
      </c>
      <c r="C204" s="17">
        <f t="shared" si="43"/>
        <v>2.0076050074391283E-2</v>
      </c>
      <c r="D204" s="17">
        <f t="shared" si="43"/>
        <v>-0.34836595824037087</v>
      </c>
      <c r="E204" s="17">
        <f t="shared" si="43"/>
        <v>-1.8638718019559075E-2</v>
      </c>
      <c r="F204" s="17">
        <f t="shared" si="42"/>
        <v>-0.12866884252586974</v>
      </c>
    </row>
    <row r="205" spans="1:6" x14ac:dyDescent="0.2">
      <c r="A205" t="str">
        <f>$A$37</f>
        <v>Retail trade</v>
      </c>
      <c r="B205" s="17">
        <f t="shared" si="43"/>
        <v>-2.9723731956689869</v>
      </c>
      <c r="C205" s="17">
        <f t="shared" si="43"/>
        <v>0.63020665271877885</v>
      </c>
      <c r="D205" s="17">
        <f t="shared" si="43"/>
        <v>-0.1198543551040987</v>
      </c>
      <c r="E205" s="17">
        <f t="shared" si="43"/>
        <v>3.0992400433360601E-3</v>
      </c>
      <c r="F205" s="17">
        <f t="shared" si="42"/>
        <v>-3.7902099952846768E-2</v>
      </c>
    </row>
    <row r="206" spans="1:6" x14ac:dyDescent="0.2">
      <c r="A206" t="str">
        <f>$A$38</f>
        <v>Land transport, etc</v>
      </c>
      <c r="B206" s="17">
        <f t="shared" si="43"/>
        <v>3.9514541728151942</v>
      </c>
      <c r="C206" s="17">
        <f t="shared" si="43"/>
        <v>-7.607501876275558</v>
      </c>
      <c r="D206" s="17">
        <f t="shared" si="43"/>
        <v>3.4879832788071718</v>
      </c>
      <c r="E206" s="17">
        <f t="shared" si="43"/>
        <v>0.13667635209666518</v>
      </c>
      <c r="F206" s="17">
        <f t="shared" si="42"/>
        <v>1.2415431801332533</v>
      </c>
    </row>
    <row r="207" spans="1:6" x14ac:dyDescent="0.2">
      <c r="A207" t="str">
        <f>$A$39</f>
        <v>Water transport</v>
      </c>
      <c r="B207" s="17">
        <f t="shared" si="43"/>
        <v>-6.42590498453065</v>
      </c>
      <c r="C207" s="17">
        <f t="shared" si="43"/>
        <v>6.0639470771970405</v>
      </c>
      <c r="D207" s="17">
        <f t="shared" si="43"/>
        <v>-3.4336635544818361</v>
      </c>
      <c r="E207" s="17">
        <f t="shared" si="43"/>
        <v>-0.58197937514744558</v>
      </c>
      <c r="F207" s="17">
        <f t="shared" si="42"/>
        <v>-1.5417769907167478</v>
      </c>
    </row>
    <row r="208" spans="1:6" x14ac:dyDescent="0.2">
      <c r="A208" t="str">
        <f>$A$40</f>
        <v>Air transport</v>
      </c>
      <c r="B208" s="17">
        <f t="shared" si="43"/>
        <v>-0.50685610117633395</v>
      </c>
      <c r="C208" s="17">
        <f t="shared" si="43"/>
        <v>-2.0275162940510905</v>
      </c>
      <c r="D208" s="17">
        <f t="shared" si="43"/>
        <v>-1.9069595601340694</v>
      </c>
      <c r="E208" s="17">
        <f t="shared" si="43"/>
        <v>-0.37538913869180623</v>
      </c>
      <c r="F208" s="17">
        <f t="shared" si="42"/>
        <v>-0.88855135117430484</v>
      </c>
    </row>
    <row r="209" spans="1:6" x14ac:dyDescent="0.2">
      <c r="A209" t="str">
        <f>$A$41</f>
        <v>Warehousing, etc</v>
      </c>
      <c r="B209" s="17">
        <f t="shared" si="43"/>
        <v>1.1276927126271596</v>
      </c>
      <c r="C209" s="17">
        <f t="shared" si="43"/>
        <v>10.404737505064233</v>
      </c>
      <c r="D209" s="17">
        <f t="shared" si="43"/>
        <v>6.3248226187551104E-2</v>
      </c>
      <c r="E209" s="17">
        <f t="shared" si="43"/>
        <v>-7.3164596190711251E-2</v>
      </c>
      <c r="F209" s="17">
        <f t="shared" si="42"/>
        <v>-2.7714330923145347E-2</v>
      </c>
    </row>
    <row r="210" spans="1:6" x14ac:dyDescent="0.2">
      <c r="A210" t="str">
        <f>$A$42</f>
        <v>Postal and courier</v>
      </c>
      <c r="B210" s="17">
        <f t="shared" si="43"/>
        <v>6.1990129769902813</v>
      </c>
      <c r="C210" s="17">
        <f t="shared" si="43"/>
        <v>11.23422659737856</v>
      </c>
      <c r="D210" s="17">
        <f t="shared" si="43"/>
        <v>0.16859257848882425</v>
      </c>
      <c r="E210" s="17">
        <f t="shared" si="43"/>
        <v>-1.7105479418588754E-2</v>
      </c>
      <c r="F210" s="17">
        <f t="shared" si="42"/>
        <v>4.4755590856349059E-2</v>
      </c>
    </row>
    <row r="211" spans="1:6" x14ac:dyDescent="0.2">
      <c r="A211" t="str">
        <f>$A$43</f>
        <v>Accommodation</v>
      </c>
      <c r="B211" s="17">
        <f t="shared" si="43"/>
        <v>10.194894239104757</v>
      </c>
      <c r="C211" s="17">
        <f t="shared" si="43"/>
        <v>-16.956199441707842</v>
      </c>
      <c r="D211" s="17">
        <f t="shared" si="43"/>
        <v>3.0733286536158921</v>
      </c>
      <c r="E211" s="17">
        <f t="shared" si="43"/>
        <v>0.78519760592508092</v>
      </c>
      <c r="F211" s="17">
        <f t="shared" si="42"/>
        <v>1.5422077222288388</v>
      </c>
    </row>
    <row r="212" spans="1:6" x14ac:dyDescent="0.2">
      <c r="A212" t="str">
        <f>$A$44</f>
        <v>Food and beverage services</v>
      </c>
      <c r="B212" s="17">
        <f t="shared" si="43"/>
        <v>4.4559379882811889</v>
      </c>
      <c r="C212" s="17">
        <f t="shared" si="43"/>
        <v>-4.105232650307733</v>
      </c>
      <c r="D212" s="17">
        <f t="shared" si="43"/>
        <v>0.81132825779002271</v>
      </c>
      <c r="E212" s="17">
        <f t="shared" si="43"/>
        <v>1.7916782892921201</v>
      </c>
      <c r="F212" s="17">
        <f t="shared" si="42"/>
        <v>1.4638402186016863</v>
      </c>
    </row>
    <row r="213" spans="1:6" x14ac:dyDescent="0.2">
      <c r="A213" t="str">
        <f>$A$45</f>
        <v>Publishing activities</v>
      </c>
      <c r="B213" s="17">
        <f t="shared" ref="B213:C238" si="44">IF(AND(C$3-B$3 &lt;&gt; 0,B45&lt;&gt;0,C45&lt;&gt;0),(EXP(LN(C45/B45)/(C$3-B$3))-1)*100,0)</f>
        <v>-0.69405652781987515</v>
      </c>
      <c r="C213" s="17">
        <f t="shared" si="44"/>
        <v>3.7565854791389075</v>
      </c>
      <c r="D213" s="17">
        <f t="shared" ref="D213:E213" si="45">IF(AND(E$3-D$3 &lt;&gt; 0,D45&lt;&gt;0,E45&lt;&gt;0),(EXP(LN(E45/D45)/(E$3-D$3))-1)*100,0)</f>
        <v>0.91673357136710099</v>
      </c>
      <c r="E213" s="17">
        <f t="shared" si="45"/>
        <v>0.20093776907605942</v>
      </c>
      <c r="F213" s="17">
        <f t="shared" si="42"/>
        <v>0.43897046266936357</v>
      </c>
    </row>
    <row r="214" spans="1:6" x14ac:dyDescent="0.2">
      <c r="A214" t="str">
        <f>$A$46</f>
        <v>Film and music</v>
      </c>
      <c r="B214" s="17">
        <f t="shared" si="44"/>
        <v>1.0379307899512469</v>
      </c>
      <c r="C214" s="17">
        <f t="shared" si="44"/>
        <v>7.3023647769928424</v>
      </c>
      <c r="D214" s="17">
        <f t="shared" ref="D214:E214" si="46">IF(AND(E$3-D$3 &lt;&gt; 0,D46&lt;&gt;0,E46&lt;&gt;0),(EXP(LN(E46/D46)/(E$3-D$3))-1)*100,0)</f>
        <v>0.97734605585246825</v>
      </c>
      <c r="E214" s="17">
        <f t="shared" si="46"/>
        <v>0.26814552355172161</v>
      </c>
      <c r="F214" s="17">
        <f t="shared" si="42"/>
        <v>0.503990524908704</v>
      </c>
    </row>
    <row r="215" spans="1:6" x14ac:dyDescent="0.2">
      <c r="A215" t="str">
        <f>$A$47</f>
        <v>Broadcasting</v>
      </c>
      <c r="B215" s="17">
        <f t="shared" si="44"/>
        <v>-2.7689530530006112</v>
      </c>
      <c r="C215" s="17">
        <f t="shared" si="44"/>
        <v>6.561154341556219</v>
      </c>
      <c r="D215" s="17">
        <f t="shared" ref="D215:E215" si="47">IF(AND(E$3-D$3 &lt;&gt; 0,D47&lt;&gt;0,E47&lt;&gt;0),(EXP(LN(E47/D47)/(E$3-D$3))-1)*100,0)</f>
        <v>0.89346538634214046</v>
      </c>
      <c r="E215" s="17">
        <f t="shared" si="47"/>
        <v>0.15655168860733149</v>
      </c>
      <c r="F215" s="17">
        <f t="shared" si="42"/>
        <v>0.40158960168708013</v>
      </c>
    </row>
    <row r="216" spans="1:6" x14ac:dyDescent="0.2">
      <c r="A216" t="str">
        <f>$A$48</f>
        <v>Telecommunications</v>
      </c>
      <c r="B216" s="17">
        <f t="shared" si="44"/>
        <v>-1.53625934520496</v>
      </c>
      <c r="C216" s="17">
        <f t="shared" si="44"/>
        <v>2.1800921724336897</v>
      </c>
      <c r="D216" s="17">
        <f t="shared" ref="D216:E216" si="48">IF(AND(E$3-D$3 &lt;&gt; 0,D48&lt;&gt;0,E48&lt;&gt;0),(EXP(LN(E48/D48)/(E$3-D$3))-1)*100,0)</f>
        <v>1.5256391212683962</v>
      </c>
      <c r="E216" s="17">
        <f t="shared" si="48"/>
        <v>0.81615468870472885</v>
      </c>
      <c r="F216" s="17">
        <f t="shared" si="42"/>
        <v>1.0520968882317128</v>
      </c>
    </row>
    <row r="217" spans="1:6" x14ac:dyDescent="0.2">
      <c r="A217" t="str">
        <f>$A$49</f>
        <v>Computing services</v>
      </c>
      <c r="B217" s="17">
        <f t="shared" si="44"/>
        <v>6.7266007816874973</v>
      </c>
      <c r="C217" s="17">
        <f t="shared" si="44"/>
        <v>4.8847569762064058</v>
      </c>
      <c r="D217" s="17">
        <f t="shared" ref="D217:E217" si="49">IF(AND(E$3-D$3 &lt;&gt; 0,D49&lt;&gt;0,E49&lt;&gt;0),(EXP(LN(E49/D49)/(E$3-D$3))-1)*100,0)</f>
        <v>1.5901494521598059</v>
      </c>
      <c r="E217" s="17">
        <f t="shared" si="49"/>
        <v>0.87040221496073045</v>
      </c>
      <c r="F217" s="17">
        <f t="shared" si="42"/>
        <v>1.1097495831309478</v>
      </c>
    </row>
    <row r="218" spans="1:6" x14ac:dyDescent="0.2">
      <c r="A218" t="str">
        <f>$A$50</f>
        <v>Information services</v>
      </c>
      <c r="B218" s="17">
        <f t="shared" si="44"/>
        <v>1.3813108515684736</v>
      </c>
      <c r="C218" s="17">
        <f t="shared" si="44"/>
        <v>9.927279257976851</v>
      </c>
      <c r="D218" s="17">
        <f t="shared" ref="D218:E218" si="50">IF(AND(E$3-D$3 &lt;&gt; 0,D50&lt;&gt;0,E50&lt;&gt;0),(EXP(LN(E50/D50)/(E$3-D$3))-1)*100,0)</f>
        <v>1.7141141800530724</v>
      </c>
      <c r="E218" s="17">
        <f t="shared" si="50"/>
        <v>0.97776186739344517</v>
      </c>
      <c r="F218" s="17">
        <f t="shared" si="42"/>
        <v>1.2226184164529252</v>
      </c>
    </row>
    <row r="219" spans="1:6" x14ac:dyDescent="0.2">
      <c r="A219" t="str">
        <f>$A$51</f>
        <v>Financial services</v>
      </c>
      <c r="B219" s="17">
        <f t="shared" si="44"/>
        <v>2.135075093538541</v>
      </c>
      <c r="C219" s="17">
        <f t="shared" si="44"/>
        <v>-2.9630553115169267</v>
      </c>
      <c r="D219" s="17">
        <f t="shared" ref="D219:E219" si="51">IF(AND(E$3-D$3 &lt;&gt; 0,D51&lt;&gt;0,E51&lt;&gt;0),(EXP(LN(E51/D51)/(E$3-D$3))-1)*100,0)</f>
        <v>0.24441260456882219</v>
      </c>
      <c r="E219" s="17">
        <f t="shared" si="51"/>
        <v>9.3579370911212045E-2</v>
      </c>
      <c r="F219" s="17">
        <f t="shared" si="42"/>
        <v>0.14383188170277172</v>
      </c>
    </row>
    <row r="220" spans="1:6" x14ac:dyDescent="0.2">
      <c r="A220" t="str">
        <f>$A$52</f>
        <v>Insurance and pensions</v>
      </c>
      <c r="B220" s="17">
        <f t="shared" si="44"/>
        <v>4.1999970108899554</v>
      </c>
      <c r="C220" s="17">
        <f t="shared" si="44"/>
        <v>-1.7340880071910814</v>
      </c>
      <c r="D220" s="17">
        <f t="shared" ref="D220:E220" si="52">IF(AND(E$3-D$3 &lt;&gt; 0,D52&lt;&gt;0,E52&lt;&gt;0),(EXP(LN(E52/D52)/(E$3-D$3))-1)*100,0)</f>
        <v>0.21535079888788111</v>
      </c>
      <c r="E220" s="17">
        <f t="shared" si="52"/>
        <v>5.9060662192189639E-2</v>
      </c>
      <c r="F220" s="17">
        <f t="shared" si="42"/>
        <v>0.1111302732831998</v>
      </c>
    </row>
    <row r="221" spans="1:6" x14ac:dyDescent="0.2">
      <c r="A221" t="str">
        <f>$A$53</f>
        <v>Auxiliary financial services</v>
      </c>
      <c r="B221" s="17">
        <f t="shared" si="44"/>
        <v>2.2952371731158827</v>
      </c>
      <c r="C221" s="17">
        <f t="shared" si="44"/>
        <v>0.70288248543854959</v>
      </c>
      <c r="D221" s="17">
        <f t="shared" ref="D221:E221" si="53">IF(AND(E$3-D$3 &lt;&gt; 0,D53&lt;&gt;0,E53&lt;&gt;0),(EXP(LN(E53/D53)/(E$3-D$3))-1)*100,0)</f>
        <v>0.4151051546146034</v>
      </c>
      <c r="E221" s="17">
        <f t="shared" si="53"/>
        <v>0.13776360948680733</v>
      </c>
      <c r="F221" s="17">
        <f t="shared" si="42"/>
        <v>0.23012557503840902</v>
      </c>
    </row>
    <row r="222" spans="1:6" x14ac:dyDescent="0.2">
      <c r="A222" t="str">
        <f>$A$54</f>
        <v>Real estate</v>
      </c>
      <c r="B222" s="17">
        <f t="shared" si="44"/>
        <v>-1.0670164554614781</v>
      </c>
      <c r="C222" s="17">
        <f t="shared" si="44"/>
        <v>23.04236691534549</v>
      </c>
      <c r="D222" s="17">
        <f t="shared" ref="D222:E222" si="54">IF(AND(E$3-D$3 &lt;&gt; 0,D54&lt;&gt;0,E54&lt;&gt;0),(EXP(LN(E54/D54)/(E$3-D$3))-1)*100,0)</f>
        <v>-1.0105340121078332</v>
      </c>
      <c r="E222" s="17">
        <f t="shared" si="54"/>
        <v>0.5118167682205188</v>
      </c>
      <c r="F222" s="17">
        <f t="shared" si="42"/>
        <v>1.7827854648544417E-3</v>
      </c>
    </row>
    <row r="223" spans="1:6" x14ac:dyDescent="0.2">
      <c r="A223" t="str">
        <f>$A$55</f>
        <v>Legal and accounting</v>
      </c>
      <c r="B223" s="17">
        <f t="shared" si="44"/>
        <v>5.3185011808858373</v>
      </c>
      <c r="C223" s="17">
        <f t="shared" si="44"/>
        <v>-9.4499217070463271</v>
      </c>
      <c r="D223" s="17">
        <f t="shared" ref="D223:E223" si="55">IF(AND(E$3-D$3 &lt;&gt; 0,D55&lt;&gt;0,E55&lt;&gt;0),(EXP(LN(E55/D55)/(E$3-D$3))-1)*100,0)</f>
        <v>1.172052496536824</v>
      </c>
      <c r="E223" s="17">
        <f t="shared" si="55"/>
        <v>0.56951463893242238</v>
      </c>
      <c r="F223" s="17">
        <f t="shared" si="42"/>
        <v>0.769960814626236</v>
      </c>
    </row>
    <row r="224" spans="1:6" x14ac:dyDescent="0.2">
      <c r="A224" t="str">
        <f>$A$56</f>
        <v>Head offices, etc</v>
      </c>
      <c r="B224" s="17">
        <f t="shared" si="44"/>
        <v>-2.0867213744958035</v>
      </c>
      <c r="C224" s="17">
        <f t="shared" si="44"/>
        <v>-2.8182965574345631</v>
      </c>
      <c r="D224" s="17">
        <f t="shared" ref="D224:E224" si="56">IF(AND(E$3-D$3 &lt;&gt; 0,D56&lt;&gt;0,E56&lt;&gt;0),(EXP(LN(E56/D56)/(E$3-D$3))-1)*100,0)</f>
        <v>0.98315678655938044</v>
      </c>
      <c r="E224" s="17">
        <f t="shared" si="56"/>
        <v>0.47303961468074807</v>
      </c>
      <c r="F224" s="17">
        <f t="shared" si="42"/>
        <v>0.64279170940007013</v>
      </c>
    </row>
    <row r="225" spans="1:6" x14ac:dyDescent="0.2">
      <c r="A225" t="str">
        <f>$A$57</f>
        <v>Architectural and related</v>
      </c>
      <c r="B225" s="17">
        <f t="shared" si="44"/>
        <v>4.8845178636422348</v>
      </c>
      <c r="C225" s="17">
        <f t="shared" si="44"/>
        <v>-3.6919665430218407</v>
      </c>
      <c r="D225" s="17">
        <f t="shared" ref="D225:E225" si="57">IF(AND(E$3-D$3 &lt;&gt; 0,D57&lt;&gt;0,E57&lt;&gt;0),(EXP(LN(E57/D57)/(E$3-D$3))-1)*100,0)</f>
        <v>-0.60668034885469346</v>
      </c>
      <c r="E225" s="17">
        <f t="shared" si="57"/>
        <v>0.34692713710693379</v>
      </c>
      <c r="F225" s="17">
        <f t="shared" si="42"/>
        <v>2.8045710413437952E-2</v>
      </c>
    </row>
    <row r="226" spans="1:6" x14ac:dyDescent="0.2">
      <c r="A226" t="str">
        <f>$A$58</f>
        <v>Scientific research and development</v>
      </c>
      <c r="B226" s="17">
        <f t="shared" si="44"/>
        <v>5.9109500753786071</v>
      </c>
      <c r="C226" s="17">
        <f t="shared" si="44"/>
        <v>-9.0286806854876449</v>
      </c>
      <c r="D226" s="17">
        <f t="shared" ref="D226:E226" si="58">IF(AND(E$3-D$3 &lt;&gt; 0,D58&lt;&gt;0,E58&lt;&gt;0),(EXP(LN(E58/D58)/(E$3-D$3))-1)*100,0)</f>
        <v>2.2542801270204693</v>
      </c>
      <c r="E226" s="17">
        <f t="shared" si="58"/>
        <v>0.8109260442636268</v>
      </c>
      <c r="F226" s="17">
        <f t="shared" si="42"/>
        <v>1.2897660373358155</v>
      </c>
    </row>
    <row r="227" spans="1:6" x14ac:dyDescent="0.2">
      <c r="A227" t="str">
        <f>$A$59</f>
        <v>Advertising, etc</v>
      </c>
      <c r="B227" s="17">
        <f t="shared" si="44"/>
        <v>2.3094772872967129</v>
      </c>
      <c r="C227" s="17">
        <f t="shared" si="44"/>
        <v>-7.0300333678705691</v>
      </c>
      <c r="D227" s="17">
        <f t="shared" ref="D227:E227" si="59">IF(AND(E$3-D$3 &lt;&gt; 0,D59&lt;&gt;0,E59&lt;&gt;0),(EXP(LN(E59/D59)/(E$3-D$3))-1)*100,0)</f>
        <v>2.2470927836536703</v>
      </c>
      <c r="E227" s="17">
        <f t="shared" si="59"/>
        <v>0.7973094042557527</v>
      </c>
      <c r="F227" s="17">
        <f t="shared" si="42"/>
        <v>1.2782719289032629</v>
      </c>
    </row>
    <row r="228" spans="1:6" x14ac:dyDescent="0.2">
      <c r="A228" t="str">
        <f>$A$60</f>
        <v>Other professional</v>
      </c>
      <c r="B228" s="17">
        <f t="shared" si="44"/>
        <v>5.85434738765509</v>
      </c>
      <c r="C228" s="17">
        <f t="shared" si="44"/>
        <v>-9.7675202136234933</v>
      </c>
      <c r="D228" s="17">
        <f t="shared" ref="D228:E228" si="60">IF(AND(E$3-D$3 &lt;&gt; 0,D60&lt;&gt;0,E60&lt;&gt;0),(EXP(LN(E60/D60)/(E$3-D$3))-1)*100,0)</f>
        <v>2.2393901738450239</v>
      </c>
      <c r="E228" s="17">
        <f t="shared" si="60"/>
        <v>0.8039241614424375</v>
      </c>
      <c r="F228" s="17">
        <f t="shared" si="42"/>
        <v>1.2801593768863251</v>
      </c>
    </row>
    <row r="229" spans="1:6" x14ac:dyDescent="0.2">
      <c r="A229" t="str">
        <f>$A$61</f>
        <v>Veterinary</v>
      </c>
      <c r="B229" s="17">
        <f t="shared" si="44"/>
        <v>-7.5594283731663321</v>
      </c>
      <c r="C229" s="17">
        <f t="shared" si="44"/>
        <v>-3.8053949865763048</v>
      </c>
      <c r="D229" s="17">
        <f t="shared" ref="D229:E229" si="61">IF(AND(E$3-D$3 &lt;&gt; 0,D61&lt;&gt;0,E61&lt;&gt;0),(EXP(LN(E61/D61)/(E$3-D$3))-1)*100,0)</f>
        <v>2.2911750536748654</v>
      </c>
      <c r="E229" s="17">
        <f t="shared" si="61"/>
        <v>0.87672887549092859</v>
      </c>
      <c r="F229" s="17">
        <f t="shared" si="42"/>
        <v>1.3460243083553536</v>
      </c>
    </row>
    <row r="230" spans="1:6" x14ac:dyDescent="0.2">
      <c r="A230" t="str">
        <f>$A$62</f>
        <v>Rental and leasing</v>
      </c>
      <c r="B230" s="17">
        <f t="shared" si="44"/>
        <v>8.2871242705532246</v>
      </c>
      <c r="C230" s="17">
        <f t="shared" si="44"/>
        <v>-1.3636747448550479</v>
      </c>
      <c r="D230" s="17">
        <f t="shared" ref="D230:E230" si="62">IF(AND(E$3-D$3 &lt;&gt; 0,D62&lt;&gt;0,E62&lt;&gt;0),(EXP(LN(E62/D62)/(E$3-D$3))-1)*100,0)</f>
        <v>0.97551605986894163</v>
      </c>
      <c r="E230" s="17">
        <f t="shared" si="62"/>
        <v>0.52211693172117268</v>
      </c>
      <c r="F230" s="17">
        <f t="shared" si="42"/>
        <v>0.67302331652991931</v>
      </c>
    </row>
    <row r="231" spans="1:6" x14ac:dyDescent="0.2">
      <c r="A231" t="str">
        <f>$A$63</f>
        <v>Employment activities</v>
      </c>
      <c r="B231" s="17">
        <f t="shared" si="44"/>
        <v>0.90084040712872238</v>
      </c>
      <c r="C231" s="17">
        <f t="shared" si="44"/>
        <v>-5.3118314803592188</v>
      </c>
      <c r="D231" s="17">
        <f t="shared" ref="D231:E231" si="63">IF(AND(E$3-D$3 &lt;&gt; 0,D63&lt;&gt;0,E63&lt;&gt;0),(EXP(LN(E63/D63)/(E$3-D$3))-1)*100,0)</f>
        <v>0.97020749918454996</v>
      </c>
      <c r="E231" s="17">
        <f t="shared" si="63"/>
        <v>0.50705533075587894</v>
      </c>
      <c r="F231" s="17">
        <f t="shared" si="42"/>
        <v>0.66120285021669112</v>
      </c>
    </row>
    <row r="232" spans="1:6" x14ac:dyDescent="0.2">
      <c r="A232" t="str">
        <f>$A$64</f>
        <v>Travel, etc</v>
      </c>
      <c r="B232" s="17">
        <f t="shared" si="44"/>
        <v>1.1146127783810522</v>
      </c>
      <c r="C232" s="17">
        <f t="shared" si="44"/>
        <v>-3.8704703191176137</v>
      </c>
      <c r="D232" s="17">
        <f t="shared" ref="D232:E232" si="64">IF(AND(E$3-D$3 &lt;&gt; 0,D64&lt;&gt;0,E64&lt;&gt;0),(EXP(LN(E64/D64)/(E$3-D$3))-1)*100,0)</f>
        <v>0.98690404942720633</v>
      </c>
      <c r="E232" s="17">
        <f t="shared" si="64"/>
        <v>0.54102519436147745</v>
      </c>
      <c r="F232" s="17">
        <f t="shared" si="42"/>
        <v>0.68943231005711425</v>
      </c>
    </row>
    <row r="233" spans="1:6" x14ac:dyDescent="0.2">
      <c r="A233" t="str">
        <f>$A$65</f>
        <v>Security, etc</v>
      </c>
      <c r="B233" s="17">
        <f t="shared" si="44"/>
        <v>-4.4060472083637165</v>
      </c>
      <c r="C233" s="17">
        <f t="shared" si="44"/>
        <v>-8.0081254203934193E-2</v>
      </c>
      <c r="D233" s="17">
        <f t="shared" ref="D233:E233" si="65">IF(AND(E$3-D$3 &lt;&gt; 0,D65&lt;&gt;0,E65&lt;&gt;0),(EXP(LN(E65/D65)/(E$3-D$3))-1)*100,0)</f>
        <v>0.99980421040801737</v>
      </c>
      <c r="E233" s="17">
        <f t="shared" si="65"/>
        <v>0.53788389585456287</v>
      </c>
      <c r="F233" s="17">
        <f t="shared" si="42"/>
        <v>0.6916221242912135</v>
      </c>
    </row>
    <row r="234" spans="1:6" x14ac:dyDescent="0.2">
      <c r="A234" t="str">
        <f>$A$66</f>
        <v>Services to buildings</v>
      </c>
      <c r="B234" s="17">
        <f t="shared" si="44"/>
        <v>-1.369354785178456</v>
      </c>
      <c r="C234" s="17">
        <f t="shared" si="44"/>
        <v>-5.9858656056142152</v>
      </c>
      <c r="D234" s="17">
        <f t="shared" ref="D234:E234" si="66">IF(AND(E$3-D$3 &lt;&gt; 0,D66&lt;&gt;0,E66&lt;&gt;0),(EXP(LN(E66/D66)/(E$3-D$3))-1)*100,0)</f>
        <v>0.91110628351021017</v>
      </c>
      <c r="E234" s="17">
        <f t="shared" si="66"/>
        <v>0.44771330784125762</v>
      </c>
      <c r="F234" s="17">
        <f t="shared" si="42"/>
        <v>0.6019407111387487</v>
      </c>
    </row>
    <row r="235" spans="1:6" x14ac:dyDescent="0.2">
      <c r="A235" t="str">
        <f>$A$67</f>
        <v>Office administrative</v>
      </c>
      <c r="B235" s="17">
        <f t="shared" si="44"/>
        <v>10.579268809837483</v>
      </c>
      <c r="C235" s="17">
        <f t="shared" si="44"/>
        <v>-3.5480099642520968</v>
      </c>
      <c r="D235" s="17">
        <f t="shared" ref="D235:E235" si="67">IF(AND(E$3-D$3 &lt;&gt; 0,D67&lt;&gt;0,E67&lt;&gt;0),(EXP(LN(E67/D67)/(E$3-D$3))-1)*100,0)</f>
        <v>0.99574406596403264</v>
      </c>
      <c r="E235" s="17">
        <f t="shared" si="67"/>
        <v>0.53633793125402729</v>
      </c>
      <c r="F235" s="17">
        <f t="shared" si="42"/>
        <v>0.68924064642525984</v>
      </c>
    </row>
    <row r="236" spans="1:6" x14ac:dyDescent="0.2">
      <c r="A236" t="str">
        <f>$A$68</f>
        <v>Public administration and defence</v>
      </c>
      <c r="B236" s="17">
        <f t="shared" si="44"/>
        <v>2.4692144127751225</v>
      </c>
      <c r="C236" s="17">
        <f t="shared" si="44"/>
        <v>6.1682040709537755</v>
      </c>
      <c r="D236" s="17">
        <f t="shared" ref="D236:E236" si="68">IF(AND(E$3-D$3 &lt;&gt; 0,D68&lt;&gt;0,E68&lt;&gt;0),(EXP(LN(E68/D68)/(E$3-D$3))-1)*100,0)</f>
        <v>0.3607672611957824</v>
      </c>
      <c r="E236" s="17">
        <f t="shared" si="68"/>
        <v>-5.8687425475012489E-2</v>
      </c>
      <c r="F236" s="17">
        <f t="shared" si="42"/>
        <v>8.0935652064972885E-2</v>
      </c>
    </row>
    <row r="237" spans="1:6" x14ac:dyDescent="0.2">
      <c r="A237" t="str">
        <f>$A$69</f>
        <v xml:space="preserve">Education </v>
      </c>
      <c r="B237" s="17">
        <f t="shared" si="44"/>
        <v>-1.3947158811087101</v>
      </c>
      <c r="C237" s="17">
        <f t="shared" si="44"/>
        <v>6.8750373798093234</v>
      </c>
      <c r="D237" s="17">
        <f t="shared" ref="D237:E237" si="69">IF(AND(E$3-D$3 &lt;&gt; 0,D69&lt;&gt;0,E69&lt;&gt;0),(EXP(LN(E69/D69)/(E$3-D$3))-1)*100,0)</f>
        <v>-0.5950641075144758</v>
      </c>
      <c r="E237" s="17">
        <f t="shared" si="69"/>
        <v>0.2361156293736677</v>
      </c>
      <c r="F237" s="17">
        <f t="shared" si="42"/>
        <v>-4.1713644230245706E-2</v>
      </c>
    </row>
    <row r="238" spans="1:6" x14ac:dyDescent="0.2">
      <c r="A238" t="str">
        <f>$A$70</f>
        <v>Health</v>
      </c>
      <c r="B238" s="17">
        <f t="shared" si="44"/>
        <v>3.5530520698941581</v>
      </c>
      <c r="C238" s="17">
        <f t="shared" si="44"/>
        <v>2.0075567791630444</v>
      </c>
      <c r="D238" s="17">
        <f t="shared" ref="D238:E238" si="70">IF(AND(E$3-D$3 &lt;&gt; 0,D70&lt;&gt;0,E70&lt;&gt;0),(EXP(LN(E70/D70)/(E$3-D$3))-1)*100,0)</f>
        <v>1.2299099391614332</v>
      </c>
      <c r="E238" s="17">
        <f t="shared" si="70"/>
        <v>0.34290195298429804</v>
      </c>
      <c r="F238" s="17">
        <f t="shared" ref="F238:F249" si="71">IF(AND(F$3-D$3 &lt;&gt; 0,D70&lt;&gt;0,F70&lt;&gt;0),(EXP(LN(F70/D70)/(F$3-D$3))-1)*100,0)</f>
        <v>0.63770431908261038</v>
      </c>
    </row>
    <row r="239" spans="1:6" x14ac:dyDescent="0.2">
      <c r="A239" t="str">
        <f>$A$71</f>
        <v>Residential care</v>
      </c>
      <c r="B239" s="17">
        <f t="shared" ref="B239:C239" si="72">IF(AND(C$3-B$3 &lt;&gt; 0,B71&lt;&gt;0,C71&lt;&gt;0),(EXP(LN(C71/B71)/(C$3-B$3))-1)*100,0)</f>
        <v>-0.54075918319689276</v>
      </c>
      <c r="C239" s="17">
        <f t="shared" si="72"/>
        <v>-5.3769392790945725</v>
      </c>
      <c r="D239" s="17">
        <f t="shared" ref="D239:D247" si="73">IF(AND(E$3-D$3 &lt;&gt; 0,D71&lt;&gt;0,E71&lt;&gt;0),(EXP(LN(E71/D71)/(E$3-D$3))-1)*100,0)</f>
        <v>2.825831780262078E-2</v>
      </c>
      <c r="E239" s="17">
        <f t="shared" ref="E239:E247" si="74">IF(AND(F$3-E$3 &lt;&gt; 0,E71&lt;&gt;0,F71&lt;&gt;0),(EXP(LN(F71/E71)/(F$3-E$3))-1)*100,0)</f>
        <v>-0.14536442981462061</v>
      </c>
      <c r="F239" s="17">
        <f t="shared" si="71"/>
        <v>-8.7523691291513384E-2</v>
      </c>
    </row>
    <row r="240" spans="1:6" x14ac:dyDescent="0.2">
      <c r="A240" t="str">
        <f>$A$72</f>
        <v>Social work</v>
      </c>
      <c r="B240" s="17">
        <f t="shared" ref="B240:C240" si="75">IF(AND(C$3-B$3 &lt;&gt; 0,B72&lt;&gt;0,C72&lt;&gt;0),(EXP(LN(C72/B72)/(C$3-B$3))-1)*100,0)</f>
        <v>0.50888933570958361</v>
      </c>
      <c r="C240" s="17">
        <f t="shared" si="75"/>
        <v>-5.8200787586772389</v>
      </c>
      <c r="D240" s="17">
        <f t="shared" si="73"/>
        <v>-6.7563404211723466E-2</v>
      </c>
      <c r="E240" s="17">
        <f t="shared" si="74"/>
        <v>-0.23993471562032687</v>
      </c>
      <c r="F240" s="17">
        <f t="shared" si="71"/>
        <v>-0.182510672676095</v>
      </c>
    </row>
    <row r="241" spans="1:6" x14ac:dyDescent="0.2">
      <c r="A241" t="str">
        <f>$A$73</f>
        <v>Arts and entertainment</v>
      </c>
      <c r="B241" s="17">
        <f t="shared" ref="B241:C241" si="76">IF(AND(C$3-B$3 &lt;&gt; 0,B73&lt;&gt;0,C73&lt;&gt;0),(EXP(LN(C73/B73)/(C$3-B$3))-1)*100,0)</f>
        <v>-0.61881831660268727</v>
      </c>
      <c r="C241" s="17">
        <f t="shared" si="76"/>
        <v>16.471645816899549</v>
      </c>
      <c r="D241" s="17">
        <f t="shared" si="73"/>
        <v>1.2407736435938732</v>
      </c>
      <c r="E241" s="17">
        <f t="shared" si="74"/>
        <v>0.60881050445580343</v>
      </c>
      <c r="F241" s="17">
        <f t="shared" si="71"/>
        <v>0.8190253495161226</v>
      </c>
    </row>
    <row r="242" spans="1:6" x14ac:dyDescent="0.2">
      <c r="A242" t="str">
        <f>$A$74</f>
        <v>Libraries, etc</v>
      </c>
      <c r="B242" s="17">
        <f t="shared" ref="B242:C242" si="77">IF(AND(C$3-B$3 &lt;&gt; 0,B74&lt;&gt;0,C74&lt;&gt;0),(EXP(LN(C74/B74)/(C$3-B$3))-1)*100,0)</f>
        <v>0.9665079395918319</v>
      </c>
      <c r="C242" s="17">
        <f t="shared" si="77"/>
        <v>18.750945489925265</v>
      </c>
      <c r="D242" s="17">
        <f t="shared" si="73"/>
        <v>1.2620357506122559</v>
      </c>
      <c r="E242" s="17">
        <f t="shared" si="74"/>
        <v>0.67920134989136738</v>
      </c>
      <c r="F242" s="17">
        <f t="shared" si="71"/>
        <v>0.8731057908871076</v>
      </c>
    </row>
    <row r="243" spans="1:6" x14ac:dyDescent="0.2">
      <c r="A243" t="str">
        <f>$A$75</f>
        <v>Gambling and betting</v>
      </c>
      <c r="B243" s="17">
        <f t="shared" ref="B243:C243" si="78">IF(AND(C$3-B$3 &lt;&gt; 0,B75&lt;&gt;0,C75&lt;&gt;0),(EXP(LN(C75/B75)/(C$3-B$3))-1)*100,0)</f>
        <v>-3.2256856765300213</v>
      </c>
      <c r="C243" s="17">
        <f t="shared" si="78"/>
        <v>-3.3677593170696629</v>
      </c>
      <c r="D243" s="17">
        <f t="shared" si="73"/>
        <v>3.2632335432358994</v>
      </c>
      <c r="E243" s="17">
        <f t="shared" si="74"/>
        <v>1.4700044344600594</v>
      </c>
      <c r="F243" s="17">
        <f t="shared" si="71"/>
        <v>2.0642604345199489</v>
      </c>
    </row>
    <row r="244" spans="1:6" x14ac:dyDescent="0.2">
      <c r="A244" t="str">
        <f>$A$76</f>
        <v>Sport and recreation</v>
      </c>
      <c r="B244" s="17">
        <f t="shared" ref="B244:C244" si="79">IF(AND(C$3-B$3 &lt;&gt; 0,B76&lt;&gt;0,C76&lt;&gt;0),(EXP(LN(C76/B76)/(C$3-B$3))-1)*100,0)</f>
        <v>-1.3997202984085133</v>
      </c>
      <c r="C244" s="17">
        <f t="shared" si="79"/>
        <v>-5.4732529160471888</v>
      </c>
      <c r="D244" s="17">
        <f t="shared" si="73"/>
        <v>3.153657916408803</v>
      </c>
      <c r="E244" s="17">
        <f t="shared" si="74"/>
        <v>1.3627788171207023</v>
      </c>
      <c r="F244" s="17">
        <f t="shared" si="71"/>
        <v>1.9562569265196839</v>
      </c>
    </row>
    <row r="245" spans="1:6" x14ac:dyDescent="0.2">
      <c r="A245" t="str">
        <f>$A$77</f>
        <v>Membership organisations</v>
      </c>
      <c r="B245" s="17">
        <f t="shared" ref="B245:C245" si="80">IF(AND(C$3-B$3 &lt;&gt; 0,B77&lt;&gt;0,C77&lt;&gt;0),(EXP(LN(C77/B77)/(C$3-B$3))-1)*100,0)</f>
        <v>0.15077895594397539</v>
      </c>
      <c r="C245" s="17">
        <f t="shared" si="80"/>
        <v>-7.905661937679886</v>
      </c>
      <c r="D245" s="17">
        <f t="shared" si="73"/>
        <v>2.2761318115655405</v>
      </c>
      <c r="E245" s="17">
        <f t="shared" si="74"/>
        <v>0.56671051535983619</v>
      </c>
      <c r="F245" s="17">
        <f t="shared" si="71"/>
        <v>1.1333192554828786</v>
      </c>
    </row>
    <row r="246" spans="1:6" x14ac:dyDescent="0.2">
      <c r="A246" t="str">
        <f>$A$78</f>
        <v>Repair of goods</v>
      </c>
      <c r="B246" s="17">
        <f t="shared" ref="B246:C246" si="81">IF(AND(C$3-B$3 &lt;&gt; 0,B78&lt;&gt;0,C78&lt;&gt;0),(EXP(LN(C78/B78)/(C$3-B$3))-1)*100,0)</f>
        <v>12.325723686775603</v>
      </c>
      <c r="C246" s="17">
        <f t="shared" si="81"/>
        <v>15.660809778166129</v>
      </c>
      <c r="D246" s="17">
        <f t="shared" si="73"/>
        <v>2.8705911925847705</v>
      </c>
      <c r="E246" s="17">
        <f t="shared" si="74"/>
        <v>0.78425126170731385</v>
      </c>
      <c r="F246" s="17">
        <f t="shared" si="71"/>
        <v>1.4749535188649743</v>
      </c>
    </row>
    <row r="247" spans="1:6" x14ac:dyDescent="0.2">
      <c r="A247" t="str">
        <f>$A$79</f>
        <v>Other personal service</v>
      </c>
      <c r="B247" s="17">
        <f>IF(AND(C$3-B$3 &lt;&gt; 0,B79&lt;&gt;0,C79&lt;&gt;0),(EXP(LN(C79/B79)/(C$3-B$3))-1)*100,0)</f>
        <v>4.6009906506439879</v>
      </c>
      <c r="C247" s="17">
        <f t="shared" ref="C247" si="82">IF(AND(D$3-C$3 &lt;&gt; 0,C79&lt;&gt;0,D79&lt;&gt;0),(EXP(LN(D79/C79)/(D$3-C$3))-1)*100,0)</f>
        <v>-3.067135897053852</v>
      </c>
      <c r="D247" s="17">
        <f t="shared" si="73"/>
        <v>2.3562249724572881</v>
      </c>
      <c r="E247" s="17">
        <f t="shared" si="74"/>
        <v>0.59341102619645536</v>
      </c>
      <c r="F247" s="17">
        <f t="shared" si="71"/>
        <v>1.1776162824854941</v>
      </c>
    </row>
    <row r="248" spans="1:6" x14ac:dyDescent="0.2">
      <c r="B248" s="17"/>
      <c r="C248" s="17"/>
      <c r="D248" s="17"/>
      <c r="E248" s="17"/>
      <c r="F248" s="17"/>
    </row>
    <row r="249" spans="1:6" x14ac:dyDescent="0.2">
      <c r="A249" s="23" t="str">
        <f>$A$81</f>
        <v>All industries</v>
      </c>
      <c r="B249" s="25">
        <f>IF(AND(C$3-B$3 &lt;&gt; 0,B81&lt;&gt;0,C81&lt;&gt;0),(EXP(LN(C81/B81)/(C$3-B$3))-1)*100,0)</f>
        <v>1.733179610351665</v>
      </c>
      <c r="C249" s="25">
        <f t="shared" ref="C249" si="83">IF(AND(D$3-C$3 &lt;&gt; 0,C81&lt;&gt;0,D81&lt;&gt;0),(EXP(LN(D81/C81)/(D$3-C$3))-1)*100,0)</f>
        <v>-0.54833096223976252</v>
      </c>
      <c r="D249" s="25">
        <f>IF(AND(E$3-D$3 &lt;&gt; 0,D81&lt;&gt;0,E81&lt;&gt;0),(EXP(LN(E81/D81)/(E$3-D$3))-1)*100,0)</f>
        <v>0.80192927975628603</v>
      </c>
      <c r="E249" s="25">
        <f>IF(AND(F$3-E$3 &lt;&gt; 0,E81&lt;&gt;0,F81&lt;&gt;0),(EXP(LN(F81/E81)/(F$3-E$3))-1)*100,0)</f>
        <v>0.47742864675834884</v>
      </c>
      <c r="F249" s="25">
        <f t="shared" si="71"/>
        <v>0.58547928810912531</v>
      </c>
    </row>
    <row r="253" spans="1:6" ht="15.75" x14ac:dyDescent="0.25">
      <c r="A253" s="18" t="str">
        <f>CONCATENATE($A$1," (Continued)")</f>
        <v>Industry Table 3  Employment by Industry (SIC 2007), 2015-2035, London (Continued)</v>
      </c>
    </row>
    <row r="255" spans="1:6" x14ac:dyDescent="0.2">
      <c r="A255" s="21"/>
      <c r="B255" s="24" t="str">
        <f>CONCATENATE(B$3,"-",C$3)</f>
        <v>2015-2019</v>
      </c>
      <c r="C255" s="24" t="str">
        <f>CONCATENATE(C$3,"-",D$3)</f>
        <v>2019-2020</v>
      </c>
      <c r="D255" s="24" t="str">
        <f>CONCATENATE(D$3,"-",E$3)</f>
        <v>2020-2025</v>
      </c>
      <c r="E255" s="24" t="str">
        <f>CONCATENATE(E$3,"-",F$3)</f>
        <v>2025-2035</v>
      </c>
      <c r="F255" s="24" t="str">
        <f>CONCATENATE(D$3,"-",F$3)</f>
        <v>2020-2035</v>
      </c>
    </row>
    <row r="256" spans="1:6" x14ac:dyDescent="0.2">
      <c r="A256" s="27" t="s">
        <v>15</v>
      </c>
    </row>
    <row r="257" spans="1:6" x14ac:dyDescent="0.2">
      <c r="A257" t="str">
        <f>$A$5</f>
        <v>Agriculture, etc</v>
      </c>
      <c r="B257" s="26">
        <f t="shared" ref="B257:E276" si="84">C5-B5</f>
        <v>2.857000000021781</v>
      </c>
      <c r="C257" s="26">
        <f t="shared" si="84"/>
        <v>-3.5179999999987266</v>
      </c>
      <c r="D257" s="26">
        <f t="shared" si="84"/>
        <v>3.6000000014889899E-2</v>
      </c>
      <c r="E257" s="26">
        <f t="shared" si="84"/>
        <v>2.999999998704217E-2</v>
      </c>
      <c r="F257" s="26">
        <f>F5-D5</f>
        <v>6.6000000001932069E-2</v>
      </c>
    </row>
    <row r="258" spans="1:6" x14ac:dyDescent="0.2">
      <c r="A258" t="str">
        <f>$A$6</f>
        <v>Coal, oil &amp; gas; Mining &amp; related</v>
      </c>
      <c r="B258" s="26">
        <f t="shared" si="84"/>
        <v>-2.0189999999968711</v>
      </c>
      <c r="C258" s="26">
        <f t="shared" si="84"/>
        <v>0.46000000003262853</v>
      </c>
      <c r="D258" s="26">
        <f t="shared" si="84"/>
        <v>-0.50699999998747902</v>
      </c>
      <c r="E258" s="26">
        <f t="shared" si="84"/>
        <v>-0.55200000000748184</v>
      </c>
      <c r="F258" s="26">
        <f t="shared" ref="F258:F321" si="85">F6-D6</f>
        <v>-1.0589999999949609</v>
      </c>
    </row>
    <row r="259" spans="1:6" x14ac:dyDescent="0.2">
      <c r="A259" t="str">
        <f>$A$7</f>
        <v>Food products</v>
      </c>
      <c r="B259" s="26">
        <f t="shared" si="84"/>
        <v>11.020999999997464</v>
      </c>
      <c r="C259" s="26">
        <f t="shared" si="84"/>
        <v>0.8389999988646295</v>
      </c>
      <c r="D259" s="26">
        <f t="shared" si="84"/>
        <v>0.63300000044768012</v>
      </c>
      <c r="E259" s="26">
        <f t="shared" si="84"/>
        <v>-0.7580000004955636</v>
      </c>
      <c r="F259" s="26">
        <f t="shared" si="85"/>
        <v>-0.12500000004788347</v>
      </c>
    </row>
    <row r="260" spans="1:6" x14ac:dyDescent="0.2">
      <c r="A260" t="str">
        <f>$A$8</f>
        <v>Beverages and tobacco</v>
      </c>
      <c r="B260" s="26">
        <f t="shared" si="84"/>
        <v>3.6270000000325799</v>
      </c>
      <c r="C260" s="26">
        <f t="shared" si="84"/>
        <v>0.64699999988269763</v>
      </c>
      <c r="D260" s="26">
        <f t="shared" si="84"/>
        <v>3.3000000020687814E-2</v>
      </c>
      <c r="E260" s="26">
        <f t="shared" si="84"/>
        <v>-0.14400000004437974</v>
      </c>
      <c r="F260" s="26">
        <f t="shared" si="85"/>
        <v>-0.11100000002369192</v>
      </c>
    </row>
    <row r="261" spans="1:6" x14ac:dyDescent="0.2">
      <c r="A261" t="str">
        <f>$A$9</f>
        <v>Textiles</v>
      </c>
      <c r="B261" s="26">
        <f t="shared" si="84"/>
        <v>0.63299999998402789</v>
      </c>
      <c r="C261" s="26">
        <f t="shared" si="84"/>
        <v>1.1919999999260584</v>
      </c>
      <c r="D261" s="26">
        <f t="shared" si="84"/>
        <v>-0.52699999992998325</v>
      </c>
      <c r="E261" s="26">
        <f t="shared" si="84"/>
        <v>-0.5900000000269916</v>
      </c>
      <c r="F261" s="26">
        <f t="shared" si="85"/>
        <v>-1.1169999999569749</v>
      </c>
    </row>
    <row r="262" spans="1:6" x14ac:dyDescent="0.2">
      <c r="A262" t="str">
        <f>$A$10</f>
        <v>Wearing apparel; Leather, etc</v>
      </c>
      <c r="B262" s="26">
        <f t="shared" si="84"/>
        <v>-10.480000000181104</v>
      </c>
      <c r="C262" s="26">
        <f t="shared" si="84"/>
        <v>2.0879999998885515</v>
      </c>
      <c r="D262" s="26">
        <f t="shared" si="84"/>
        <v>-0.79699999990392723</v>
      </c>
      <c r="E262" s="26">
        <f t="shared" si="84"/>
        <v>-0.82600000003991525</v>
      </c>
      <c r="F262" s="26">
        <f t="shared" si="85"/>
        <v>-1.6229999999438425</v>
      </c>
    </row>
    <row r="263" spans="1:6" x14ac:dyDescent="0.2">
      <c r="A263" t="str">
        <f>$A$11</f>
        <v xml:space="preserve">Wood and cork </v>
      </c>
      <c r="B263" s="26">
        <f t="shared" si="84"/>
        <v>1.8520000000312962</v>
      </c>
      <c r="C263" s="26">
        <f t="shared" si="84"/>
        <v>0.72499999987063335</v>
      </c>
      <c r="D263" s="26">
        <f t="shared" si="84"/>
        <v>0.48099999994752185</v>
      </c>
      <c r="E263" s="26">
        <f t="shared" si="84"/>
        <v>0.19499999999984041</v>
      </c>
      <c r="F263" s="26">
        <f t="shared" si="85"/>
        <v>0.67599999994736226</v>
      </c>
    </row>
    <row r="264" spans="1:6" x14ac:dyDescent="0.2">
      <c r="A264" t="str">
        <f>$A$12</f>
        <v>Paper, etc</v>
      </c>
      <c r="B264" s="26">
        <f t="shared" si="84"/>
        <v>-0.19400000000177059</v>
      </c>
      <c r="C264" s="26">
        <f t="shared" si="84"/>
        <v>-3.5999999998053034E-2</v>
      </c>
      <c r="D264" s="26">
        <f t="shared" si="84"/>
        <v>4.0000000004136338E-2</v>
      </c>
      <c r="E264" s="26">
        <f t="shared" si="84"/>
        <v>2.0999999998422891E-2</v>
      </c>
      <c r="F264" s="26">
        <f t="shared" si="85"/>
        <v>6.1000000002559229E-2</v>
      </c>
    </row>
    <row r="265" spans="1:6" x14ac:dyDescent="0.2">
      <c r="A265" t="str">
        <f>$A$13</f>
        <v>Printing and recording</v>
      </c>
      <c r="B265" s="26">
        <f t="shared" si="84"/>
        <v>-5.0310000000018498</v>
      </c>
      <c r="C265" s="26">
        <f t="shared" si="84"/>
        <v>6.5000000106891775E-2</v>
      </c>
      <c r="D265" s="26">
        <f t="shared" si="84"/>
        <v>-0.99099999985927667</v>
      </c>
      <c r="E265" s="26">
        <f t="shared" si="84"/>
        <v>-1.9960000000830433</v>
      </c>
      <c r="F265" s="26">
        <f t="shared" si="85"/>
        <v>-2.98699999994232</v>
      </c>
    </row>
    <row r="266" spans="1:6" x14ac:dyDescent="0.2">
      <c r="A266" t="str">
        <f>$A$14</f>
        <v>Coke and petroleum; Chemicals, etc</v>
      </c>
      <c r="B266" s="26">
        <f t="shared" si="84"/>
        <v>-0.13600000000029677</v>
      </c>
      <c r="C266" s="26">
        <f t="shared" si="84"/>
        <v>0.25499999998457046</v>
      </c>
      <c r="D266" s="26">
        <f t="shared" si="84"/>
        <v>-0.4169999999716012</v>
      </c>
      <c r="E266" s="26">
        <f t="shared" si="84"/>
        <v>-0.49900000002070088</v>
      </c>
      <c r="F266" s="26">
        <f t="shared" si="85"/>
        <v>-0.91599999999230208</v>
      </c>
    </row>
    <row r="267" spans="1:6" x14ac:dyDescent="0.2">
      <c r="A267" t="str">
        <f>$A$15</f>
        <v>Pharmaceuticals</v>
      </c>
      <c r="B267" s="26">
        <f t="shared" si="84"/>
        <v>-0.33700000000350205</v>
      </c>
      <c r="C267" s="26">
        <f t="shared" si="84"/>
        <v>0.37200000001946898</v>
      </c>
      <c r="D267" s="26">
        <f t="shared" si="84"/>
        <v>-0.13099999998175438</v>
      </c>
      <c r="E267" s="26">
        <f t="shared" si="84"/>
        <v>-0.3170000000138018</v>
      </c>
      <c r="F267" s="26">
        <f t="shared" si="85"/>
        <v>-0.44799999999555618</v>
      </c>
    </row>
    <row r="268" spans="1:6" x14ac:dyDescent="0.2">
      <c r="A268" t="str">
        <f>$A$16</f>
        <v>Rubber and plastic</v>
      </c>
      <c r="B268" s="26">
        <f t="shared" si="84"/>
        <v>-1.3800000000615524</v>
      </c>
      <c r="C268" s="26">
        <f t="shared" si="84"/>
        <v>0.87599999990478583</v>
      </c>
      <c r="D268" s="26">
        <f t="shared" si="84"/>
        <v>0.34400000008456999</v>
      </c>
      <c r="E268" s="26">
        <f t="shared" si="84"/>
        <v>-0.66600000006835902</v>
      </c>
      <c r="F268" s="26">
        <f t="shared" si="85"/>
        <v>-0.32199999998378903</v>
      </c>
    </row>
    <row r="269" spans="1:6" x14ac:dyDescent="0.2">
      <c r="A269" t="str">
        <f>$A$17</f>
        <v>Other non-metallic</v>
      </c>
      <c r="B269" s="26">
        <f t="shared" si="84"/>
        <v>1.5760000000156413</v>
      </c>
      <c r="C269" s="26">
        <f t="shared" si="84"/>
        <v>0.11599999994398136</v>
      </c>
      <c r="D269" s="26">
        <f t="shared" si="84"/>
        <v>0.30700000003608796</v>
      </c>
      <c r="E269" s="26">
        <f t="shared" si="84"/>
        <v>-0.38300000003032419</v>
      </c>
      <c r="F269" s="26">
        <f t="shared" si="85"/>
        <v>-7.5999999994236234E-2</v>
      </c>
    </row>
    <row r="270" spans="1:6" x14ac:dyDescent="0.2">
      <c r="A270" t="str">
        <f>$A$18</f>
        <v>Basic metals</v>
      </c>
      <c r="B270" s="26">
        <f t="shared" si="84"/>
        <v>0.25800000000242884</v>
      </c>
      <c r="C270" s="26">
        <f t="shared" si="84"/>
        <v>-0.12600000001709422</v>
      </c>
      <c r="D270" s="26">
        <f t="shared" si="84"/>
        <v>-1.9999999996494822E-2</v>
      </c>
      <c r="E270" s="26">
        <f t="shared" si="84"/>
        <v>-7.5000000002036438E-2</v>
      </c>
      <c r="F270" s="26">
        <f t="shared" si="85"/>
        <v>-9.4999999998531259E-2</v>
      </c>
    </row>
    <row r="271" spans="1:6" x14ac:dyDescent="0.2">
      <c r="A271" t="str">
        <f>$A$19</f>
        <v>Metal products</v>
      </c>
      <c r="B271" s="26">
        <f t="shared" si="84"/>
        <v>0.95999999999877161</v>
      </c>
      <c r="C271" s="26">
        <f t="shared" si="84"/>
        <v>-0.63400000014415347</v>
      </c>
      <c r="D271" s="26">
        <f t="shared" si="84"/>
        <v>-0.33999999993867824</v>
      </c>
      <c r="E271" s="26">
        <f t="shared" si="84"/>
        <v>-1.1530000000066032</v>
      </c>
      <c r="F271" s="26">
        <f t="shared" si="85"/>
        <v>-1.4929999999452814</v>
      </c>
    </row>
    <row r="272" spans="1:6" x14ac:dyDescent="0.2">
      <c r="A272" t="str">
        <f>$A$20</f>
        <v>Computer, etc</v>
      </c>
      <c r="B272" s="26">
        <f t="shared" si="84"/>
        <v>4.1990000000078229</v>
      </c>
      <c r="C272" s="26">
        <f t="shared" si="84"/>
        <v>0.57599999999131946</v>
      </c>
      <c r="D272" s="26">
        <f t="shared" si="84"/>
        <v>2.9950000000428183</v>
      </c>
      <c r="E272" s="26">
        <f t="shared" si="84"/>
        <v>1.6059999999649541</v>
      </c>
      <c r="F272" s="26">
        <f t="shared" si="85"/>
        <v>4.6010000000077724</v>
      </c>
    </row>
    <row r="273" spans="1:6" x14ac:dyDescent="0.2">
      <c r="A273" t="str">
        <f>$A$21</f>
        <v>Electrical equipment</v>
      </c>
      <c r="B273" s="26">
        <f t="shared" si="84"/>
        <v>1.4690000000024028</v>
      </c>
      <c r="C273" s="26">
        <f t="shared" si="84"/>
        <v>-0.32000000001246054</v>
      </c>
      <c r="D273" s="26">
        <f t="shared" si="84"/>
        <v>0.14900000000699398</v>
      </c>
      <c r="E273" s="26">
        <f t="shared" si="84"/>
        <v>-0.1920000000109523</v>
      </c>
      <c r="F273" s="26">
        <f t="shared" si="85"/>
        <v>-4.3000000003958316E-2</v>
      </c>
    </row>
    <row r="274" spans="1:6" x14ac:dyDescent="0.2">
      <c r="A274" t="str">
        <f>$A$22</f>
        <v>Machinery n.e.c.</v>
      </c>
      <c r="B274" s="26">
        <f t="shared" si="84"/>
        <v>-1.9800000000010396</v>
      </c>
      <c r="C274" s="26">
        <f t="shared" si="84"/>
        <v>2.7999999977752044E-2</v>
      </c>
      <c r="D274" s="26">
        <f t="shared" si="84"/>
        <v>0.466000000007321</v>
      </c>
      <c r="E274" s="26">
        <f t="shared" si="84"/>
        <v>-0.25200000000367773</v>
      </c>
      <c r="F274" s="26">
        <f t="shared" si="85"/>
        <v>0.21400000000364328</v>
      </c>
    </row>
    <row r="275" spans="1:6" x14ac:dyDescent="0.2">
      <c r="A275" t="str">
        <f>$A$23</f>
        <v>Motor vehicles, etc</v>
      </c>
      <c r="B275" s="26">
        <f t="shared" si="84"/>
        <v>-0.41300000000904991</v>
      </c>
      <c r="C275" s="26">
        <f t="shared" si="84"/>
        <v>-7.7000000070122532E-2</v>
      </c>
      <c r="D275" s="26">
        <f t="shared" si="84"/>
        <v>-0.55899999998368433</v>
      </c>
      <c r="E275" s="26">
        <f t="shared" si="84"/>
        <v>-0.82700000000163243</v>
      </c>
      <c r="F275" s="26">
        <f t="shared" si="85"/>
        <v>-1.3859999999853168</v>
      </c>
    </row>
    <row r="276" spans="1:6" x14ac:dyDescent="0.2">
      <c r="A276" t="str">
        <f>$A$24</f>
        <v>Other transport equipment</v>
      </c>
      <c r="B276" s="26">
        <f t="shared" si="84"/>
        <v>0.85200000000617127</v>
      </c>
      <c r="C276" s="26">
        <f t="shared" si="84"/>
        <v>0.25399999996445621</v>
      </c>
      <c r="D276" s="26">
        <f t="shared" si="84"/>
        <v>-0.3819999999974395</v>
      </c>
      <c r="E276" s="26">
        <f t="shared" si="84"/>
        <v>-0.3989999999917162</v>
      </c>
      <c r="F276" s="26">
        <f t="shared" si="85"/>
        <v>-0.7809999999891557</v>
      </c>
    </row>
    <row r="277" spans="1:6" x14ac:dyDescent="0.2">
      <c r="A277" t="str">
        <f>$A$25</f>
        <v>Furniture</v>
      </c>
      <c r="B277" s="26">
        <f t="shared" ref="B277:E296" si="86">C25-B25</f>
        <v>-0.73699999999591448</v>
      </c>
      <c r="C277" s="26">
        <f t="shared" si="86"/>
        <v>-0.13900000006319102</v>
      </c>
      <c r="D277" s="26">
        <f t="shared" si="86"/>
        <v>-0.6539999999853876</v>
      </c>
      <c r="E277" s="26">
        <f t="shared" si="86"/>
        <v>-0.52000000000742119</v>
      </c>
      <c r="F277" s="26">
        <f t="shared" si="85"/>
        <v>-1.1739999999928088</v>
      </c>
    </row>
    <row r="278" spans="1:6" x14ac:dyDescent="0.2">
      <c r="A278" t="str">
        <f>$A$26</f>
        <v>Other manufacturing</v>
      </c>
      <c r="B278" s="26">
        <f t="shared" si="86"/>
        <v>1.9349999999778751</v>
      </c>
      <c r="C278" s="26">
        <f t="shared" si="86"/>
        <v>1.5249999999595616</v>
      </c>
      <c r="D278" s="26">
        <f t="shared" si="86"/>
        <v>-1.7019999999100808</v>
      </c>
      <c r="E278" s="26">
        <f t="shared" si="86"/>
        <v>-1.3170000000513369</v>
      </c>
      <c r="F278" s="26">
        <f t="shared" si="85"/>
        <v>-3.0189999999614177</v>
      </c>
    </row>
    <row r="279" spans="1:6" x14ac:dyDescent="0.2">
      <c r="A279" t="str">
        <f>$A$27</f>
        <v>Repair and installation</v>
      </c>
      <c r="B279" s="26">
        <f t="shared" si="86"/>
        <v>3.5770000000247233</v>
      </c>
      <c r="C279" s="26">
        <f t="shared" si="86"/>
        <v>2.8439999998782159</v>
      </c>
      <c r="D279" s="26">
        <f t="shared" si="86"/>
        <v>-2.0709999999608026</v>
      </c>
      <c r="E279" s="26">
        <f t="shared" si="86"/>
        <v>-1.3149999999826196</v>
      </c>
      <c r="F279" s="26">
        <f t="shared" si="85"/>
        <v>-3.3859999999434223</v>
      </c>
    </row>
    <row r="280" spans="1:6" x14ac:dyDescent="0.2">
      <c r="A280" t="str">
        <f>$A$28</f>
        <v>Electricity, gas, etc</v>
      </c>
      <c r="B280" s="26">
        <f t="shared" si="86"/>
        <v>4.922000000005287</v>
      </c>
      <c r="C280" s="26">
        <f t="shared" si="86"/>
        <v>-2.7919999999635845</v>
      </c>
      <c r="D280" s="26">
        <f t="shared" si="86"/>
        <v>-0.20499999991534423</v>
      </c>
      <c r="E280" s="26">
        <f t="shared" si="86"/>
        <v>0.23099999997677045</v>
      </c>
      <c r="F280" s="26">
        <f t="shared" si="85"/>
        <v>2.6000000061426221E-2</v>
      </c>
    </row>
    <row r="281" spans="1:6" x14ac:dyDescent="0.2">
      <c r="A281" t="str">
        <f>$A$29</f>
        <v>Water</v>
      </c>
      <c r="B281" s="26">
        <f t="shared" si="86"/>
        <v>-0.30200000000037153</v>
      </c>
      <c r="C281" s="26">
        <f t="shared" si="86"/>
        <v>6.1000000002289889E-2</v>
      </c>
      <c r="D281" s="26">
        <f t="shared" si="86"/>
        <v>5.1000000001636514E-2</v>
      </c>
      <c r="E281" s="26">
        <f t="shared" si="86"/>
        <v>9.1999999999416993E-2</v>
      </c>
      <c r="F281" s="26">
        <f t="shared" si="85"/>
        <v>0.14300000000105351</v>
      </c>
    </row>
    <row r="282" spans="1:6" x14ac:dyDescent="0.2">
      <c r="A282" t="str">
        <f>$A$30</f>
        <v>Sewerage</v>
      </c>
      <c r="B282" s="26">
        <f t="shared" si="86"/>
        <v>-1.9630000000442782</v>
      </c>
      <c r="C282" s="26">
        <f t="shared" si="86"/>
        <v>3.4999999958456263E-2</v>
      </c>
      <c r="D282" s="26">
        <f t="shared" si="86"/>
        <v>0.15399999999700498</v>
      </c>
      <c r="E282" s="26">
        <f t="shared" si="86"/>
        <v>0.2869999999724695</v>
      </c>
      <c r="F282" s="26">
        <f t="shared" si="85"/>
        <v>0.44099999996947448</v>
      </c>
    </row>
    <row r="283" spans="1:6" x14ac:dyDescent="0.2">
      <c r="A283" t="str">
        <f>$A$31</f>
        <v>Waste management</v>
      </c>
      <c r="B283" s="26">
        <f t="shared" si="86"/>
        <v>3.3530000000365217</v>
      </c>
      <c r="C283" s="26">
        <f t="shared" si="86"/>
        <v>-0.31000000033770547</v>
      </c>
      <c r="D283" s="26">
        <f t="shared" si="86"/>
        <v>1.2749999999867452</v>
      </c>
      <c r="E283" s="26">
        <f t="shared" si="86"/>
        <v>2.321999999869</v>
      </c>
      <c r="F283" s="26">
        <f t="shared" si="85"/>
        <v>3.5969999998557451</v>
      </c>
    </row>
    <row r="284" spans="1:6" x14ac:dyDescent="0.2">
      <c r="A284" t="str">
        <f>$A$32</f>
        <v>Construction</v>
      </c>
      <c r="B284" s="26">
        <f t="shared" si="86"/>
        <v>28.286000002682812</v>
      </c>
      <c r="C284" s="26">
        <f t="shared" si="86"/>
        <v>-9.1030000068073491</v>
      </c>
      <c r="D284" s="26">
        <f t="shared" si="86"/>
        <v>14.516999997420072</v>
      </c>
      <c r="E284" s="26">
        <f t="shared" si="86"/>
        <v>21.795999998699955</v>
      </c>
      <c r="F284" s="26">
        <f t="shared" si="85"/>
        <v>36.312999996120027</v>
      </c>
    </row>
    <row r="285" spans="1:6" x14ac:dyDescent="0.2">
      <c r="A285" t="str">
        <f>$A$33</f>
        <v>Civil engineering</v>
      </c>
      <c r="B285" s="26">
        <f t="shared" si="86"/>
        <v>-15.849999999166641</v>
      </c>
      <c r="C285" s="26">
        <f t="shared" si="86"/>
        <v>-2.8290000020659889</v>
      </c>
      <c r="D285" s="26">
        <f t="shared" si="86"/>
        <v>3.7169999990374549</v>
      </c>
      <c r="E285" s="26">
        <f t="shared" si="86"/>
        <v>5.4589999997137539</v>
      </c>
      <c r="F285" s="26">
        <f t="shared" si="85"/>
        <v>9.1759999987512089</v>
      </c>
    </row>
    <row r="286" spans="1:6" x14ac:dyDescent="0.2">
      <c r="A286" t="str">
        <f>$A$34</f>
        <v>Specialised construction</v>
      </c>
      <c r="B286" s="26">
        <f t="shared" si="86"/>
        <v>17.845000003191942</v>
      </c>
      <c r="C286" s="26">
        <f t="shared" si="86"/>
        <v>-9.980000007659811</v>
      </c>
      <c r="D286" s="26">
        <f t="shared" si="86"/>
        <v>14.605999996540078</v>
      </c>
      <c r="E286" s="26">
        <f t="shared" si="86"/>
        <v>21.743999998825075</v>
      </c>
      <c r="F286" s="26">
        <f t="shared" si="85"/>
        <v>36.349999995365152</v>
      </c>
    </row>
    <row r="287" spans="1:6" x14ac:dyDescent="0.2">
      <c r="A287" t="str">
        <f>$A$35</f>
        <v>Motor vehicle trade</v>
      </c>
      <c r="B287" s="26">
        <f t="shared" si="86"/>
        <v>9.3989999999811005</v>
      </c>
      <c r="C287" s="26">
        <f t="shared" si="86"/>
        <v>-2.4020000018506451</v>
      </c>
      <c r="D287" s="26">
        <f t="shared" si="86"/>
        <v>-1.3139999997741398</v>
      </c>
      <c r="E287" s="26">
        <f t="shared" si="86"/>
        <v>0.26199999988896394</v>
      </c>
      <c r="F287" s="26">
        <f t="shared" si="85"/>
        <v>-1.0519999998851759</v>
      </c>
    </row>
    <row r="288" spans="1:6" x14ac:dyDescent="0.2">
      <c r="A288" t="str">
        <f>$A$36</f>
        <v>Wholesale trade</v>
      </c>
      <c r="B288" s="26">
        <f t="shared" si="86"/>
        <v>16.464999999215507</v>
      </c>
      <c r="C288" s="26">
        <f t="shared" si="86"/>
        <v>3.3999995364382585E-2</v>
      </c>
      <c r="D288" s="26">
        <f t="shared" si="86"/>
        <v>-2.929999998066819</v>
      </c>
      <c r="E288" s="26">
        <f t="shared" si="86"/>
        <v>-0.31000000117865056</v>
      </c>
      <c r="F288" s="26">
        <f t="shared" si="85"/>
        <v>-3.2399999992454696</v>
      </c>
    </row>
    <row r="289" spans="1:6" x14ac:dyDescent="0.2">
      <c r="A289" t="str">
        <f>$A$37</f>
        <v>Retail trade</v>
      </c>
      <c r="B289" s="26">
        <f t="shared" si="86"/>
        <v>-53.373000005561778</v>
      </c>
      <c r="C289" s="26">
        <f t="shared" si="86"/>
        <v>2.6219999869657613</v>
      </c>
      <c r="D289" s="26">
        <f t="shared" si="86"/>
        <v>-2.5029999943963617</v>
      </c>
      <c r="E289" s="26">
        <f t="shared" si="86"/>
        <v>0.12899999272127616</v>
      </c>
      <c r="F289" s="26">
        <f t="shared" si="85"/>
        <v>-2.3740000016750855</v>
      </c>
    </row>
    <row r="290" spans="1:6" x14ac:dyDescent="0.2">
      <c r="A290" t="str">
        <f>$A$38</f>
        <v>Land transport, etc</v>
      </c>
      <c r="B290" s="26">
        <f t="shared" si="86"/>
        <v>23.926999995136867</v>
      </c>
      <c r="C290" s="26">
        <f t="shared" si="86"/>
        <v>-12.676000001265464</v>
      </c>
      <c r="D290" s="26">
        <f t="shared" si="86"/>
        <v>28.78800000270428</v>
      </c>
      <c r="E290" s="26">
        <f t="shared" si="86"/>
        <v>2.5129999984206961</v>
      </c>
      <c r="F290" s="26">
        <f t="shared" si="85"/>
        <v>31.301000001124976</v>
      </c>
    </row>
    <row r="291" spans="1:6" x14ac:dyDescent="0.2">
      <c r="A291" t="str">
        <f>$A$39</f>
        <v>Water transport</v>
      </c>
      <c r="B291" s="26">
        <f t="shared" si="86"/>
        <v>-1.3800000000050234</v>
      </c>
      <c r="C291" s="26">
        <f t="shared" si="86"/>
        <v>0.27499999995270663</v>
      </c>
      <c r="D291" s="26">
        <f t="shared" si="86"/>
        <v>-0.77099999995375867</v>
      </c>
      <c r="E291" s="26">
        <f t="shared" si="86"/>
        <v>-0.22900000001950449</v>
      </c>
      <c r="F291" s="26">
        <f t="shared" si="85"/>
        <v>-0.99999999997326317</v>
      </c>
    </row>
    <row r="292" spans="1:6" x14ac:dyDescent="0.2">
      <c r="A292" t="str">
        <f>$A$40</f>
        <v>Air transport</v>
      </c>
      <c r="B292" s="26">
        <f t="shared" si="86"/>
        <v>-0.79400000014455685</v>
      </c>
      <c r="C292" s="26">
        <f t="shared" si="86"/>
        <v>-0.78400000059032493</v>
      </c>
      <c r="D292" s="26">
        <f t="shared" si="86"/>
        <v>-3.4769999998198955</v>
      </c>
      <c r="E292" s="26">
        <f t="shared" si="86"/>
        <v>-1.2700000001263376</v>
      </c>
      <c r="F292" s="26">
        <f t="shared" si="85"/>
        <v>-4.7469999999462331</v>
      </c>
    </row>
    <row r="293" spans="1:6" x14ac:dyDescent="0.2">
      <c r="A293" t="str">
        <f>$A$41</f>
        <v>Warehousing, etc</v>
      </c>
      <c r="B293" s="26">
        <f t="shared" si="86"/>
        <v>2.9109999996791842</v>
      </c>
      <c r="C293" s="26">
        <f t="shared" si="86"/>
        <v>6.9049999979613972</v>
      </c>
      <c r="D293" s="26">
        <f t="shared" si="86"/>
        <v>0.2320000004364573</v>
      </c>
      <c r="E293" s="26">
        <f t="shared" si="86"/>
        <v>-0.53600000040871976</v>
      </c>
      <c r="F293" s="26">
        <f t="shared" si="85"/>
        <v>-0.30399999997226246</v>
      </c>
    </row>
    <row r="294" spans="1:6" x14ac:dyDescent="0.2">
      <c r="A294" t="str">
        <f>$A$42</f>
        <v>Postal and courier</v>
      </c>
      <c r="B294" s="26">
        <f t="shared" si="86"/>
        <v>9.5909999998551214</v>
      </c>
      <c r="C294" s="26">
        <f t="shared" si="86"/>
        <v>5.0389999980817564</v>
      </c>
      <c r="D294" s="26">
        <f t="shared" si="86"/>
        <v>0.42200000036471863</v>
      </c>
      <c r="E294" s="26">
        <f t="shared" si="86"/>
        <v>-8.6000000725903192E-2</v>
      </c>
      <c r="F294" s="26">
        <f t="shared" si="85"/>
        <v>0.33599999963881544</v>
      </c>
    </row>
    <row r="295" spans="1:6" x14ac:dyDescent="0.2">
      <c r="A295" t="str">
        <f>$A$43</f>
        <v>Accommodation</v>
      </c>
      <c r="B295" s="26">
        <f t="shared" si="86"/>
        <v>29.954000000092812</v>
      </c>
      <c r="C295" s="26">
        <f t="shared" si="86"/>
        <v>-15.783000002574013</v>
      </c>
      <c r="D295" s="26">
        <f t="shared" si="86"/>
        <v>12.6310000011364</v>
      </c>
      <c r="E295" s="26">
        <f t="shared" si="86"/>
        <v>7.3159999992077474</v>
      </c>
      <c r="F295" s="26">
        <f t="shared" si="85"/>
        <v>19.947000000344147</v>
      </c>
    </row>
    <row r="296" spans="1:6" x14ac:dyDescent="0.2">
      <c r="A296" t="str">
        <f>$A$44</f>
        <v>Food and beverage services</v>
      </c>
      <c r="B296" s="26">
        <f t="shared" si="86"/>
        <v>58.520999999228366</v>
      </c>
      <c r="C296" s="26">
        <f t="shared" si="86"/>
        <v>-15.013000011791405</v>
      </c>
      <c r="D296" s="26">
        <f t="shared" si="86"/>
        <v>14.459000004625068</v>
      </c>
      <c r="E296" s="26">
        <f t="shared" si="86"/>
        <v>70.957999996328397</v>
      </c>
      <c r="F296" s="26">
        <f t="shared" si="85"/>
        <v>85.417000000953465</v>
      </c>
    </row>
    <row r="297" spans="1:6" x14ac:dyDescent="0.2">
      <c r="A297" t="str">
        <f>$A$45</f>
        <v>Publishing activities</v>
      </c>
      <c r="B297" s="26">
        <f t="shared" ref="B297:E297" si="87">C45-B45</f>
        <v>-1.850000000059481</v>
      </c>
      <c r="C297" s="26">
        <f t="shared" si="87"/>
        <v>2.4600000009926362</v>
      </c>
      <c r="D297" s="26">
        <f t="shared" si="87"/>
        <v>3.1720000011958405</v>
      </c>
      <c r="E297" s="26">
        <f t="shared" si="87"/>
        <v>1.4419999994273951</v>
      </c>
      <c r="F297" s="26">
        <f t="shared" si="85"/>
        <v>4.6140000006232356</v>
      </c>
    </row>
    <row r="298" spans="1:6" x14ac:dyDescent="0.2">
      <c r="A298" t="str">
        <f>$A$46</f>
        <v>Film and music</v>
      </c>
      <c r="B298" s="26">
        <f t="shared" ref="B298:C322" si="88">C46-B46</f>
        <v>3.0729999997425352</v>
      </c>
      <c r="C298" s="26">
        <f t="shared" si="88"/>
        <v>5.5460000008117305</v>
      </c>
      <c r="D298" s="26">
        <f t="shared" ref="D298:E298" si="89">E46-D46</f>
        <v>4.0610000010661764</v>
      </c>
      <c r="E298" s="26">
        <f t="shared" si="89"/>
        <v>2.3219999994328049</v>
      </c>
      <c r="F298" s="26">
        <f t="shared" si="85"/>
        <v>6.3830000004989813</v>
      </c>
    </row>
    <row r="299" spans="1:6" x14ac:dyDescent="0.2">
      <c r="A299" t="str">
        <f>$A$47</f>
        <v>Broadcasting</v>
      </c>
      <c r="B299" s="26">
        <f t="shared" si="88"/>
        <v>-3.1470000000530298</v>
      </c>
      <c r="C299" s="26">
        <f t="shared" si="88"/>
        <v>1.7370000003747386</v>
      </c>
      <c r="D299" s="26">
        <f t="shared" ref="D299:E299" si="90">E47-D47</f>
        <v>1.2830000004460871</v>
      </c>
      <c r="E299" s="26">
        <f t="shared" si="90"/>
        <v>0.46499999981563889</v>
      </c>
      <c r="F299" s="26">
        <f t="shared" si="85"/>
        <v>1.748000000261726</v>
      </c>
    </row>
    <row r="300" spans="1:6" x14ac:dyDescent="0.2">
      <c r="A300" t="str">
        <f>$A$48</f>
        <v>Telecommunications</v>
      </c>
      <c r="B300" s="26">
        <f t="shared" si="88"/>
        <v>-2.3149999998427759</v>
      </c>
      <c r="C300" s="26">
        <f t="shared" si="88"/>
        <v>0.79000000051725294</v>
      </c>
      <c r="D300" s="26">
        <f t="shared" ref="D300:E300" si="91">E48-D48</f>
        <v>2.9120000003594129</v>
      </c>
      <c r="E300" s="26">
        <f t="shared" si="91"/>
        <v>3.381999999878019</v>
      </c>
      <c r="F300" s="26">
        <f t="shared" si="85"/>
        <v>6.2940000002374319</v>
      </c>
    </row>
    <row r="301" spans="1:6" x14ac:dyDescent="0.2">
      <c r="A301" t="str">
        <f>$A$49</f>
        <v>Computing services</v>
      </c>
      <c r="B301" s="26">
        <f t="shared" si="88"/>
        <v>53.930999999787929</v>
      </c>
      <c r="C301" s="26">
        <f t="shared" si="88"/>
        <v>11.491000005786333</v>
      </c>
      <c r="D301" s="26">
        <f t="shared" ref="D301:E301" si="92">E49-D49</f>
        <v>20.251000002916015</v>
      </c>
      <c r="E301" s="26">
        <f t="shared" si="92"/>
        <v>24.169999998638446</v>
      </c>
      <c r="F301" s="26">
        <f t="shared" si="85"/>
        <v>44.421000001554461</v>
      </c>
    </row>
    <row r="302" spans="1:6" x14ac:dyDescent="0.2">
      <c r="A302" t="str">
        <f>$A$50</f>
        <v>Information services</v>
      </c>
      <c r="B302" s="26">
        <f t="shared" si="88"/>
        <v>2.3790000000498068</v>
      </c>
      <c r="C302" s="26">
        <f t="shared" si="88"/>
        <v>4.4230000005569252</v>
      </c>
      <c r="D302" s="26">
        <f t="shared" ref="D302:E302" si="93">E50-D50</f>
        <v>4.3440000005837618</v>
      </c>
      <c r="E302" s="26">
        <f t="shared" si="93"/>
        <v>5.4489999996113525</v>
      </c>
      <c r="F302" s="26">
        <f t="shared" si="85"/>
        <v>9.7930000001951143</v>
      </c>
    </row>
    <row r="303" spans="1:6" x14ac:dyDescent="0.2">
      <c r="A303" t="str">
        <f>$A$51</f>
        <v>Financial services</v>
      </c>
      <c r="B303" s="26">
        <f t="shared" si="88"/>
        <v>15.598999999930413</v>
      </c>
      <c r="C303" s="26">
        <f t="shared" si="88"/>
        <v>-5.7039999968091308</v>
      </c>
      <c r="D303" s="26">
        <f t="shared" ref="D303:E303" si="94">E51-D51</f>
        <v>2.2940000029285841</v>
      </c>
      <c r="E303" s="26">
        <f t="shared" si="94"/>
        <v>1.7769999986280425</v>
      </c>
      <c r="F303" s="26">
        <f t="shared" si="85"/>
        <v>4.0710000015566266</v>
      </c>
    </row>
    <row r="304" spans="1:6" x14ac:dyDescent="0.2">
      <c r="A304" t="str">
        <f>$A$52</f>
        <v>Insurance and pensions</v>
      </c>
      <c r="B304" s="26">
        <f t="shared" si="88"/>
        <v>5.4689999998778411</v>
      </c>
      <c r="C304" s="26">
        <f t="shared" si="88"/>
        <v>-0.62499999954421526</v>
      </c>
      <c r="D304" s="26">
        <f t="shared" ref="D304:E304" si="95">E52-D52</f>
        <v>0.38300000076119289</v>
      </c>
      <c r="E304" s="26">
        <f t="shared" si="95"/>
        <v>0.21199999946949077</v>
      </c>
      <c r="F304" s="26">
        <f t="shared" si="85"/>
        <v>0.59500000023068367</v>
      </c>
    </row>
    <row r="305" spans="1:6" x14ac:dyDescent="0.2">
      <c r="A305" t="str">
        <f>$A$53</f>
        <v>Auxiliary financial services</v>
      </c>
      <c r="B305" s="26">
        <f t="shared" si="88"/>
        <v>15.653999999914475</v>
      </c>
      <c r="C305" s="26">
        <f t="shared" si="88"/>
        <v>1.2680000037126717</v>
      </c>
      <c r="D305" s="26">
        <f t="shared" ref="D305:E305" si="96">E53-D53</f>
        <v>3.8020000033388612</v>
      </c>
      <c r="E305" s="26">
        <f t="shared" si="96"/>
        <v>2.5709999983499472</v>
      </c>
      <c r="F305" s="26">
        <f t="shared" si="85"/>
        <v>6.3730000016888084</v>
      </c>
    </row>
    <row r="306" spans="1:6" x14ac:dyDescent="0.2">
      <c r="A306" t="str">
        <f>$A$54</f>
        <v>Real estate</v>
      </c>
      <c r="B306" s="26">
        <f t="shared" si="88"/>
        <v>-5.7290000000126042</v>
      </c>
      <c r="C306" s="26">
        <f t="shared" si="88"/>
        <v>30.109000000765377</v>
      </c>
      <c r="D306" s="26">
        <f t="shared" ref="D306:E306" si="97">E54-D54</f>
        <v>-7.9609999987006006</v>
      </c>
      <c r="E306" s="26">
        <f t="shared" si="97"/>
        <v>8.0039999994320112</v>
      </c>
      <c r="F306" s="26">
        <f t="shared" si="85"/>
        <v>4.3000000731410637E-2</v>
      </c>
    </row>
    <row r="307" spans="1:6" x14ac:dyDescent="0.2">
      <c r="A307" t="str">
        <f>$A$55</f>
        <v>Legal and accounting</v>
      </c>
      <c r="B307" s="26">
        <f t="shared" si="88"/>
        <v>47.583999999477783</v>
      </c>
      <c r="C307" s="26">
        <f t="shared" si="88"/>
        <v>-24.019999992957111</v>
      </c>
      <c r="D307" s="26">
        <f t="shared" ref="D307:E307" si="98">E55-D55</f>
        <v>13.808000005044761</v>
      </c>
      <c r="E307" s="26">
        <f t="shared" si="98"/>
        <v>14.255999996581465</v>
      </c>
      <c r="F307" s="26">
        <f t="shared" si="85"/>
        <v>28.064000001626226</v>
      </c>
    </row>
    <row r="308" spans="1:6" x14ac:dyDescent="0.2">
      <c r="A308" t="str">
        <f>$A$56</f>
        <v>Head offices, etc</v>
      </c>
      <c r="B308" s="26">
        <f t="shared" si="88"/>
        <v>-22.03499999877036</v>
      </c>
      <c r="C308" s="26">
        <f t="shared" si="88"/>
        <v>-7.055999992923347</v>
      </c>
      <c r="D308" s="26">
        <f t="shared" ref="D308:E308" si="99">E56-D56</f>
        <v>12.198000004232227</v>
      </c>
      <c r="E308" s="26">
        <f t="shared" si="99"/>
        <v>12.346999997167387</v>
      </c>
      <c r="F308" s="26">
        <f t="shared" si="85"/>
        <v>24.545000001399615</v>
      </c>
    </row>
    <row r="309" spans="1:6" x14ac:dyDescent="0.2">
      <c r="A309" t="str">
        <f>$A$57</f>
        <v>Architectural and related</v>
      </c>
      <c r="B309" s="26">
        <f t="shared" si="88"/>
        <v>19.8930000000029</v>
      </c>
      <c r="C309" s="26">
        <f t="shared" si="88"/>
        <v>-4.2289999962864755</v>
      </c>
      <c r="D309" s="26">
        <f t="shared" ref="D309:E309" si="100">E57-D57</f>
        <v>-3.3059999983675681</v>
      </c>
      <c r="E309" s="26">
        <f t="shared" si="100"/>
        <v>3.7709999989610452</v>
      </c>
      <c r="F309" s="26">
        <f t="shared" si="85"/>
        <v>0.46500000059347713</v>
      </c>
    </row>
    <row r="310" spans="1:6" x14ac:dyDescent="0.2">
      <c r="A310" t="str">
        <f>$A$58</f>
        <v>Scientific research and development</v>
      </c>
      <c r="B310" s="26">
        <f t="shared" si="88"/>
        <v>5.3670000000078453</v>
      </c>
      <c r="C310" s="26">
        <f t="shared" si="88"/>
        <v>-2.3609999992379151</v>
      </c>
      <c r="D310" s="26">
        <f t="shared" ref="D310:E310" si="101">E58-D58</f>
        <v>2.8049999997250197</v>
      </c>
      <c r="E310" s="26">
        <f t="shared" si="101"/>
        <v>2.2370000002561099</v>
      </c>
      <c r="F310" s="26">
        <f t="shared" si="85"/>
        <v>5.0419999999811296</v>
      </c>
    </row>
    <row r="311" spans="1:6" x14ac:dyDescent="0.2">
      <c r="A311" t="str">
        <f>$A$59</f>
        <v>Advertising, etc</v>
      </c>
      <c r="B311" s="26">
        <f t="shared" si="88"/>
        <v>10.592999999836451</v>
      </c>
      <c r="C311" s="26">
        <f t="shared" si="88"/>
        <v>-8.5319999967621669</v>
      </c>
      <c r="D311" s="26">
        <f t="shared" ref="D311:E311" si="102">E59-D59</f>
        <v>13.260000003072719</v>
      </c>
      <c r="E311" s="26">
        <f t="shared" si="102"/>
        <v>10.421999997899192</v>
      </c>
      <c r="F311" s="26">
        <f t="shared" si="85"/>
        <v>23.682000000971911</v>
      </c>
    </row>
    <row r="312" spans="1:6" x14ac:dyDescent="0.2">
      <c r="A312" t="str">
        <f>$A$60</f>
        <v>Other professional</v>
      </c>
      <c r="B312" s="26">
        <f t="shared" si="88"/>
        <v>12.081999999855022</v>
      </c>
      <c r="C312" s="26">
        <f t="shared" si="88"/>
        <v>-5.7979999987374953</v>
      </c>
      <c r="D312" s="26">
        <f t="shared" ref="D312:E312" si="103">E60-D60</f>
        <v>6.2720000010215742</v>
      </c>
      <c r="E312" s="26">
        <f t="shared" si="103"/>
        <v>4.9879999996202713</v>
      </c>
      <c r="F312" s="26">
        <f t="shared" si="85"/>
        <v>11.260000000641845</v>
      </c>
    </row>
    <row r="313" spans="1:6" x14ac:dyDescent="0.2">
      <c r="A313" t="str">
        <f>$A$61</f>
        <v>Veterinary</v>
      </c>
      <c r="B313" s="26">
        <f t="shared" si="88"/>
        <v>-1.5339999999479943</v>
      </c>
      <c r="C313" s="26">
        <f t="shared" si="88"/>
        <v>-0.15799999983943636</v>
      </c>
      <c r="D313" s="26">
        <f t="shared" ref="D313:E313" si="104">E61-D61</f>
        <v>0.47899999994270281</v>
      </c>
      <c r="E313" s="26">
        <f t="shared" si="104"/>
        <v>0.40800000001229009</v>
      </c>
      <c r="F313" s="26">
        <f t="shared" si="85"/>
        <v>0.8869999999549929</v>
      </c>
    </row>
    <row r="314" spans="1:6" x14ac:dyDescent="0.2">
      <c r="A314" t="str">
        <f>$A$62</f>
        <v>Rental and leasing</v>
      </c>
      <c r="B314" s="26">
        <f t="shared" si="88"/>
        <v>6.4599999999620934</v>
      </c>
      <c r="C314" s="26">
        <f t="shared" si="88"/>
        <v>-0.32300000006693708</v>
      </c>
      <c r="D314" s="26">
        <f t="shared" ref="D314:E314" si="105">E62-D62</f>
        <v>1.1620000001334638</v>
      </c>
      <c r="E314" s="26">
        <f t="shared" si="105"/>
        <v>1.3109999999760298</v>
      </c>
      <c r="F314" s="26">
        <f t="shared" si="85"/>
        <v>2.4730000001094936</v>
      </c>
    </row>
    <row r="315" spans="1:6" x14ac:dyDescent="0.2">
      <c r="A315" t="str">
        <f>$A$63</f>
        <v>Employment activities</v>
      </c>
      <c r="B315" s="26">
        <f t="shared" si="88"/>
        <v>6.8849999995149176</v>
      </c>
      <c r="C315" s="26">
        <f t="shared" si="88"/>
        <v>-10.379000002825023</v>
      </c>
      <c r="D315" s="26">
        <f t="shared" ref="D315:E315" si="106">E63-D63</f>
        <v>9.1510000003564471</v>
      </c>
      <c r="E315" s="26">
        <f t="shared" si="106"/>
        <v>10.072999999814584</v>
      </c>
      <c r="F315" s="26">
        <f t="shared" si="85"/>
        <v>19.224000000171031</v>
      </c>
    </row>
    <row r="316" spans="1:6" x14ac:dyDescent="0.2">
      <c r="A316" t="str">
        <f>$A$64</f>
        <v>Travel, etc</v>
      </c>
      <c r="B316" s="26">
        <f t="shared" si="88"/>
        <v>1.1249999998958629</v>
      </c>
      <c r="C316" s="26">
        <f t="shared" si="88"/>
        <v>-1.004000000793333</v>
      </c>
      <c r="D316" s="26">
        <f t="shared" ref="D316:E316" si="107">E64-D64</f>
        <v>1.2550000001933377</v>
      </c>
      <c r="E316" s="26">
        <f t="shared" si="107"/>
        <v>1.451999999748633</v>
      </c>
      <c r="F316" s="26">
        <f t="shared" si="85"/>
        <v>2.7069999999419707</v>
      </c>
    </row>
    <row r="317" spans="1:6" x14ac:dyDescent="0.2">
      <c r="A317" t="str">
        <f>$A$65</f>
        <v>Security, etc</v>
      </c>
      <c r="B317" s="26">
        <f t="shared" si="88"/>
        <v>-10.112000000320769</v>
      </c>
      <c r="C317" s="26">
        <f t="shared" si="88"/>
        <v>-4.1000000527610325E-2</v>
      </c>
      <c r="D317" s="26">
        <f t="shared" ref="D317:E317" si="108">E65-D65</f>
        <v>2.6090000000644693</v>
      </c>
      <c r="E317" s="26">
        <f t="shared" si="108"/>
        <v>2.9629999998431913</v>
      </c>
      <c r="F317" s="26">
        <f t="shared" si="85"/>
        <v>5.5719999999076606</v>
      </c>
    </row>
    <row r="318" spans="1:6" x14ac:dyDescent="0.2">
      <c r="A318" t="str">
        <f>$A$66</f>
        <v>Services to buildings</v>
      </c>
      <c r="B318" s="26">
        <f t="shared" si="88"/>
        <v>-10.005000000510648</v>
      </c>
      <c r="C318" s="26">
        <f t="shared" si="88"/>
        <v>-10.562000002528919</v>
      </c>
      <c r="D318" s="26">
        <f t="shared" ref="D318:E318" si="109">E66-D66</f>
        <v>7.6960000001354842</v>
      </c>
      <c r="E318" s="26">
        <f t="shared" si="109"/>
        <v>7.930000000450832</v>
      </c>
      <c r="F318" s="26">
        <f t="shared" si="85"/>
        <v>15.626000000586316</v>
      </c>
    </row>
    <row r="319" spans="1:6" x14ac:dyDescent="0.2">
      <c r="A319" t="str">
        <f>$A$67</f>
        <v>Office administrative</v>
      </c>
      <c r="B319" s="26">
        <f t="shared" si="88"/>
        <v>45.608000000125571</v>
      </c>
      <c r="C319" s="26">
        <f t="shared" si="88"/>
        <v>-4.8860000019124641</v>
      </c>
      <c r="D319" s="26">
        <f t="shared" ref="D319:E319" si="110">E67-D67</f>
        <v>6.7460000001779008</v>
      </c>
      <c r="E319" s="26">
        <f t="shared" si="110"/>
        <v>7.6689999997537086</v>
      </c>
      <c r="F319" s="26">
        <f t="shared" si="85"/>
        <v>14.414999999931609</v>
      </c>
    </row>
    <row r="320" spans="1:6" x14ac:dyDescent="0.2">
      <c r="A320" t="str">
        <f>$A$68</f>
        <v>Public administration and defence</v>
      </c>
      <c r="B320" s="26">
        <f t="shared" si="88"/>
        <v>22.33200000027017</v>
      </c>
      <c r="C320" s="26">
        <f t="shared" si="88"/>
        <v>14.818000003625684</v>
      </c>
      <c r="D320" s="26">
        <f t="shared" ref="D320:E320" si="111">E68-D68</f>
        <v>4.6340000001296175</v>
      </c>
      <c r="E320" s="26">
        <f t="shared" si="111"/>
        <v>-1.519999999506183</v>
      </c>
      <c r="F320" s="26">
        <f t="shared" si="85"/>
        <v>3.1140000006234345</v>
      </c>
    </row>
    <row r="321" spans="1:6" x14ac:dyDescent="0.2">
      <c r="A321" t="str">
        <f>$A$69</f>
        <v xml:space="preserve">Education </v>
      </c>
      <c r="B321" s="26">
        <f t="shared" si="88"/>
        <v>-23.192999998722371</v>
      </c>
      <c r="C321" s="26">
        <f t="shared" si="88"/>
        <v>27.592000018464091</v>
      </c>
      <c r="D321" s="26">
        <f t="shared" ref="D321:E321" si="112">E69-D69</f>
        <v>-12.611000037882491</v>
      </c>
      <c r="E321" s="26">
        <f t="shared" si="112"/>
        <v>9.9350000323726135</v>
      </c>
      <c r="F321" s="26">
        <f t="shared" si="85"/>
        <v>-2.6760000055098772</v>
      </c>
    </row>
    <row r="322" spans="1:6" x14ac:dyDescent="0.2">
      <c r="A322" t="str">
        <f>$A$70</f>
        <v>Health</v>
      </c>
      <c r="B322" s="26">
        <f t="shared" si="88"/>
        <v>48.123000000200136</v>
      </c>
      <c r="C322" s="26">
        <f t="shared" si="88"/>
        <v>7.4120000064270926</v>
      </c>
      <c r="D322" s="26">
        <f t="shared" ref="D322:E322" si="113">E70-D70</f>
        <v>23.736999997785688</v>
      </c>
      <c r="E322" s="26">
        <f t="shared" si="113"/>
        <v>13.942000002028294</v>
      </c>
      <c r="F322" s="26">
        <f t="shared" ref="F322:F333" si="114">F70-D70</f>
        <v>37.678999999813982</v>
      </c>
    </row>
    <row r="323" spans="1:6" x14ac:dyDescent="0.2">
      <c r="A323" t="str">
        <f>$A$71</f>
        <v>Residential care</v>
      </c>
      <c r="B323" s="26">
        <f t="shared" ref="B323:C323" si="115">C71-B71</f>
        <v>-1.4259999998038211</v>
      </c>
      <c r="C323" s="26">
        <f t="shared" si="115"/>
        <v>-3.4969999989020693</v>
      </c>
      <c r="D323" s="26">
        <f t="shared" ref="D323:D331" si="116">E71-D71</f>
        <v>8.6999999459258959E-2</v>
      </c>
      <c r="E323" s="26">
        <f t="shared" ref="E323:E331" si="117">F71-E71</f>
        <v>-0.889999999668035</v>
      </c>
      <c r="F323" s="26">
        <f t="shared" si="114"/>
        <v>-0.80300000020877604</v>
      </c>
    </row>
    <row r="324" spans="1:6" x14ac:dyDescent="0.2">
      <c r="A324" t="str">
        <f>$A$72</f>
        <v>Social work</v>
      </c>
      <c r="B324" s="26">
        <f t="shared" ref="B324:C324" si="118">C72-B72</f>
        <v>3.1440000003906903</v>
      </c>
      <c r="C324" s="26">
        <f t="shared" si="118"/>
        <v>-9.1039999973561976</v>
      </c>
      <c r="D324" s="26">
        <f t="shared" si="116"/>
        <v>-0.49700000129038813</v>
      </c>
      <c r="E324" s="26">
        <f t="shared" si="117"/>
        <v>-3.4849999989796174</v>
      </c>
      <c r="F324" s="26">
        <f t="shared" si="114"/>
        <v>-3.9820000002700056</v>
      </c>
    </row>
    <row r="325" spans="1:6" x14ac:dyDescent="0.2">
      <c r="A325" t="str">
        <f>$A$73</f>
        <v>Arts and entertainment</v>
      </c>
      <c r="B325" s="26">
        <f t="shared" ref="B325:C325" si="119">C73-B73</f>
        <v>-1.6780000005347091</v>
      </c>
      <c r="C325" s="26">
        <f t="shared" si="119"/>
        <v>10.994000000479431</v>
      </c>
      <c r="D325" s="26">
        <f t="shared" si="116"/>
        <v>4.9440000015781322</v>
      </c>
      <c r="E325" s="26">
        <f t="shared" si="117"/>
        <v>5.1739999992716292</v>
      </c>
      <c r="F325" s="26">
        <f t="shared" si="114"/>
        <v>10.118000000849761</v>
      </c>
    </row>
    <row r="326" spans="1:6" x14ac:dyDescent="0.2">
      <c r="A326" t="str">
        <f>$A$74</f>
        <v>Libraries, etc</v>
      </c>
      <c r="B326" s="26">
        <f t="shared" ref="B326:C326" si="120">C74-B74</f>
        <v>1.4969999997577048</v>
      </c>
      <c r="C326" s="26">
        <f t="shared" si="120"/>
        <v>7.4370000002079095</v>
      </c>
      <c r="D326" s="26">
        <f t="shared" si="116"/>
        <v>3.0480000009439436</v>
      </c>
      <c r="E326" s="26">
        <f t="shared" si="117"/>
        <v>3.5119999995740017</v>
      </c>
      <c r="F326" s="26">
        <f t="shared" si="114"/>
        <v>6.5600000005179453</v>
      </c>
    </row>
    <row r="327" spans="1:6" x14ac:dyDescent="0.2">
      <c r="A327" t="str">
        <f>$A$75</f>
        <v>Gambling and betting</v>
      </c>
      <c r="B327" s="26">
        <f t="shared" ref="B327:C327" si="121">C75-B75</f>
        <v>-3.1210000000420308</v>
      </c>
      <c r="C327" s="26">
        <f t="shared" si="121"/>
        <v>-0.74999999991099031</v>
      </c>
      <c r="D327" s="26">
        <f t="shared" si="116"/>
        <v>3.7480000002269129</v>
      </c>
      <c r="E327" s="26">
        <f t="shared" si="117"/>
        <v>3.9699999999835782</v>
      </c>
      <c r="F327" s="26">
        <f t="shared" si="114"/>
        <v>7.7180000002104912</v>
      </c>
    </row>
    <row r="328" spans="1:6" x14ac:dyDescent="0.2">
      <c r="A328" t="str">
        <f>$A$76</f>
        <v>Sport and recreation</v>
      </c>
      <c r="B328" s="26">
        <f t="shared" ref="B328:C328" si="122">C76-B76</f>
        <v>-3.7940000001710956</v>
      </c>
      <c r="C328" s="26">
        <f t="shared" si="122"/>
        <v>-3.5799999998560708</v>
      </c>
      <c r="D328" s="26">
        <f t="shared" si="116"/>
        <v>10.384000000681198</v>
      </c>
      <c r="E328" s="26">
        <f t="shared" si="117"/>
        <v>10.466999999868818</v>
      </c>
      <c r="F328" s="26">
        <f t="shared" si="114"/>
        <v>20.851000000550016</v>
      </c>
    </row>
    <row r="329" spans="1:6" x14ac:dyDescent="0.2">
      <c r="A329" t="str">
        <f>$A$77</f>
        <v>Membership organisations</v>
      </c>
      <c r="B329" s="26">
        <f t="shared" ref="B329:C329" si="123">C77-B77</f>
        <v>0.50800000024069902</v>
      </c>
      <c r="C329" s="26">
        <f t="shared" si="123"/>
        <v>-6.6839999983687477</v>
      </c>
      <c r="D329" s="26">
        <f t="shared" si="116"/>
        <v>9.2740000008320607</v>
      </c>
      <c r="E329" s="26">
        <f t="shared" si="117"/>
        <v>5.0659999994526288</v>
      </c>
      <c r="F329" s="26">
        <f t="shared" si="114"/>
        <v>14.340000000284689</v>
      </c>
    </row>
    <row r="330" spans="1:6" x14ac:dyDescent="0.2">
      <c r="A330" t="str">
        <f>$A$78</f>
        <v>Repair of goods</v>
      </c>
      <c r="B330" s="26">
        <f t="shared" ref="B330:C330" si="124">C78-B78</f>
        <v>3.4070000000527729</v>
      </c>
      <c r="C330" s="26">
        <f t="shared" si="124"/>
        <v>1.4349999999824927</v>
      </c>
      <c r="D330" s="26">
        <f t="shared" si="116"/>
        <v>1.611000000153668</v>
      </c>
      <c r="E330" s="26">
        <f t="shared" si="117"/>
        <v>0.99199999982795184</v>
      </c>
      <c r="F330" s="26">
        <f t="shared" si="114"/>
        <v>2.6029999999816198</v>
      </c>
    </row>
    <row r="331" spans="1:6" x14ac:dyDescent="0.2">
      <c r="A331" t="str">
        <f>$A$79</f>
        <v>Other personal service</v>
      </c>
      <c r="B331" s="26">
        <f>C79-B79</f>
        <v>12.16600000002429</v>
      </c>
      <c r="C331" s="26">
        <f t="shared" ref="C331" si="125">D79-C79</f>
        <v>-2.266000000762034</v>
      </c>
      <c r="D331" s="26">
        <f t="shared" si="116"/>
        <v>8.8440000005945762</v>
      </c>
      <c r="E331" s="26">
        <f t="shared" si="117"/>
        <v>4.9039999995390389</v>
      </c>
      <c r="F331" s="26">
        <f t="shared" si="114"/>
        <v>13.748000000133615</v>
      </c>
    </row>
    <row r="332" spans="1:6" x14ac:dyDescent="0.2">
      <c r="B332" s="26"/>
      <c r="C332" s="26"/>
      <c r="D332" s="26"/>
      <c r="E332" s="26"/>
      <c r="F332" s="26"/>
    </row>
    <row r="333" spans="1:6" x14ac:dyDescent="0.2">
      <c r="A333" s="23" t="str">
        <f>$A$81</f>
        <v>All industries</v>
      </c>
      <c r="B333" s="28">
        <f t="shared" ref="B333" si="126">C81-B81</f>
        <v>396.56099999415892</v>
      </c>
      <c r="C333" s="28">
        <f t="shared" ref="C333" si="127">D81-C81</f>
        <v>-32.735999992930374</v>
      </c>
      <c r="D333" s="28">
        <f>E81-D81</f>
        <v>241.91700000537094</v>
      </c>
      <c r="E333" s="28">
        <f>F81-E81</f>
        <v>301.43699999675846</v>
      </c>
      <c r="F333" s="28">
        <f t="shared" si="114"/>
        <v>543.3540000021294</v>
      </c>
    </row>
  </sheetData>
  <pageMargins left="0.7" right="0.7" top="0.75" bottom="0.75" header="0.3" footer="0.3"/>
  <pageSetup paperSize="9" scale="69" orientation="portrait" r:id="rId1"/>
  <rowBreaks count="3" manualBreakCount="3">
    <brk id="81" max="5" man="1"/>
    <brk id="165" max="5" man="1"/>
    <brk id="250" max="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8" t="str">
        <f>CONCATENATE("Industry Table 4  Employment by Industry Group in Sector (SIC 2007), ",B$5,"-",F$5,", ",Info!B5)</f>
        <v>Industry Table 4  Employment by Industry Group in Sector (SIC 2007), 2015-2035, London</v>
      </c>
    </row>
    <row r="2" spans="1:12" ht="12.75" customHeight="1" x14ac:dyDescent="0.2">
      <c r="A2" s="181" t="s">
        <v>534</v>
      </c>
    </row>
    <row r="3" spans="1:12" ht="12.75" customHeight="1" x14ac:dyDescent="0.25">
      <c r="A3" s="18"/>
      <c r="L3" s="37" t="s">
        <v>19</v>
      </c>
    </row>
    <row r="4" spans="1:12" x14ac:dyDescent="0.2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2">
      <c r="A5" s="23"/>
      <c r="B5" s="41">
        <f>'Ind T1'!B5</f>
        <v>2015</v>
      </c>
      <c r="C5" s="41">
        <f>'Ind T1'!C5</f>
        <v>2019</v>
      </c>
      <c r="D5" s="41">
        <f>'Ind T1'!D5</f>
        <v>2020</v>
      </c>
      <c r="E5" s="41">
        <f>'Ind T1'!E5</f>
        <v>2025</v>
      </c>
      <c r="F5" s="41">
        <f>'Ind T1'!F5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x14ac:dyDescent="0.2">
      <c r="A7" s="29" t="str">
        <f>'Ind T1'!A7</f>
        <v>Primary sector and utilities</v>
      </c>
      <c r="B7" s="30">
        <f>'Ind T1'!B7</f>
        <v>32.094000000098298</v>
      </c>
      <c r="C7" s="30">
        <f>'Ind T1'!C7</f>
        <v>38.942000000120366</v>
      </c>
      <c r="D7" s="30">
        <f>'Ind T1'!D7</f>
        <v>32.877999999813724</v>
      </c>
      <c r="E7" s="30">
        <f>'Ind T1'!E7</f>
        <v>33.681999999911177</v>
      </c>
      <c r="F7" s="30">
        <f>'Ind T1'!F7</f>
        <v>36.091999999708392</v>
      </c>
      <c r="H7" s="30">
        <f>C7-B7</f>
        <v>6.8480000000220684</v>
      </c>
      <c r="I7" s="30">
        <f>D7-C7</f>
        <v>-6.0640000003066419</v>
      </c>
      <c r="J7" s="30">
        <f>E7-D7</f>
        <v>0.80400000009745298</v>
      </c>
      <c r="K7" s="30">
        <f>F7-E7</f>
        <v>2.4099999997972148</v>
      </c>
      <c r="L7" s="30">
        <f>F7-D7</f>
        <v>3.2139999998946678</v>
      </c>
    </row>
    <row r="8" spans="1:12" x14ac:dyDescent="0.2">
      <c r="A8" t="str">
        <f>'Ind T2'!A5</f>
        <v>Agriculture</v>
      </c>
      <c r="B8" s="31">
        <f>'Ind T2'!B5</f>
        <v>1.6959999999793451</v>
      </c>
      <c r="C8" s="31">
        <f>'Ind T2'!C5</f>
        <v>4.5530000000011261</v>
      </c>
      <c r="D8" s="31">
        <f>'Ind T2'!D5</f>
        <v>1.0350000000023996</v>
      </c>
      <c r="E8" s="31">
        <f>'Ind T2'!E5</f>
        <v>1.0710000000172895</v>
      </c>
      <c r="F8" s="31">
        <f>'Ind T2'!F5</f>
        <v>1.1010000000043316</v>
      </c>
      <c r="H8" s="11">
        <f t="shared" ref="H8:H40" si="0">C8-B8</f>
        <v>2.857000000021781</v>
      </c>
      <c r="I8" s="30">
        <f t="shared" ref="I8:I38" si="1">D8-C8</f>
        <v>-3.5179999999987266</v>
      </c>
      <c r="J8" s="11">
        <f t="shared" ref="J8:J38" si="2">E8-D8</f>
        <v>3.6000000014889899E-2</v>
      </c>
      <c r="K8" s="11">
        <f t="shared" ref="K8:K38" si="3">F8-E8</f>
        <v>2.999999998704217E-2</v>
      </c>
      <c r="L8" s="30">
        <f t="shared" ref="L8:L40" si="4">F8-D8</f>
        <v>6.6000000001932069E-2</v>
      </c>
    </row>
    <row r="9" spans="1:12" x14ac:dyDescent="0.2">
      <c r="A9" t="str">
        <f>'Ind T2'!A6</f>
        <v>Mining and quarrying</v>
      </c>
      <c r="B9" s="31">
        <f>'Ind T2'!B6</f>
        <v>4.2619999999754201</v>
      </c>
      <c r="C9" s="31">
        <f>'Ind T2'!C6</f>
        <v>2.242999999978549</v>
      </c>
      <c r="D9" s="31">
        <f>'Ind T2'!D6</f>
        <v>2.7030000000111776</v>
      </c>
      <c r="E9" s="31">
        <f>'Ind T2'!E6</f>
        <v>2.1960000000236986</v>
      </c>
      <c r="F9" s="31">
        <f>'Ind T2'!F6</f>
        <v>1.6440000000162167</v>
      </c>
      <c r="H9" s="11">
        <f t="shared" si="0"/>
        <v>-2.0189999999968711</v>
      </c>
      <c r="I9" s="30">
        <f t="shared" si="1"/>
        <v>0.46000000003262853</v>
      </c>
      <c r="J9" s="11">
        <f t="shared" si="2"/>
        <v>-0.50699999998747902</v>
      </c>
      <c r="K9" s="11">
        <f t="shared" si="3"/>
        <v>-0.55200000000748184</v>
      </c>
      <c r="L9" s="30">
        <f t="shared" si="4"/>
        <v>-1.0589999999949609</v>
      </c>
    </row>
    <row r="10" spans="1:12" x14ac:dyDescent="0.2">
      <c r="A10" t="str">
        <f>'Ind T2'!A10</f>
        <v>Electricity and gas</v>
      </c>
      <c r="B10" s="31">
        <f>'Ind T2'!B10</f>
        <v>10.292999999952817</v>
      </c>
      <c r="C10" s="31">
        <f>'Ind T2'!C10</f>
        <v>15.214999999958104</v>
      </c>
      <c r="D10" s="31">
        <f>'Ind T2'!D10</f>
        <v>12.42299999999452</v>
      </c>
      <c r="E10" s="31">
        <f>'Ind T2'!E10</f>
        <v>12.218000000079176</v>
      </c>
      <c r="F10" s="31">
        <f>'Ind T2'!F10</f>
        <v>12.449000000055946</v>
      </c>
      <c r="H10" s="11">
        <f t="shared" si="0"/>
        <v>4.922000000005287</v>
      </c>
      <c r="I10" s="30">
        <f t="shared" si="1"/>
        <v>-2.7919999999635845</v>
      </c>
      <c r="J10" s="11">
        <f t="shared" si="2"/>
        <v>-0.20499999991534423</v>
      </c>
      <c r="K10" s="11">
        <f t="shared" si="3"/>
        <v>0.23099999997677045</v>
      </c>
      <c r="L10" s="30">
        <f t="shared" si="4"/>
        <v>2.6000000061426221E-2</v>
      </c>
    </row>
    <row r="11" spans="1:12" x14ac:dyDescent="0.2">
      <c r="A11" t="str">
        <f>'Ind T2'!A11</f>
        <v>Water and sewerage</v>
      </c>
      <c r="B11" s="31">
        <f>'Ind T2'!B11</f>
        <v>15.843000000190717</v>
      </c>
      <c r="C11" s="31">
        <f>'Ind T2'!C11</f>
        <v>16.931000000182589</v>
      </c>
      <c r="D11" s="31">
        <f>'Ind T2'!D11</f>
        <v>16.71699999980563</v>
      </c>
      <c r="E11" s="31">
        <f>'Ind T2'!E11</f>
        <v>18.196999999791014</v>
      </c>
      <c r="F11" s="31">
        <f>'Ind T2'!F11</f>
        <v>20.897999999631903</v>
      </c>
      <c r="H11" s="11">
        <f t="shared" ref="H11" si="5">C11-B11</f>
        <v>1.0879999999918724</v>
      </c>
      <c r="I11" s="30">
        <f t="shared" ref="I11" si="6">D11-C11</f>
        <v>-0.21400000037695932</v>
      </c>
      <c r="J11" s="11">
        <f t="shared" ref="J11" si="7">E11-D11</f>
        <v>1.4799999999853846</v>
      </c>
      <c r="K11" s="11">
        <f t="shared" ref="K11" si="8">F11-E11</f>
        <v>2.7009999998408887</v>
      </c>
      <c r="L11" s="30">
        <f t="shared" si="4"/>
        <v>4.1809999998262732</v>
      </c>
    </row>
    <row r="12" spans="1:12" x14ac:dyDescent="0.2">
      <c r="B12" s="31"/>
      <c r="C12" s="31"/>
      <c r="D12" s="31"/>
      <c r="E12" s="31"/>
      <c r="F12" s="31"/>
      <c r="H12" s="11"/>
      <c r="I12" s="30"/>
      <c r="J12" s="11"/>
      <c r="K12" s="11"/>
      <c r="L12" s="30"/>
    </row>
    <row r="13" spans="1:12" s="29" customFormat="1" x14ac:dyDescent="0.2">
      <c r="A13" s="29" t="str">
        <f>'Ind T1'!A8</f>
        <v>Manufacturing</v>
      </c>
      <c r="B13" s="30">
        <f>'Ind T1'!B8</f>
        <v>123.96000000103739</v>
      </c>
      <c r="C13" s="30">
        <f>'Ind T1'!C8</f>
        <v>135.23100000086251</v>
      </c>
      <c r="D13" s="30">
        <f>'Ind T1'!D8</f>
        <v>146.30099999872098</v>
      </c>
      <c r="E13" s="30">
        <f>'Ind T1'!E8</f>
        <v>143.15799999989969</v>
      </c>
      <c r="F13" s="30">
        <f>'Ind T1'!F8</f>
        <v>132.75099999898183</v>
      </c>
      <c r="H13" s="30">
        <f t="shared" si="0"/>
        <v>11.270999999825122</v>
      </c>
      <c r="I13" s="30">
        <f t="shared" si="1"/>
        <v>11.069999997858474</v>
      </c>
      <c r="J13" s="30">
        <f t="shared" si="2"/>
        <v>-3.1429999988212955</v>
      </c>
      <c r="K13" s="30">
        <f t="shared" si="3"/>
        <v>-10.407000000917861</v>
      </c>
      <c r="L13" s="30">
        <f t="shared" si="4"/>
        <v>-13.549999999739157</v>
      </c>
    </row>
    <row r="14" spans="1:12" x14ac:dyDescent="0.2">
      <c r="A14" t="str">
        <f>'Ind T2'!A7</f>
        <v>Food drink and tobacco</v>
      </c>
      <c r="B14" s="31">
        <f>'Ind T2'!B7</f>
        <v>28.49100000053776</v>
      </c>
      <c r="C14" s="31">
        <f>'Ind T2'!C7</f>
        <v>43.139000000567805</v>
      </c>
      <c r="D14" s="31">
        <f>'Ind T2'!D7</f>
        <v>44.624999999315129</v>
      </c>
      <c r="E14" s="31">
        <f>'Ind T2'!E7</f>
        <v>45.290999999783494</v>
      </c>
      <c r="F14" s="31">
        <f>'Ind T2'!F7</f>
        <v>44.388999999243552</v>
      </c>
      <c r="H14" s="11">
        <f t="shared" si="0"/>
        <v>14.648000000030045</v>
      </c>
      <c r="I14" s="30">
        <f t="shared" si="1"/>
        <v>1.4859999987473245</v>
      </c>
      <c r="J14" s="11">
        <f t="shared" si="2"/>
        <v>0.66600000046836527</v>
      </c>
      <c r="K14" s="11">
        <f t="shared" si="3"/>
        <v>-0.90200000053994245</v>
      </c>
      <c r="L14" s="30">
        <f t="shared" si="4"/>
        <v>-0.23600000007157718</v>
      </c>
    </row>
    <row r="15" spans="1:12" x14ac:dyDescent="0.2">
      <c r="A15" t="str">
        <f>'Ind T2'!A8</f>
        <v>Engineering</v>
      </c>
      <c r="B15" s="31">
        <f>'Ind T2'!B8</f>
        <v>9.7510000000010422</v>
      </c>
      <c r="C15" s="31">
        <f>'Ind T2'!C8</f>
        <v>13.439000000010228</v>
      </c>
      <c r="D15" s="31">
        <f>'Ind T2'!D8</f>
        <v>13.72299999996684</v>
      </c>
      <c r="E15" s="31">
        <f>'Ind T2'!E8</f>
        <v>17.333000000023972</v>
      </c>
      <c r="F15" s="31">
        <f>'Ind T2'!F8</f>
        <v>18.494999999974297</v>
      </c>
      <c r="H15" s="11">
        <f t="shared" si="0"/>
        <v>3.6880000000091862</v>
      </c>
      <c r="I15" s="30">
        <f t="shared" si="1"/>
        <v>0.2839999999566114</v>
      </c>
      <c r="J15" s="11">
        <f t="shared" si="2"/>
        <v>3.6100000000571324</v>
      </c>
      <c r="K15" s="11">
        <f t="shared" si="3"/>
        <v>1.161999999950325</v>
      </c>
      <c r="L15" s="30">
        <f t="shared" si="4"/>
        <v>4.7720000000074574</v>
      </c>
    </row>
    <row r="16" spans="1:12" x14ac:dyDescent="0.2">
      <c r="A16" t="str">
        <f>'Ind T2'!A9</f>
        <v>Rest of manufacturing</v>
      </c>
      <c r="B16" s="31">
        <f>'Ind T2'!B9</f>
        <v>85.718000000498563</v>
      </c>
      <c r="C16" s="31">
        <f>'Ind T2'!C9</f>
        <v>78.653000000284464</v>
      </c>
      <c r="D16" s="31">
        <f>'Ind T2'!D9</f>
        <v>87.952999999439015</v>
      </c>
      <c r="E16" s="31">
        <f>'Ind T2'!E9</f>
        <v>80.534000000092234</v>
      </c>
      <c r="F16" s="31">
        <f>'Ind T2'!F9</f>
        <v>69.866999999763991</v>
      </c>
      <c r="H16" s="11">
        <f t="shared" si="0"/>
        <v>-7.0650000002140985</v>
      </c>
      <c r="I16" s="30">
        <f t="shared" si="1"/>
        <v>9.2999999991545508</v>
      </c>
      <c r="J16" s="11">
        <f t="shared" si="2"/>
        <v>-7.4189999993467808</v>
      </c>
      <c r="K16" s="11">
        <f t="shared" si="3"/>
        <v>-10.667000000328244</v>
      </c>
      <c r="L16" s="30">
        <f t="shared" si="4"/>
        <v>-18.085999999675025</v>
      </c>
    </row>
    <row r="17" spans="1:12" x14ac:dyDescent="0.2">
      <c r="B17" s="31"/>
      <c r="C17" s="31"/>
      <c r="D17" s="31"/>
      <c r="E17" s="31"/>
      <c r="F17" s="31"/>
      <c r="H17" s="11"/>
      <c r="I17" s="30">
        <f t="shared" si="1"/>
        <v>0</v>
      </c>
      <c r="J17" s="11"/>
      <c r="K17" s="11"/>
      <c r="L17" s="30"/>
    </row>
    <row r="18" spans="1:12" s="29" customFormat="1" x14ac:dyDescent="0.2">
      <c r="A18" s="29" t="str">
        <f>'Ind T1'!A9</f>
        <v>Construction</v>
      </c>
      <c r="B18" s="30">
        <f>'Ind T1'!B9</f>
        <v>289.43400000057773</v>
      </c>
      <c r="C18" s="30">
        <f>'Ind T1'!C9</f>
        <v>319.71500000728582</v>
      </c>
      <c r="D18" s="30">
        <f>'Ind T1'!D9</f>
        <v>297.80299999075271</v>
      </c>
      <c r="E18" s="30">
        <f>'Ind T1'!E9</f>
        <v>330.64299998375026</v>
      </c>
      <c r="F18" s="30">
        <f>'Ind T1'!F9</f>
        <v>379.64199998098906</v>
      </c>
      <c r="H18" s="30">
        <f t="shared" si="0"/>
        <v>30.281000006708098</v>
      </c>
      <c r="I18" s="30">
        <f t="shared" si="1"/>
        <v>-21.912000016533113</v>
      </c>
      <c r="J18" s="30">
        <f t="shared" si="2"/>
        <v>32.839999992997548</v>
      </c>
      <c r="K18" s="30">
        <f t="shared" si="3"/>
        <v>48.998999997238798</v>
      </c>
      <c r="L18" s="30">
        <f t="shared" si="4"/>
        <v>81.838999990236346</v>
      </c>
    </row>
    <row r="19" spans="1:12" x14ac:dyDescent="0.2">
      <c r="A19" s="29"/>
      <c r="B19" s="31"/>
      <c r="C19" s="31"/>
      <c r="D19" s="31"/>
      <c r="E19" s="31"/>
      <c r="F19" s="31"/>
      <c r="H19" s="11"/>
      <c r="I19" s="30"/>
      <c r="J19" s="11"/>
      <c r="K19" s="11"/>
      <c r="L19" s="30"/>
    </row>
    <row r="20" spans="1:12" s="29" customFormat="1" x14ac:dyDescent="0.2">
      <c r="A20" s="29" t="str">
        <f>'Ind T1'!A10</f>
        <v>Trade, accomod. and transport</v>
      </c>
      <c r="B20" s="30">
        <f>'Ind T1'!B10</f>
        <v>1323.0470000357218</v>
      </c>
      <c r="C20" s="30">
        <f>'Ind T1'!C10</f>
        <v>1418.2680000231994</v>
      </c>
      <c r="D20" s="30">
        <f>'Ind T1'!D10</f>
        <v>1386.4849999834535</v>
      </c>
      <c r="E20" s="30">
        <f>'Ind T1'!E10</f>
        <v>1432.0220000007096</v>
      </c>
      <c r="F20" s="30">
        <f>'Ind T1'!F10</f>
        <v>1510.7689999848176</v>
      </c>
      <c r="H20" s="30">
        <f t="shared" si="0"/>
        <v>95.220999987477626</v>
      </c>
      <c r="I20" s="30">
        <f t="shared" si="1"/>
        <v>-31.783000039745957</v>
      </c>
      <c r="J20" s="30">
        <f t="shared" si="2"/>
        <v>45.537000017256105</v>
      </c>
      <c r="K20" s="30">
        <f t="shared" si="3"/>
        <v>78.746999984108015</v>
      </c>
      <c r="L20" s="30">
        <f t="shared" si="4"/>
        <v>124.28400000136412</v>
      </c>
    </row>
    <row r="21" spans="1:12" x14ac:dyDescent="0.2">
      <c r="A21" s="10" t="str">
        <f>'Ind T2'!A13</f>
        <v>Wholesale and retail trade</v>
      </c>
      <c r="B21" s="31">
        <f>'Ind T2'!B13</f>
        <v>665.94600001948652</v>
      </c>
      <c r="C21" s="31">
        <f>'Ind T2'!C13</f>
        <v>638.43700001312141</v>
      </c>
      <c r="D21" s="31">
        <f>'Ind T2'!D13</f>
        <v>638.69099999360094</v>
      </c>
      <c r="E21" s="31">
        <f>'Ind T2'!E13</f>
        <v>631.94400000136363</v>
      </c>
      <c r="F21" s="31">
        <f>'Ind T2'!F13</f>
        <v>632.02499999279519</v>
      </c>
      <c r="H21" s="11">
        <f t="shared" si="0"/>
        <v>-27.509000006365113</v>
      </c>
      <c r="I21" s="30">
        <f t="shared" si="1"/>
        <v>0.25399998047953432</v>
      </c>
      <c r="J21" s="11">
        <f t="shared" si="2"/>
        <v>-6.7469999922373063</v>
      </c>
      <c r="K21" s="11">
        <f t="shared" si="3"/>
        <v>8.0999991431554008E-2</v>
      </c>
      <c r="L21" s="30">
        <f t="shared" si="4"/>
        <v>-6.6660000008057523</v>
      </c>
    </row>
    <row r="22" spans="1:12" x14ac:dyDescent="0.2">
      <c r="A22" s="10" t="str">
        <f>'Ind T2'!A14</f>
        <v>Transport and storage</v>
      </c>
      <c r="B22" s="31">
        <f>'Ind T2'!B14</f>
        <v>286.79100000660162</v>
      </c>
      <c r="C22" s="31">
        <f>'Ind T2'!C14</f>
        <v>321.04600000112322</v>
      </c>
      <c r="D22" s="31">
        <f>'Ind T2'!D14</f>
        <v>319.80499999526324</v>
      </c>
      <c r="E22" s="31">
        <f>'Ind T2'!E14</f>
        <v>344.99899999899503</v>
      </c>
      <c r="F22" s="31">
        <f>'Ind T2'!F14</f>
        <v>345.39099999613529</v>
      </c>
      <c r="H22" s="11">
        <f t="shared" si="0"/>
        <v>34.254999994521597</v>
      </c>
      <c r="I22" s="30">
        <f t="shared" si="1"/>
        <v>-1.2410000058599735</v>
      </c>
      <c r="J22" s="11">
        <f t="shared" si="2"/>
        <v>25.194000003731787</v>
      </c>
      <c r="K22" s="11">
        <f t="shared" si="3"/>
        <v>0.39199999714026035</v>
      </c>
      <c r="L22" s="30">
        <f t="shared" si="4"/>
        <v>25.586000000872048</v>
      </c>
    </row>
    <row r="23" spans="1:12" x14ac:dyDescent="0.2">
      <c r="A23" s="10" t="str">
        <f>'Ind T2'!A15</f>
        <v>Accommodation and food</v>
      </c>
      <c r="B23" s="31">
        <f>'Ind T2'!B15</f>
        <v>370.31000000963365</v>
      </c>
      <c r="C23" s="31">
        <f>'Ind T2'!C15</f>
        <v>458.78500000895485</v>
      </c>
      <c r="D23" s="31">
        <f>'Ind T2'!D15</f>
        <v>427.98899999458945</v>
      </c>
      <c r="E23" s="31">
        <f>'Ind T2'!E15</f>
        <v>455.0790000003509</v>
      </c>
      <c r="F23" s="31">
        <f>'Ind T2'!F15</f>
        <v>533.35299999588699</v>
      </c>
      <c r="H23" s="11">
        <f t="shared" si="0"/>
        <v>88.474999999321199</v>
      </c>
      <c r="I23" s="30">
        <f t="shared" si="1"/>
        <v>-30.796000014365404</v>
      </c>
      <c r="J23" s="11">
        <f t="shared" si="2"/>
        <v>27.090000005761453</v>
      </c>
      <c r="K23" s="11">
        <f t="shared" si="3"/>
        <v>78.273999995536087</v>
      </c>
      <c r="L23" s="30">
        <f t="shared" si="4"/>
        <v>105.36400000129754</v>
      </c>
    </row>
    <row r="24" spans="1:12" x14ac:dyDescent="0.2">
      <c r="B24" s="31"/>
      <c r="C24" s="31"/>
      <c r="D24" s="31"/>
      <c r="E24" s="31"/>
      <c r="F24" s="31"/>
      <c r="H24" s="11"/>
      <c r="I24" s="30"/>
      <c r="J24" s="11"/>
      <c r="K24" s="11"/>
      <c r="L24" s="30"/>
    </row>
    <row r="25" spans="1:12" s="29" customFormat="1" x14ac:dyDescent="0.2">
      <c r="A25" s="29" t="str">
        <f>'Ind T1'!A11</f>
        <v>Business and other services</v>
      </c>
      <c r="B25" s="30">
        <f>'Ind T1'!B11</f>
        <v>2621.7669999800705</v>
      </c>
      <c r="C25" s="30">
        <f>'Ind T1'!C11</f>
        <v>2825.7269999778605</v>
      </c>
      <c r="D25" s="30">
        <f>'Ind T1'!D11</f>
        <v>2804.459000011399</v>
      </c>
      <c r="E25" s="30">
        <f>'Ind T1'!E11</f>
        <v>2954.988000047038</v>
      </c>
      <c r="F25" s="30">
        <f>'Ind T1'!F11</f>
        <v>3118.6940000273239</v>
      </c>
      <c r="H25" s="30">
        <f t="shared" si="0"/>
        <v>203.95999999778996</v>
      </c>
      <c r="I25" s="30">
        <f t="shared" si="1"/>
        <v>-21.267999966461502</v>
      </c>
      <c r="J25" s="30">
        <f t="shared" si="2"/>
        <v>150.529000035639</v>
      </c>
      <c r="K25" s="30">
        <f t="shared" si="3"/>
        <v>163.70599998028592</v>
      </c>
      <c r="L25" s="30">
        <f t="shared" si="4"/>
        <v>314.23500001592492</v>
      </c>
    </row>
    <row r="26" spans="1:12" x14ac:dyDescent="0.2">
      <c r="A26" s="10" t="str">
        <f>'Ind T2'!A16</f>
        <v>Media</v>
      </c>
      <c r="B26" s="11">
        <f>'Ind T2'!B16</f>
        <v>169.83099999940578</v>
      </c>
      <c r="C26" s="11">
        <f>'Ind T2'!C16</f>
        <v>167.9069999990358</v>
      </c>
      <c r="D26" s="11">
        <f>'Ind T2'!D16</f>
        <v>177.65000000121492</v>
      </c>
      <c r="E26" s="11">
        <f>'Ind T2'!E16</f>
        <v>186.16600000392302</v>
      </c>
      <c r="F26" s="11">
        <f>'Ind T2'!F16</f>
        <v>190.39500000259886</v>
      </c>
      <c r="H26" s="11">
        <f t="shared" si="0"/>
        <v>-1.924000000369972</v>
      </c>
      <c r="I26" s="30">
        <f t="shared" si="1"/>
        <v>9.7430000021791159</v>
      </c>
      <c r="J26" s="11">
        <f t="shared" si="2"/>
        <v>8.5160000027080969</v>
      </c>
      <c r="K26" s="11">
        <f t="shared" si="3"/>
        <v>4.228999998675846</v>
      </c>
      <c r="L26" s="30">
        <f t="shared" si="4"/>
        <v>12.745000001383943</v>
      </c>
    </row>
    <row r="27" spans="1:12" x14ac:dyDescent="0.2">
      <c r="A27" s="10" t="str">
        <f>'Ind T2'!A17</f>
        <v>Information technology</v>
      </c>
      <c r="B27" s="11">
        <f>'Ind T2'!B17</f>
        <v>262.03799999552723</v>
      </c>
      <c r="C27" s="11">
        <f>'Ind T2'!C17</f>
        <v>316.03299999552218</v>
      </c>
      <c r="D27" s="11">
        <f>'Ind T2'!D17</f>
        <v>332.73700000238267</v>
      </c>
      <c r="E27" s="11">
        <f>'Ind T2'!E17</f>
        <v>360.24400000624189</v>
      </c>
      <c r="F27" s="11">
        <f>'Ind T2'!F17</f>
        <v>393.24500000436967</v>
      </c>
      <c r="H27" s="11">
        <f t="shared" si="0"/>
        <v>53.994999999994945</v>
      </c>
      <c r="I27" s="30">
        <f t="shared" si="1"/>
        <v>16.704000006860497</v>
      </c>
      <c r="J27" s="11">
        <f t="shared" si="2"/>
        <v>27.507000003859218</v>
      </c>
      <c r="K27" s="11">
        <f t="shared" si="3"/>
        <v>33.000999998127782</v>
      </c>
      <c r="L27" s="30">
        <f t="shared" si="4"/>
        <v>60.508000001987</v>
      </c>
    </row>
    <row r="28" spans="1:12" x14ac:dyDescent="0.2">
      <c r="A28" s="10" t="str">
        <f>'Ind T2'!A18</f>
        <v>Finance and insurance</v>
      </c>
      <c r="B28" s="11">
        <f>'Ind T2'!B18</f>
        <v>372.22399999473578</v>
      </c>
      <c r="C28" s="11">
        <f>'Ind T2'!C18</f>
        <v>408.94599999445848</v>
      </c>
      <c r="D28" s="11">
        <f>'Ind T2'!D18</f>
        <v>403.88500000181784</v>
      </c>
      <c r="E28" s="11">
        <f>'Ind T2'!E18</f>
        <v>410.36400000884646</v>
      </c>
      <c r="F28" s="11">
        <f>'Ind T2'!F18</f>
        <v>414.92400000529392</v>
      </c>
      <c r="H28" s="11">
        <f t="shared" si="0"/>
        <v>36.721999999722698</v>
      </c>
      <c r="I28" s="30">
        <f t="shared" si="1"/>
        <v>-5.0609999926406317</v>
      </c>
      <c r="J28" s="11">
        <f t="shared" si="2"/>
        <v>6.4790000070286169</v>
      </c>
      <c r="K28" s="11">
        <f t="shared" si="3"/>
        <v>4.5599999964474591</v>
      </c>
      <c r="L28" s="30">
        <f t="shared" si="4"/>
        <v>11.039000003476076</v>
      </c>
    </row>
    <row r="29" spans="1:12" x14ac:dyDescent="0.2">
      <c r="A29" s="10" t="str">
        <f>'Ind T2'!A19</f>
        <v>Real estate</v>
      </c>
      <c r="B29" s="11">
        <f>'Ind T2'!B19</f>
        <v>136.39699999923894</v>
      </c>
      <c r="C29" s="11">
        <f>'Ind T2'!C19</f>
        <v>130.66799999922634</v>
      </c>
      <c r="D29" s="11">
        <f>'Ind T2'!D19</f>
        <v>160.77699999999172</v>
      </c>
      <c r="E29" s="11">
        <f>'Ind T2'!E19</f>
        <v>152.81600000129112</v>
      </c>
      <c r="F29" s="11">
        <f>'Ind T2'!F19</f>
        <v>160.82000000072313</v>
      </c>
      <c r="H29" s="11">
        <f t="shared" ref="H29:H31" si="9">C29-B29</f>
        <v>-5.7290000000126042</v>
      </c>
      <c r="I29" s="30">
        <f t="shared" ref="I29:I31" si="10">D29-C29</f>
        <v>30.109000000765377</v>
      </c>
      <c r="J29" s="11">
        <f t="shared" ref="J29:J31" si="11">E29-D29</f>
        <v>-7.9609999987006006</v>
      </c>
      <c r="K29" s="11">
        <f t="shared" ref="K29:K31" si="12">F29-E29</f>
        <v>8.0039999994320112</v>
      </c>
      <c r="L29" s="30">
        <f t="shared" si="4"/>
        <v>4.3000000731410637E-2</v>
      </c>
    </row>
    <row r="30" spans="1:12" x14ac:dyDescent="0.2">
      <c r="A30" s="10" t="str">
        <f>'Ind T2'!A20</f>
        <v>Professional services</v>
      </c>
      <c r="B30" s="11">
        <f>'Ind T2'!B20</f>
        <v>758.16899998468466</v>
      </c>
      <c r="C30" s="11">
        <f>'Ind T2'!C20</f>
        <v>830.11899998514627</v>
      </c>
      <c r="D30" s="11">
        <f>'Ind T2'!D20</f>
        <v>777.9650000084024</v>
      </c>
      <c r="E30" s="11">
        <f>'Ind T2'!E20</f>
        <v>823.48100002307365</v>
      </c>
      <c r="F30" s="11">
        <f>'Ind T2'!F20</f>
        <v>871.91000001357156</v>
      </c>
      <c r="H30" s="11">
        <f t="shared" si="9"/>
        <v>71.950000000461614</v>
      </c>
      <c r="I30" s="30">
        <f t="shared" si="10"/>
        <v>-52.153999976743876</v>
      </c>
      <c r="J30" s="11">
        <f t="shared" si="11"/>
        <v>45.516000014671249</v>
      </c>
      <c r="K30" s="11">
        <f t="shared" si="12"/>
        <v>48.428999990497914</v>
      </c>
      <c r="L30" s="30">
        <f t="shared" si="4"/>
        <v>93.945000005169163</v>
      </c>
    </row>
    <row r="31" spans="1:12" x14ac:dyDescent="0.2">
      <c r="A31" s="10" t="str">
        <f>'Ind T2'!A21</f>
        <v>Support services</v>
      </c>
      <c r="B31" s="11">
        <f>'Ind T2'!B21</f>
        <v>570.41700000629999</v>
      </c>
      <c r="C31" s="11">
        <f>'Ind T2'!C21</f>
        <v>610.37800000496702</v>
      </c>
      <c r="D31" s="11">
        <f>'Ind T2'!D21</f>
        <v>583.18299999631267</v>
      </c>
      <c r="E31" s="11">
        <f>'Ind T2'!E21</f>
        <v>611.80199999737374</v>
      </c>
      <c r="F31" s="11">
        <f>'Ind T2'!F21</f>
        <v>643.19999999696074</v>
      </c>
      <c r="H31" s="11">
        <f t="shared" si="9"/>
        <v>39.960999998667035</v>
      </c>
      <c r="I31" s="30">
        <f t="shared" si="10"/>
        <v>-27.195000008654347</v>
      </c>
      <c r="J31" s="11">
        <f t="shared" si="11"/>
        <v>28.619000001061067</v>
      </c>
      <c r="K31" s="11">
        <f t="shared" si="12"/>
        <v>31.397999999587</v>
      </c>
      <c r="L31" s="30">
        <f t="shared" si="4"/>
        <v>60.017000000648068</v>
      </c>
    </row>
    <row r="32" spans="1:12" x14ac:dyDescent="0.2">
      <c r="A32" s="10" t="str">
        <f>'Ind T2'!A25</f>
        <v>Arts and entertainment</v>
      </c>
      <c r="B32" s="11">
        <f>'Ind T2'!B25</f>
        <v>201.18200000085997</v>
      </c>
      <c r="C32" s="11">
        <f>'Ind T2'!C25</f>
        <v>194.08599999986984</v>
      </c>
      <c r="D32" s="11">
        <f>'Ind T2'!D25</f>
        <v>208.18700000079011</v>
      </c>
      <c r="E32" s="11">
        <f>'Ind T2'!E25</f>
        <v>230.31100000422029</v>
      </c>
      <c r="F32" s="11">
        <f>'Ind T2'!F25</f>
        <v>253.43400000291834</v>
      </c>
      <c r="H32" s="11">
        <f t="shared" ref="H32" si="13">C32-B32</f>
        <v>-7.0960000009901307</v>
      </c>
      <c r="I32" s="30">
        <f t="shared" ref="I32:I33" si="14">D32-C32</f>
        <v>14.101000000920266</v>
      </c>
      <c r="J32" s="11">
        <f t="shared" ref="J32:J33" si="15">E32-D32</f>
        <v>22.124000003430183</v>
      </c>
      <c r="K32" s="11">
        <f t="shared" ref="K32:K33" si="16">F32-E32</f>
        <v>23.122999998698049</v>
      </c>
      <c r="L32" s="30">
        <f t="shared" si="4"/>
        <v>45.247000002128232</v>
      </c>
    </row>
    <row r="33" spans="1:12" x14ac:dyDescent="0.2">
      <c r="A33" s="10" t="str">
        <f>'Ind T2'!A26</f>
        <v>Other services</v>
      </c>
      <c r="B33" s="11">
        <f>'Ind T2'!B26</f>
        <v>151.50899999931821</v>
      </c>
      <c r="C33" s="11">
        <f>'Ind T2'!C26</f>
        <v>167.58999999963595</v>
      </c>
      <c r="D33" s="11">
        <f>'Ind T2'!D26</f>
        <v>160.07500000048765</v>
      </c>
      <c r="E33" s="11">
        <f>'Ind T2'!E26</f>
        <v>179.80400000206797</v>
      </c>
      <c r="F33" s="11">
        <f>'Ind T2'!F26</f>
        <v>190.76600000088757</v>
      </c>
      <c r="H33" s="11">
        <f>C33-B33</f>
        <v>16.081000000317744</v>
      </c>
      <c r="I33" s="30">
        <f t="shared" si="14"/>
        <v>-7.5149999991483014</v>
      </c>
      <c r="J33" s="11">
        <f t="shared" si="15"/>
        <v>19.729000001580317</v>
      </c>
      <c r="K33" s="11">
        <f t="shared" si="16"/>
        <v>10.961999998819607</v>
      </c>
      <c r="L33" s="30">
        <f t="shared" si="4"/>
        <v>30.691000000399924</v>
      </c>
    </row>
    <row r="34" spans="1:12" x14ac:dyDescent="0.2">
      <c r="B34" s="31"/>
      <c r="C34" s="31"/>
      <c r="D34" s="31"/>
      <c r="E34" s="31"/>
      <c r="F34" s="31"/>
      <c r="H34" s="11"/>
      <c r="I34" s="30"/>
      <c r="J34" s="11"/>
      <c r="K34" s="11"/>
      <c r="L34" s="30"/>
    </row>
    <row r="35" spans="1:12" s="29" customFormat="1" x14ac:dyDescent="0.2">
      <c r="A35" s="29" t="str">
        <f>'Ind T1'!A12</f>
        <v>Non-marketed services</v>
      </c>
      <c r="B35" s="30">
        <f>'Ind T1'!B12</f>
        <v>1183.2539999865978</v>
      </c>
      <c r="C35" s="30">
        <f>'Ind T1'!C12</f>
        <v>1232.2339999889325</v>
      </c>
      <c r="D35" s="30">
        <f>'Ind T1'!D12</f>
        <v>1269.4550000211912</v>
      </c>
      <c r="E35" s="30">
        <f>'Ind T1'!E12</f>
        <v>1284.8049999793927</v>
      </c>
      <c r="F35" s="30">
        <f>'Ind T1'!F12</f>
        <v>1302.7870000156399</v>
      </c>
      <c r="H35" s="30">
        <f t="shared" si="0"/>
        <v>48.980000002334691</v>
      </c>
      <c r="I35" s="30">
        <f t="shared" si="1"/>
        <v>37.221000032258644</v>
      </c>
      <c r="J35" s="30">
        <f t="shared" si="2"/>
        <v>15.349999958201579</v>
      </c>
      <c r="K35" s="30">
        <f t="shared" si="3"/>
        <v>17.9820000362472</v>
      </c>
      <c r="L35" s="30">
        <f t="shared" si="4"/>
        <v>33.331999994448779</v>
      </c>
    </row>
    <row r="36" spans="1:12" x14ac:dyDescent="0.2">
      <c r="A36" s="10" t="str">
        <f>'Ind T2'!A22</f>
        <v>Public admin. and defence</v>
      </c>
      <c r="B36" s="31">
        <f>'Ind T2'!B22</f>
        <v>217.89999999797885</v>
      </c>
      <c r="C36" s="31">
        <f>'Ind T2'!C22</f>
        <v>240.23199999824902</v>
      </c>
      <c r="D36" s="31">
        <f>'Ind T2'!D22</f>
        <v>255.05000000187471</v>
      </c>
      <c r="E36" s="31">
        <f>'Ind T2'!E22</f>
        <v>259.68400000200432</v>
      </c>
      <c r="F36" s="31">
        <f>'Ind T2'!F22</f>
        <v>258.16400000249814</v>
      </c>
      <c r="H36" s="11">
        <f t="shared" si="0"/>
        <v>22.33200000027017</v>
      </c>
      <c r="I36" s="30">
        <f t="shared" si="1"/>
        <v>14.818000003625684</v>
      </c>
      <c r="J36" s="11">
        <f t="shared" si="2"/>
        <v>4.6340000001296175</v>
      </c>
      <c r="K36" s="11">
        <f t="shared" si="3"/>
        <v>-1.519999999506183</v>
      </c>
      <c r="L36" s="30">
        <f t="shared" si="4"/>
        <v>3.1140000006234345</v>
      </c>
    </row>
    <row r="37" spans="1:12" x14ac:dyDescent="0.2">
      <c r="A37" s="10" t="str">
        <f>'Ind T2'!A23</f>
        <v>Education</v>
      </c>
      <c r="B37" s="31">
        <f>'Ind T2'!B23</f>
        <v>424.52899999628681</v>
      </c>
      <c r="C37" s="31">
        <f>'Ind T2'!C23</f>
        <v>401.33599999756444</v>
      </c>
      <c r="D37" s="31">
        <f>'Ind T2'!D23</f>
        <v>428.92800001602853</v>
      </c>
      <c r="E37" s="31">
        <f>'Ind T2'!E23</f>
        <v>416.31699997814604</v>
      </c>
      <c r="F37" s="31">
        <f>'Ind T2'!F23</f>
        <v>426.25200001051866</v>
      </c>
      <c r="H37" s="11">
        <f t="shared" si="0"/>
        <v>-23.192999998722371</v>
      </c>
      <c r="I37" s="30">
        <f t="shared" si="1"/>
        <v>27.592000018464091</v>
      </c>
      <c r="J37" s="11">
        <f t="shared" si="2"/>
        <v>-12.611000037882491</v>
      </c>
      <c r="K37" s="11">
        <f t="shared" si="3"/>
        <v>9.9350000323726135</v>
      </c>
      <c r="L37" s="30">
        <f t="shared" si="4"/>
        <v>-2.6760000055098772</v>
      </c>
    </row>
    <row r="38" spans="1:12" x14ac:dyDescent="0.2">
      <c r="A38" s="10" t="str">
        <f>'Ind T2'!A24</f>
        <v>Health and social work</v>
      </c>
      <c r="B38" s="31">
        <f>'Ind T2'!B24</f>
        <v>540.82499999233198</v>
      </c>
      <c r="C38" s="31">
        <f>'Ind T2'!C24</f>
        <v>590.66599999311893</v>
      </c>
      <c r="D38" s="31">
        <f>'Ind T2'!D24</f>
        <v>585.47700000328791</v>
      </c>
      <c r="E38" s="31">
        <f>'Ind T2'!E24</f>
        <v>608.80399999924236</v>
      </c>
      <c r="F38" s="31">
        <f>'Ind T2'!F24</f>
        <v>618.37100000262308</v>
      </c>
      <c r="H38" s="11">
        <f t="shared" si="0"/>
        <v>49.841000000786948</v>
      </c>
      <c r="I38" s="30">
        <f t="shared" si="1"/>
        <v>-5.188999989831018</v>
      </c>
      <c r="J38" s="11">
        <f t="shared" si="2"/>
        <v>23.326999995954452</v>
      </c>
      <c r="K38" s="11">
        <f t="shared" si="3"/>
        <v>9.5670000033807128</v>
      </c>
      <c r="L38" s="30">
        <f t="shared" si="4"/>
        <v>32.893999999335165</v>
      </c>
    </row>
    <row r="39" spans="1:12" x14ac:dyDescent="0.2">
      <c r="B39" s="31"/>
      <c r="C39" s="31"/>
      <c r="D39" s="31"/>
      <c r="E39" s="31"/>
      <c r="F39" s="31"/>
      <c r="H39" s="11"/>
      <c r="I39" s="11"/>
      <c r="J39" s="11"/>
      <c r="K39" s="11"/>
      <c r="L39" s="30"/>
    </row>
    <row r="40" spans="1:12" x14ac:dyDescent="0.2">
      <c r="A40" s="38" t="str">
        <f>'Ind T1'!A14</f>
        <v>All industries</v>
      </c>
      <c r="B40" s="32">
        <f>'Ind T1'!B14</f>
        <v>5573.5560000041032</v>
      </c>
      <c r="C40" s="32">
        <f>'Ind T1'!C14</f>
        <v>5970.1169999982612</v>
      </c>
      <c r="D40" s="32">
        <f>'Ind T1'!D14</f>
        <v>5937.3810000053309</v>
      </c>
      <c r="E40" s="32">
        <f>'Ind T1'!E14</f>
        <v>6179.2980000107018</v>
      </c>
      <c r="F40" s="32">
        <f>'Ind T1'!F14</f>
        <v>6480.7350000074603</v>
      </c>
      <c r="G40" s="23"/>
      <c r="H40" s="33">
        <f t="shared" si="0"/>
        <v>396.56099999415801</v>
      </c>
      <c r="I40" s="33">
        <f>D40-C40</f>
        <v>-32.735999992930374</v>
      </c>
      <c r="J40" s="33">
        <f>E40-D40</f>
        <v>241.91700000537094</v>
      </c>
      <c r="K40" s="33">
        <f>F40-E40</f>
        <v>301.43699999675846</v>
      </c>
      <c r="L40" s="205">
        <f t="shared" si="4"/>
        <v>543.3540000021294</v>
      </c>
    </row>
    <row r="44" spans="1:12" ht="15.75" x14ac:dyDescent="0.25">
      <c r="A44" s="18" t="str">
        <f>CONCATENATE(A1," (Continued)")</f>
        <v>Industry Table 4  Employment by Industry Group in Sector (SIC 2007), 2015-2035, London (Continued)</v>
      </c>
    </row>
    <row r="46" spans="1:12" x14ac:dyDescent="0.2">
      <c r="L46" s="15" t="s">
        <v>20</v>
      </c>
    </row>
    <row r="47" spans="1:12" x14ac:dyDescent="0.2">
      <c r="A47" s="35"/>
      <c r="B47" s="27" t="s">
        <v>14</v>
      </c>
      <c r="C47" s="27"/>
      <c r="D47" s="27"/>
      <c r="E47" s="27"/>
      <c r="F47" s="27"/>
      <c r="G47" s="27"/>
      <c r="H47" s="27" t="s">
        <v>463</v>
      </c>
      <c r="I47" s="27"/>
      <c r="J47" s="27"/>
      <c r="K47" s="27"/>
      <c r="L47" s="27"/>
    </row>
    <row r="48" spans="1:12" x14ac:dyDescent="0.2">
      <c r="A48" s="23"/>
      <c r="B48" s="36" t="str">
        <f>H5</f>
        <v>2015-2019</v>
      </c>
      <c r="C48" s="36" t="str">
        <f>I5</f>
        <v>2019-2020</v>
      </c>
      <c r="D48" s="36" t="str">
        <f>J5</f>
        <v>2020-2025</v>
      </c>
      <c r="E48" s="36" t="str">
        <f>K5</f>
        <v>2025-2035</v>
      </c>
      <c r="F48" s="36" t="str">
        <f>L5</f>
        <v>2020-2035</v>
      </c>
      <c r="G48" s="40"/>
      <c r="H48" s="41">
        <f>B5</f>
        <v>2015</v>
      </c>
      <c r="I48" s="41">
        <f>C5</f>
        <v>2019</v>
      </c>
      <c r="J48" s="41">
        <f>D5</f>
        <v>2020</v>
      </c>
      <c r="K48" s="41">
        <f>E5</f>
        <v>2025</v>
      </c>
      <c r="L48" s="41">
        <f>F5</f>
        <v>2035</v>
      </c>
    </row>
    <row r="50" spans="1:12" s="29" customFormat="1" x14ac:dyDescent="0.2">
      <c r="A50" s="29" t="str">
        <f>A7</f>
        <v>Primary sector and utilities</v>
      </c>
      <c r="B50" s="43">
        <f t="shared" ref="B50:E54" si="17">IF(AND(C$5-B$5 &lt;&gt; 0,B7&lt;&gt;0,C7&lt;&gt;0),(EXP(LN(C7/B7)/(C$5-B$5))-1)*100,0)</f>
        <v>4.9539047846714368</v>
      </c>
      <c r="C50" s="43">
        <f t="shared" si="17"/>
        <v>-15.571876124204964</v>
      </c>
      <c r="D50" s="43">
        <f t="shared" si="17"/>
        <v>0.48436585620510453</v>
      </c>
      <c r="E50" s="43">
        <f t="shared" si="17"/>
        <v>0.69347008588400705</v>
      </c>
      <c r="F50" s="43">
        <f>IF(AND(F$5-D$5 &lt;&gt; 0,D7&lt;&gt;0,F7&lt;&gt;0),(EXP(LN(F7/D7)/(F$5-D$5))-1)*100,0)</f>
        <v>0.62372037197229169</v>
      </c>
      <c r="H50" s="43">
        <f>(B7/B$40)*100</f>
        <v>0.57582627679841503</v>
      </c>
      <c r="I50" s="43">
        <f>(C7/C$40)*100</f>
        <v>0.65228202395584056</v>
      </c>
      <c r="J50" s="43">
        <f>(D7/D$40)*100</f>
        <v>0.55374583507078634</v>
      </c>
      <c r="K50" s="43">
        <f>(E7/E$40)*100</f>
        <v>0.5450780978656935</v>
      </c>
      <c r="L50" s="43">
        <f>(F7/F$40)*100</f>
        <v>0.55691214036165415</v>
      </c>
    </row>
    <row r="51" spans="1:12" x14ac:dyDescent="0.2">
      <c r="A51" t="str">
        <f>A8</f>
        <v>Agriculture</v>
      </c>
      <c r="B51" s="39">
        <f t="shared" si="17"/>
        <v>28.002352254229624</v>
      </c>
      <c r="C51" s="43">
        <f t="shared" si="17"/>
        <v>-77.267735558925025</v>
      </c>
      <c r="D51" s="39">
        <f t="shared" si="17"/>
        <v>0.686170732733693</v>
      </c>
      <c r="E51" s="39">
        <f t="shared" si="17"/>
        <v>0.27664261404198864</v>
      </c>
      <c r="F51" s="43">
        <f t="shared" ref="F51:F83" si="18">IF(AND(F$5-D$5 &lt;&gt; 0,D8&lt;&gt;0,F8&lt;&gt;0),(EXP(LN(F8/D8)/(F$5-D$5))-1)*100,0)</f>
        <v>0.41296657343674603</v>
      </c>
      <c r="H51" s="39">
        <f t="shared" ref="H51:L54" si="19">(B8/B$7)*100</f>
        <v>5.2844768491747702</v>
      </c>
      <c r="I51" s="39">
        <f t="shared" si="19"/>
        <v>11.691746700187595</v>
      </c>
      <c r="J51" s="39">
        <f t="shared" si="19"/>
        <v>3.1480017032917558</v>
      </c>
      <c r="K51" s="39">
        <f t="shared" si="19"/>
        <v>3.1797399204919952</v>
      </c>
      <c r="L51" s="39">
        <f t="shared" si="19"/>
        <v>3.0505375152754826</v>
      </c>
    </row>
    <row r="52" spans="1:12" x14ac:dyDescent="0.2">
      <c r="A52" t="str">
        <f>A9</f>
        <v>Mining and quarrying</v>
      </c>
      <c r="B52" s="39">
        <f t="shared" si="17"/>
        <v>-14.826605286144501</v>
      </c>
      <c r="C52" s="43">
        <f t="shared" si="17"/>
        <v>20.508247883951313</v>
      </c>
      <c r="D52" s="39">
        <f t="shared" si="17"/>
        <v>-4.0693785221815437</v>
      </c>
      <c r="E52" s="39">
        <f t="shared" si="17"/>
        <v>-2.8535471281904701</v>
      </c>
      <c r="F52" s="43">
        <f t="shared" si="18"/>
        <v>-3.2605268559289469</v>
      </c>
      <c r="H52" s="39">
        <f t="shared" si="19"/>
        <v>13.279740761395795</v>
      </c>
      <c r="I52" s="39">
        <f t="shared" si="19"/>
        <v>5.7598479789728732</v>
      </c>
      <c r="J52" s="39">
        <f t="shared" si="19"/>
        <v>8.2213029990464488</v>
      </c>
      <c r="K52" s="39">
        <f t="shared" si="19"/>
        <v>6.5198028621503754</v>
      </c>
      <c r="L52" s="39">
        <f t="shared" si="19"/>
        <v>4.5550260446345439</v>
      </c>
    </row>
    <row r="53" spans="1:12" x14ac:dyDescent="0.2">
      <c r="A53" t="str">
        <f>A10</f>
        <v>Electricity and gas</v>
      </c>
      <c r="B53" s="39">
        <f t="shared" si="17"/>
        <v>10.263683355054521</v>
      </c>
      <c r="C53" s="43">
        <f t="shared" si="17"/>
        <v>-18.35031219172706</v>
      </c>
      <c r="D53" s="39">
        <f t="shared" si="17"/>
        <v>-0.33223325980710205</v>
      </c>
      <c r="E53" s="39">
        <f t="shared" si="17"/>
        <v>0.18747575816739914</v>
      </c>
      <c r="F53" s="43">
        <f t="shared" si="18"/>
        <v>1.393900587611796E-2</v>
      </c>
      <c r="H53" s="39">
        <f t="shared" si="19"/>
        <v>32.071415217552477</v>
      </c>
      <c r="I53" s="39">
        <f t="shared" si="19"/>
        <v>39.070925992273317</v>
      </c>
      <c r="J53" s="39">
        <f t="shared" si="19"/>
        <v>37.785145082015035</v>
      </c>
      <c r="K53" s="39">
        <f t="shared" si="19"/>
        <v>36.274568018856947</v>
      </c>
      <c r="L53" s="39">
        <f t="shared" si="19"/>
        <v>34.492408290359435</v>
      </c>
    </row>
    <row r="54" spans="1:12" x14ac:dyDescent="0.2">
      <c r="A54" t="str">
        <f>A11</f>
        <v>Water and sewerage</v>
      </c>
      <c r="B54" s="39">
        <f t="shared" si="17"/>
        <v>1.6743247666495265</v>
      </c>
      <c r="C54" s="43">
        <f t="shared" si="17"/>
        <v>-1.2639536966195242</v>
      </c>
      <c r="D54" s="39">
        <f t="shared" si="17"/>
        <v>1.7110857877856489</v>
      </c>
      <c r="E54" s="39">
        <f t="shared" si="17"/>
        <v>1.3935883114689185</v>
      </c>
      <c r="F54" s="43">
        <f t="shared" si="18"/>
        <v>1.4993105296175147</v>
      </c>
      <c r="H54" s="39">
        <f t="shared" si="19"/>
        <v>49.364367171876964</v>
      </c>
      <c r="I54" s="39">
        <f t="shared" si="19"/>
        <v>43.477479328566218</v>
      </c>
      <c r="J54" s="39">
        <f t="shared" si="19"/>
        <v>50.84555021564676</v>
      </c>
      <c r="K54" s="39">
        <f t="shared" si="19"/>
        <v>54.025889198500685</v>
      </c>
      <c r="L54" s="39">
        <f t="shared" si="19"/>
        <v>57.902028149730548</v>
      </c>
    </row>
    <row r="55" spans="1:12" x14ac:dyDescent="0.2">
      <c r="B55" s="39"/>
      <c r="C55" s="43"/>
      <c r="D55" s="39"/>
      <c r="E55" s="39"/>
      <c r="F55" s="43"/>
      <c r="H55" s="39"/>
      <c r="I55" s="39"/>
      <c r="J55" s="39"/>
      <c r="K55" s="39"/>
      <c r="L55" s="39"/>
    </row>
    <row r="56" spans="1:12" s="29" customFormat="1" x14ac:dyDescent="0.2">
      <c r="A56" s="29" t="str">
        <f>A13</f>
        <v>Manufacturing</v>
      </c>
      <c r="B56" s="43">
        <f t="shared" ref="B56:E59" si="20">IF(AND(C$5-B$5 &lt;&gt; 0,B13&lt;&gt;0,C13&lt;&gt;0),(EXP(LN(C13/B13)/(C$5-B$5))-1)*100,0)</f>
        <v>2.1994769217887233</v>
      </c>
      <c r="C56" s="43">
        <f t="shared" si="20"/>
        <v>8.1859928550316532</v>
      </c>
      <c r="D56" s="43">
        <f t="shared" si="20"/>
        <v>-0.43340264518128002</v>
      </c>
      <c r="E56" s="43">
        <f t="shared" si="20"/>
        <v>-0.75189623418434604</v>
      </c>
      <c r="F56" s="43">
        <f t="shared" si="18"/>
        <v>-0.64584506543633458</v>
      </c>
      <c r="H56" s="43">
        <f>(B13/B$40)*100</f>
        <v>2.2240738229049128</v>
      </c>
      <c r="I56" s="43">
        <f>(C13/C$40)*100</f>
        <v>2.2651314873879671</v>
      </c>
      <c r="J56" s="43">
        <f>(D13/D$40)*100</f>
        <v>2.4640662271562097</v>
      </c>
      <c r="K56" s="43">
        <f>(E13/E$40)*100</f>
        <v>2.3167356550801035</v>
      </c>
      <c r="L56" s="43">
        <f>(F13/F$40)*100</f>
        <v>2.0483942021827617</v>
      </c>
    </row>
    <row r="57" spans="1:12" x14ac:dyDescent="0.2">
      <c r="A57" t="str">
        <f>A14</f>
        <v>Food drink and tobacco</v>
      </c>
      <c r="B57" s="39">
        <f t="shared" si="20"/>
        <v>10.927849902494691</v>
      </c>
      <c r="C57" s="43">
        <f t="shared" si="20"/>
        <v>3.4446788259527628</v>
      </c>
      <c r="D57" s="39">
        <f t="shared" si="20"/>
        <v>0.29672129203557329</v>
      </c>
      <c r="E57" s="39">
        <f t="shared" si="20"/>
        <v>-0.20096425858392442</v>
      </c>
      <c r="F57" s="43">
        <f t="shared" si="18"/>
        <v>-3.5344079878696366E-2</v>
      </c>
      <c r="H57" s="39">
        <f t="shared" ref="H57:L59" si="21">(B14/B$13)*100</f>
        <v>22.984027105759381</v>
      </c>
      <c r="I57" s="39">
        <f t="shared" si="21"/>
        <v>31.900229977070836</v>
      </c>
      <c r="J57" s="39">
        <f t="shared" si="21"/>
        <v>30.502183853634122</v>
      </c>
      <c r="K57" s="39">
        <f t="shared" si="21"/>
        <v>31.637072325553046</v>
      </c>
      <c r="L57" s="39">
        <f t="shared" si="21"/>
        <v>33.437789545528105</v>
      </c>
    </row>
    <row r="58" spans="1:12" x14ac:dyDescent="0.2">
      <c r="A58" t="str">
        <f>A15</f>
        <v>Engineering</v>
      </c>
      <c r="B58" s="39">
        <f t="shared" si="20"/>
        <v>8.3501331550669846</v>
      </c>
      <c r="C58" s="43">
        <f t="shared" si="20"/>
        <v>2.1132524738179503</v>
      </c>
      <c r="D58" s="39">
        <f t="shared" si="20"/>
        <v>4.7815780346342152</v>
      </c>
      <c r="E58" s="39">
        <f t="shared" si="20"/>
        <v>0.65099206509040553</v>
      </c>
      <c r="F58" s="43">
        <f t="shared" si="18"/>
        <v>2.0094371947205758</v>
      </c>
      <c r="H58" s="39">
        <f t="shared" si="21"/>
        <v>7.8662471764435606</v>
      </c>
      <c r="I58" s="39">
        <f t="shared" si="21"/>
        <v>9.9378101174468245</v>
      </c>
      <c r="J58" s="39">
        <f t="shared" si="21"/>
        <v>9.379976897004676</v>
      </c>
      <c r="K58" s="39">
        <f t="shared" si="21"/>
        <v>12.107601391494795</v>
      </c>
      <c r="L58" s="39">
        <f t="shared" si="21"/>
        <v>13.932098440023918</v>
      </c>
    </row>
    <row r="59" spans="1:12" x14ac:dyDescent="0.2">
      <c r="A59" t="str">
        <f>A16</f>
        <v>Rest of manufacturing</v>
      </c>
      <c r="B59" s="39">
        <f t="shared" si="20"/>
        <v>-2.1274698297235939</v>
      </c>
      <c r="C59" s="43">
        <f t="shared" si="20"/>
        <v>11.824088081981499</v>
      </c>
      <c r="D59" s="39">
        <f t="shared" si="20"/>
        <v>-1.7470219813858434</v>
      </c>
      <c r="E59" s="39">
        <f t="shared" si="20"/>
        <v>-1.4108136277460104</v>
      </c>
      <c r="F59" s="43">
        <f t="shared" si="18"/>
        <v>-1.5230107137572224</v>
      </c>
      <c r="H59" s="39">
        <f t="shared" si="21"/>
        <v>69.14972571779704</v>
      </c>
      <c r="I59" s="39">
        <f t="shared" si="21"/>
        <v>58.161959905482327</v>
      </c>
      <c r="J59" s="39">
        <f t="shared" si="21"/>
        <v>60.117839249361204</v>
      </c>
      <c r="K59" s="39">
        <f t="shared" si="21"/>
        <v>56.255326282952169</v>
      </c>
      <c r="L59" s="39">
        <f t="shared" si="21"/>
        <v>52.630112014447995</v>
      </c>
    </row>
    <row r="60" spans="1:12" x14ac:dyDescent="0.2">
      <c r="B60" s="39"/>
      <c r="C60" s="43"/>
      <c r="D60" s="39"/>
      <c r="E60" s="39"/>
      <c r="F60" s="43"/>
      <c r="H60" s="39"/>
      <c r="I60" s="39"/>
      <c r="J60" s="39"/>
      <c r="K60" s="39"/>
      <c r="L60" s="39"/>
    </row>
    <row r="61" spans="1:12" s="29" customFormat="1" x14ac:dyDescent="0.2">
      <c r="A61" s="29" t="str">
        <f>A18</f>
        <v>Construction</v>
      </c>
      <c r="B61" s="43">
        <f>IF(AND(C$5-B$5 &lt;&gt; 0,B18&lt;&gt;0,C18&lt;&gt;0),(EXP(LN(C18/B18)/(C$5-B$5))-1)*100,0)</f>
        <v>2.5187651590128146</v>
      </c>
      <c r="C61" s="43">
        <f>IF(AND(D$5-C$5 &lt;&gt; 0,C18&lt;&gt;0,D18&lt;&gt;0),(EXP(LN(D18/C18)/(D$5-C$5))-1)*100,0)</f>
        <v>-6.8536039960695572</v>
      </c>
      <c r="D61" s="43">
        <f>IF(AND(E$5-D$5 &lt;&gt; 0,D18&lt;&gt;0,E18&lt;&gt;0),(EXP(LN(E18/D18)/(E$5-D$5))-1)*100,0)</f>
        <v>2.1141796823994641</v>
      </c>
      <c r="E61" s="43">
        <f>IF(AND(F$5-E$5 &lt;&gt; 0,E18&lt;&gt;0,F18&lt;&gt;0),(EXP(LN(F18/E18)/(F$5-E$5))-1)*100,0)</f>
        <v>1.3914868968506466</v>
      </c>
      <c r="F61" s="43">
        <f t="shared" si="18"/>
        <v>1.6318143954479725</v>
      </c>
      <c r="H61" s="43">
        <f>(B18/B$40)*100</f>
        <v>5.1929863089267361</v>
      </c>
      <c r="I61" s="43">
        <f>(C18/C$40)*100</f>
        <v>5.3552551818897172</v>
      </c>
      <c r="J61" s="43">
        <f>(D18/D$40)*100</f>
        <v>5.0157299993125815</v>
      </c>
      <c r="K61" s="43">
        <f>(E18/E$40)*100</f>
        <v>5.3508181670988781</v>
      </c>
      <c r="L61" s="43">
        <f>(F18/F$40)*100</f>
        <v>5.8580083891804255</v>
      </c>
    </row>
    <row r="62" spans="1:12" x14ac:dyDescent="0.2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x14ac:dyDescent="0.2">
      <c r="A63" s="29" t="str">
        <f>A20</f>
        <v>Trade, accomod. and transport</v>
      </c>
      <c r="B63" s="43">
        <f t="shared" ref="B63:E66" si="22">IF(AND(C$5-B$5 &lt;&gt; 0,B20&lt;&gt;0,C20&lt;&gt;0),(EXP(LN(C20/B20)/(C$5-B$5))-1)*100,0)</f>
        <v>1.7526568714018476</v>
      </c>
      <c r="C63" s="43">
        <f t="shared" si="22"/>
        <v>-2.2409727949319946</v>
      </c>
      <c r="D63" s="43">
        <f t="shared" si="22"/>
        <v>0.64840639430554514</v>
      </c>
      <c r="E63" s="43">
        <f t="shared" si="22"/>
        <v>0.53674897496054363</v>
      </c>
      <c r="F63" s="43">
        <f t="shared" si="18"/>
        <v>0.57395434455076444</v>
      </c>
      <c r="H63" s="43">
        <f>(B20/B$40)*100</f>
        <v>23.737933198029189</v>
      </c>
      <c r="I63" s="43">
        <f>(C20/C$40)*100</f>
        <v>23.756117342819454</v>
      </c>
      <c r="J63" s="43">
        <f>(D20/D$40)*100</f>
        <v>23.35179433460997</v>
      </c>
      <c r="K63" s="43">
        <f>(E20/E$40)*100</f>
        <v>23.174509466904322</v>
      </c>
      <c r="L63" s="43">
        <f>(F20/F$40)*100</f>
        <v>23.311692269211413</v>
      </c>
    </row>
    <row r="64" spans="1:12" x14ac:dyDescent="0.2">
      <c r="A64" t="str">
        <f>A21</f>
        <v>Wholesale and retail trade</v>
      </c>
      <c r="B64" s="39">
        <f t="shared" si="22"/>
        <v>-1.0490977839635374</v>
      </c>
      <c r="C64" s="43">
        <f t="shared" si="22"/>
        <v>3.978465854490576E-2</v>
      </c>
      <c r="D64" s="39">
        <f t="shared" si="22"/>
        <v>-0.21217432553115589</v>
      </c>
      <c r="E64" s="39">
        <f t="shared" si="22"/>
        <v>1.2816850828434312E-3</v>
      </c>
      <c r="F64" s="43">
        <f t="shared" si="18"/>
        <v>-6.9921004002171383E-2</v>
      </c>
      <c r="H64" s="39">
        <f t="shared" ref="H64:L66" si="23">(B21/B$20)*100</f>
        <v>50.33426628090357</v>
      </c>
      <c r="I64" s="39">
        <f t="shared" si="23"/>
        <v>45.015258047328018</v>
      </c>
      <c r="J64" s="39">
        <f t="shared" si="23"/>
        <v>46.065482136570047</v>
      </c>
      <c r="K64" s="39">
        <f t="shared" si="23"/>
        <v>44.129489630819251</v>
      </c>
      <c r="L64" s="39">
        <f t="shared" si="23"/>
        <v>41.834655066336857</v>
      </c>
    </row>
    <row r="65" spans="1:12" x14ac:dyDescent="0.2">
      <c r="A65" t="str">
        <f>A22</f>
        <v>Transport and storage</v>
      </c>
      <c r="B65" s="39">
        <f>IF(AND(C$5-B$5 &lt;&gt; 0,B22&lt;&gt;0,C22&lt;&gt;0),(EXP(LN(C22/B22)/(C$5-B$5))-1)*100,0)</f>
        <v>2.8609275470542483</v>
      </c>
      <c r="C65" s="43">
        <f t="shared" si="22"/>
        <v>-0.38654896988457033</v>
      </c>
      <c r="D65" s="39">
        <f t="shared" si="22"/>
        <v>1.5281604314256736</v>
      </c>
      <c r="E65" s="39">
        <f t="shared" si="22"/>
        <v>1.1356546232721421E-2</v>
      </c>
      <c r="F65" s="43">
        <f t="shared" si="18"/>
        <v>0.51442312599598861</v>
      </c>
      <c r="H65" s="39">
        <f t="shared" si="23"/>
        <v>21.676554196401064</v>
      </c>
      <c r="I65" s="39">
        <f t="shared" si="23"/>
        <v>22.636483372386014</v>
      </c>
      <c r="J65" s="39">
        <f t="shared" si="23"/>
        <v>23.065882429242283</v>
      </c>
      <c r="K65" s="39">
        <f t="shared" si="23"/>
        <v>24.091738813986382</v>
      </c>
      <c r="L65" s="39">
        <f t="shared" si="23"/>
        <v>22.861933227356815</v>
      </c>
    </row>
    <row r="66" spans="1:12" x14ac:dyDescent="0.2">
      <c r="A66" t="str">
        <f>A23</f>
        <v>Accommodation and food</v>
      </c>
      <c r="B66" s="39">
        <f t="shared" si="22"/>
        <v>5.5020607076298855</v>
      </c>
      <c r="C66" s="43">
        <f t="shared" si="22"/>
        <v>-6.7125123998745151</v>
      </c>
      <c r="D66" s="39">
        <f t="shared" si="22"/>
        <v>1.2350350591603831</v>
      </c>
      <c r="E66" s="39">
        <f t="shared" si="22"/>
        <v>1.5997863563059767</v>
      </c>
      <c r="F66" s="43">
        <f t="shared" si="18"/>
        <v>1.4780568012429773</v>
      </c>
      <c r="H66" s="39">
        <f t="shared" si="23"/>
        <v>27.989179522695366</v>
      </c>
      <c r="I66" s="39">
        <f t="shared" si="23"/>
        <v>32.348258580285972</v>
      </c>
      <c r="J66" s="39">
        <f t="shared" si="23"/>
        <v>30.868635434187684</v>
      </c>
      <c r="K66" s="39">
        <f t="shared" si="23"/>
        <v>31.778771555194364</v>
      </c>
      <c r="L66" s="39">
        <f t="shared" si="23"/>
        <v>35.303411706306321</v>
      </c>
    </row>
    <row r="67" spans="1:12" x14ac:dyDescent="0.2">
      <c r="B67" s="39"/>
      <c r="C67" s="43"/>
      <c r="D67" s="39"/>
      <c r="E67" s="39"/>
      <c r="F67" s="43"/>
      <c r="H67" s="39"/>
      <c r="I67" s="39"/>
      <c r="J67" s="39"/>
      <c r="K67" s="39"/>
      <c r="L67" s="39"/>
    </row>
    <row r="68" spans="1:12" s="29" customFormat="1" x14ac:dyDescent="0.2">
      <c r="A68" s="29" t="str">
        <f>A25</f>
        <v>Business and other services</v>
      </c>
      <c r="B68" s="43">
        <f t="shared" ref="B68:E71" si="24">IF(AND(C$5-B$5 &lt;&gt; 0,B25&lt;&gt;0,C25&lt;&gt;0),(EXP(LN(C25/B25)/(C$5-B$5))-1)*100,0)</f>
        <v>1.8905782961926798</v>
      </c>
      <c r="C68" s="43">
        <f t="shared" si="24"/>
        <v>-0.75265586401758178</v>
      </c>
      <c r="D68" s="43">
        <f t="shared" si="24"/>
        <v>1.0511651160992619</v>
      </c>
      <c r="E68" s="43">
        <f t="shared" si="24"/>
        <v>0.54065363013866552</v>
      </c>
      <c r="F68" s="43">
        <f t="shared" si="18"/>
        <v>0.71053691243967432</v>
      </c>
      <c r="H68" s="43">
        <f>(B25/B$40)*100</f>
        <v>47.039394597957582</v>
      </c>
      <c r="I68" s="43">
        <f>(C25/C$40)*100</f>
        <v>47.331182956358866</v>
      </c>
      <c r="J68" s="43">
        <f>(D25/D$40)*100</f>
        <v>47.233940351964634</v>
      </c>
      <c r="K68" s="43">
        <f>(E25/E$40)*100</f>
        <v>47.820771874765065</v>
      </c>
      <c r="L68" s="43">
        <f>(F25/F$40)*100</f>
        <v>48.122535484381537</v>
      </c>
    </row>
    <row r="69" spans="1:12" x14ac:dyDescent="0.2">
      <c r="A69" t="str">
        <f>A26</f>
        <v>Media</v>
      </c>
      <c r="B69" s="39">
        <f t="shared" si="24"/>
        <v>-0.28443397401584081</v>
      </c>
      <c r="C69" s="43">
        <f t="shared" si="24"/>
        <v>5.8026169261764293</v>
      </c>
      <c r="D69" s="39">
        <f t="shared" si="24"/>
        <v>0.94086711347607377</v>
      </c>
      <c r="E69" s="39">
        <f t="shared" si="24"/>
        <v>0.22487358911247313</v>
      </c>
      <c r="F69" s="43">
        <f t="shared" si="18"/>
        <v>0.46297201269123178</v>
      </c>
      <c r="H69" s="39">
        <f t="shared" ref="H69:L71" si="25">(B26/B$25)*100</f>
        <v>6.4777304772200104</v>
      </c>
      <c r="I69" s="39">
        <f t="shared" si="25"/>
        <v>5.942081453740979</v>
      </c>
      <c r="J69" s="39">
        <f t="shared" si="25"/>
        <v>6.3345550781984281</v>
      </c>
      <c r="K69" s="39">
        <f t="shared" si="25"/>
        <v>6.3000594249776842</v>
      </c>
      <c r="L69" s="39">
        <f t="shared" si="25"/>
        <v>6.1049593195398693</v>
      </c>
    </row>
    <row r="70" spans="1:12" x14ac:dyDescent="0.2">
      <c r="A70" t="str">
        <f>A27</f>
        <v>Information technology</v>
      </c>
      <c r="B70" s="39">
        <f t="shared" si="24"/>
        <v>4.7953565068286075</v>
      </c>
      <c r="C70" s="43">
        <f t="shared" si="24"/>
        <v>5.2855239823363931</v>
      </c>
      <c r="D70" s="39">
        <f t="shared" si="24"/>
        <v>1.6012689050890483</v>
      </c>
      <c r="E70" s="39">
        <f t="shared" si="24"/>
        <v>0.88036509513711447</v>
      </c>
      <c r="F70" s="43">
        <f t="shared" si="18"/>
        <v>1.1200962191241892</v>
      </c>
      <c r="H70" s="39">
        <f t="shared" si="25"/>
        <v>9.994709674716292</v>
      </c>
      <c r="I70" s="39">
        <f t="shared" si="25"/>
        <v>11.184130667895316</v>
      </c>
      <c r="J70" s="39">
        <f t="shared" si="25"/>
        <v>11.864569958092817</v>
      </c>
      <c r="K70" s="39">
        <f t="shared" si="25"/>
        <v>12.191047814762952</v>
      </c>
      <c r="L70" s="39">
        <f t="shared" si="25"/>
        <v>12.609284527463238</v>
      </c>
    </row>
    <row r="71" spans="1:12" x14ac:dyDescent="0.2">
      <c r="A71" t="str">
        <f>A28</f>
        <v>Finance and insurance</v>
      </c>
      <c r="B71" s="39">
        <f t="shared" si="24"/>
        <v>2.3800643517531084</v>
      </c>
      <c r="C71" s="43">
        <f t="shared" si="24"/>
        <v>-1.2375717069513348</v>
      </c>
      <c r="D71" s="39">
        <f t="shared" si="24"/>
        <v>0.31879480832259777</v>
      </c>
      <c r="E71" s="39">
        <f t="shared" si="24"/>
        <v>0.11056908469313509</v>
      </c>
      <c r="F71" s="43">
        <f t="shared" si="18"/>
        <v>0.17992959247232765</v>
      </c>
      <c r="H71" s="39">
        <f t="shared" si="25"/>
        <v>14.197447751747783</v>
      </c>
      <c r="I71" s="39">
        <f t="shared" si="25"/>
        <v>14.472240241101231</v>
      </c>
      <c r="J71" s="39">
        <f t="shared" si="25"/>
        <v>14.401529849435354</v>
      </c>
      <c r="K71" s="39">
        <f t="shared" si="25"/>
        <v>13.88716299363362</v>
      </c>
      <c r="L71" s="39">
        <f t="shared" si="25"/>
        <v>13.304415245665609</v>
      </c>
    </row>
    <row r="72" spans="1:12" x14ac:dyDescent="0.2">
      <c r="A72" t="str">
        <f t="shared" ref="A72:A76" si="26">A29</f>
        <v>Real estate</v>
      </c>
      <c r="B72" s="39">
        <f t="shared" ref="B72:E72" si="27">IF(AND(C$5-B$5 &lt;&gt; 0,B29&lt;&gt;0,C29&lt;&gt;0),(EXP(LN(C29/B29)/(C$5-B$5))-1)*100,0)</f>
        <v>-1.0670164554614781</v>
      </c>
      <c r="C72" s="43">
        <f t="shared" si="27"/>
        <v>23.04236691534549</v>
      </c>
      <c r="D72" s="39">
        <f t="shared" si="27"/>
        <v>-1.0105340121078332</v>
      </c>
      <c r="E72" s="39">
        <f t="shared" si="27"/>
        <v>0.5118167682205188</v>
      </c>
      <c r="F72" s="43">
        <f t="shared" si="18"/>
        <v>1.7827854648544417E-3</v>
      </c>
      <c r="H72" s="39">
        <f t="shared" ref="H72:L72" si="28">(B29/B$25)*100</f>
        <v>5.2024836684677078</v>
      </c>
      <c r="I72" s="39">
        <f t="shared" si="28"/>
        <v>4.6242259071824741</v>
      </c>
      <c r="J72" s="39">
        <f t="shared" si="28"/>
        <v>5.7329060613593645</v>
      </c>
      <c r="K72" s="39">
        <f t="shared" si="28"/>
        <v>5.171459241081811</v>
      </c>
      <c r="L72" s="39">
        <f t="shared" si="28"/>
        <v>5.1566456984659004</v>
      </c>
    </row>
    <row r="73" spans="1:12" x14ac:dyDescent="0.2">
      <c r="A73" t="str">
        <f t="shared" si="26"/>
        <v>Professional services</v>
      </c>
      <c r="B73" s="39">
        <f t="shared" ref="B73:E73" si="29">IF(AND(C$5-B$5 &lt;&gt; 0,B30&lt;&gt;0,C30&lt;&gt;0),(EXP(LN(C30/B30)/(C$5-B$5))-1)*100,0)</f>
        <v>2.2924505435726328</v>
      </c>
      <c r="C73" s="43">
        <f t="shared" si="29"/>
        <v>-6.2827136805297945</v>
      </c>
      <c r="D73" s="39">
        <f t="shared" si="29"/>
        <v>1.1436692796614967</v>
      </c>
      <c r="E73" s="39">
        <f t="shared" si="29"/>
        <v>0.57309323660588163</v>
      </c>
      <c r="F73" s="43">
        <f t="shared" si="18"/>
        <v>0.76292671150786084</v>
      </c>
      <c r="H73" s="39">
        <f t="shared" ref="H73:L73" si="30">(B30/B$25)*100</f>
        <v>28.91824483222376</v>
      </c>
      <c r="I73" s="39">
        <f t="shared" si="30"/>
        <v>29.377183287403568</v>
      </c>
      <c r="J73" s="39">
        <f t="shared" si="30"/>
        <v>27.740287877456588</v>
      </c>
      <c r="K73" s="39">
        <f t="shared" si="30"/>
        <v>27.867490494376469</v>
      </c>
      <c r="L73" s="39">
        <f t="shared" si="30"/>
        <v>27.957536071378996</v>
      </c>
    </row>
    <row r="74" spans="1:12" x14ac:dyDescent="0.2">
      <c r="A74" t="str">
        <f t="shared" si="26"/>
        <v>Support services</v>
      </c>
      <c r="B74" s="39">
        <f t="shared" ref="B74:E74" si="31">IF(AND(C$5-B$5 &lt;&gt; 0,B31&lt;&gt;0,C31&lt;&gt;0),(EXP(LN(C31/B31)/(C$5-B$5))-1)*100,0)</f>
        <v>1.7071776496666802</v>
      </c>
      <c r="C74" s="43">
        <f t="shared" si="31"/>
        <v>-4.4554358132883332</v>
      </c>
      <c r="D74" s="39">
        <f t="shared" si="31"/>
        <v>0.96275838566755034</v>
      </c>
      <c r="E74" s="39">
        <f t="shared" si="31"/>
        <v>0.50172461490036735</v>
      </c>
      <c r="F74" s="43">
        <f t="shared" si="18"/>
        <v>0.65516814549995139</v>
      </c>
      <c r="H74" s="39">
        <f>(B31/B$25)*100</f>
        <v>21.756967724844962</v>
      </c>
      <c r="I74" s="39">
        <f t="shared" ref="I74:L74" si="32">(C31/C$25)*100</f>
        <v>21.60074203947336</v>
      </c>
      <c r="J74" s="39">
        <f t="shared" si="32"/>
        <v>20.79484848927876</v>
      </c>
      <c r="K74" s="39">
        <f t="shared" si="32"/>
        <v>20.70404346777838</v>
      </c>
      <c r="L74" s="39">
        <f t="shared" si="32"/>
        <v>20.624017617352823</v>
      </c>
    </row>
    <row r="75" spans="1:12" x14ac:dyDescent="0.2">
      <c r="A75" t="str">
        <f t="shared" si="26"/>
        <v>Arts and entertainment</v>
      </c>
      <c r="B75" s="39">
        <f t="shared" ref="B75:E75" si="33">IF(AND(C$5-B$5 &lt;&gt; 0,B32&lt;&gt;0,C32&lt;&gt;0),(EXP(LN(C32/B32)/(C$5-B$5))-1)*100,0)</f>
        <v>-0.89369784715411793</v>
      </c>
      <c r="C75" s="43">
        <f t="shared" si="33"/>
        <v>7.2653359855578081</v>
      </c>
      <c r="D75" s="39">
        <f t="shared" si="33"/>
        <v>2.0404146666975764</v>
      </c>
      <c r="E75" s="39">
        <f t="shared" si="33"/>
        <v>0.96131992510062325</v>
      </c>
      <c r="F75" s="43">
        <f t="shared" si="18"/>
        <v>1.3197442190671982</v>
      </c>
      <c r="H75" s="39">
        <f t="shared" ref="H75:L75" si="34">(B32/B$25)*100</f>
        <v>7.6735270526476702</v>
      </c>
      <c r="I75" s="39">
        <f t="shared" si="34"/>
        <v>6.8685333013907748</v>
      </c>
      <c r="J75" s="39">
        <f t="shared" si="34"/>
        <v>7.4234281906044588</v>
      </c>
      <c r="K75" s="39">
        <f t="shared" si="34"/>
        <v>7.7939741210642541</v>
      </c>
      <c r="L75" s="39">
        <f t="shared" si="34"/>
        <v>8.1262861954618799</v>
      </c>
    </row>
    <row r="76" spans="1:12" x14ac:dyDescent="0.2">
      <c r="A76" t="str">
        <f t="shared" si="26"/>
        <v>Other services</v>
      </c>
      <c r="B76" s="39">
        <f t="shared" ref="B76:E76" si="35">IF(AND(C$5-B$5 &lt;&gt; 0,B33&lt;&gt;0,C33&lt;&gt;0),(EXP(LN(C33/B33)/(C$5-B$5))-1)*100,0)</f>
        <v>2.5539558695406139</v>
      </c>
      <c r="C76" s="43">
        <f t="shared" si="35"/>
        <v>-4.4841577654780256</v>
      </c>
      <c r="D76" s="39">
        <f t="shared" si="35"/>
        <v>2.3517252822014667</v>
      </c>
      <c r="E76" s="39">
        <f t="shared" si="35"/>
        <v>0.59355637957310137</v>
      </c>
      <c r="F76" s="43">
        <f t="shared" si="18"/>
        <v>1.1762310985454993</v>
      </c>
      <c r="H76" s="39">
        <f t="shared" ref="H76:L76" si="36">(B33/B$25)*100</f>
        <v>5.7788888181318141</v>
      </c>
      <c r="I76" s="39">
        <f t="shared" si="36"/>
        <v>5.9308631018123483</v>
      </c>
      <c r="J76" s="39">
        <f t="shared" si="36"/>
        <v>5.7078744955742629</v>
      </c>
      <c r="K76" s="39">
        <f t="shared" si="36"/>
        <v>6.0847624423248359</v>
      </c>
      <c r="L76" s="39">
        <f t="shared" si="36"/>
        <v>6.1168553246716799</v>
      </c>
    </row>
    <row r="77" spans="1:12" x14ac:dyDescent="0.2">
      <c r="B77" s="39"/>
      <c r="C77" s="43"/>
      <c r="D77" s="39"/>
      <c r="E77" s="39"/>
      <c r="F77" s="43"/>
      <c r="H77" s="39"/>
      <c r="I77" s="39"/>
      <c r="J77" s="39"/>
      <c r="K77" s="39"/>
      <c r="L77" s="39"/>
    </row>
    <row r="78" spans="1:12" s="29" customFormat="1" x14ac:dyDescent="0.2">
      <c r="A78" s="29" t="str">
        <f>A35</f>
        <v>Non-marketed services</v>
      </c>
      <c r="B78" s="43">
        <f t="shared" ref="B78:E79" si="37">IF(AND(C$5-B$5 &lt;&gt; 0,B35&lt;&gt;0,C35&lt;&gt;0),(EXP(LN(C35/B35)/(C$5-B$5))-1)*100,0)</f>
        <v>1.0191713266839875</v>
      </c>
      <c r="C78" s="43">
        <f t="shared" ref="C78:C83" si="38">IF(AND(D$5-C$5 &lt;&gt; 0,C35&lt;&gt;0,D35&lt;&gt;0),(EXP(LN(D35/C35)/(D$5-C$5))-1)*100,0)</f>
        <v>3.0206113475681473</v>
      </c>
      <c r="D78" s="43">
        <f t="shared" si="37"/>
        <v>0.24067478426634814</v>
      </c>
      <c r="E78" s="43">
        <f t="shared" si="37"/>
        <v>0.13908523423289409</v>
      </c>
      <c r="F78" s="43">
        <f t="shared" si="18"/>
        <v>0.17293697280205134</v>
      </c>
      <c r="H78" s="43">
        <f>(B35/B$40)*100</f>
        <v>21.229785795383176</v>
      </c>
      <c r="I78" s="43">
        <f>(C35/C$40)*100</f>
        <v>20.640031007588149</v>
      </c>
      <c r="J78" s="43">
        <f>(D35/D$40)*100</f>
        <v>21.380723251885829</v>
      </c>
      <c r="K78" s="43">
        <f>(E35/E$40)*100</f>
        <v>20.792086738285928</v>
      </c>
      <c r="L78" s="43">
        <f>(F35/F$40)*100</f>
        <v>20.102457514682211</v>
      </c>
    </row>
    <row r="79" spans="1:12" x14ac:dyDescent="0.2">
      <c r="A79" t="str">
        <f>A36</f>
        <v>Public admin. and defence</v>
      </c>
      <c r="B79" s="39">
        <f t="shared" si="37"/>
        <v>2.4692144127751225</v>
      </c>
      <c r="C79" s="43">
        <f t="shared" si="38"/>
        <v>6.1682040709537755</v>
      </c>
      <c r="D79" s="39">
        <f t="shared" si="37"/>
        <v>0.3607672611957824</v>
      </c>
      <c r="E79" s="39">
        <f t="shared" si="37"/>
        <v>-5.8687425475012489E-2</v>
      </c>
      <c r="F79" s="43">
        <f t="shared" si="18"/>
        <v>8.0935652064972885E-2</v>
      </c>
      <c r="H79" s="39">
        <f>(B36/B$35)*100</f>
        <v>18.415319111572572</v>
      </c>
      <c r="I79" s="39">
        <f t="shared" ref="I79:L81" si="39">(C36/C$35)*100</f>
        <v>19.495647742263785</v>
      </c>
      <c r="J79" s="39">
        <f t="shared" si="39"/>
        <v>20.091299021833553</v>
      </c>
      <c r="K79" s="39">
        <f t="shared" si="39"/>
        <v>20.211938777181711</v>
      </c>
      <c r="L79" s="39">
        <f t="shared" si="39"/>
        <v>19.816286161851391</v>
      </c>
    </row>
    <row r="80" spans="1:12" x14ac:dyDescent="0.2">
      <c r="A80" t="str">
        <f>A37</f>
        <v>Education</v>
      </c>
      <c r="B80" s="39">
        <f t="shared" ref="B80:E81" si="40">IF(AND(C$5-B$5 &lt;&gt; 0,B37&lt;&gt;0,C37&lt;&gt;0),(EXP(LN(C37/B37)/(C$5-B$5))-1)*100,0)</f>
        <v>-1.3947158811087101</v>
      </c>
      <c r="C80" s="43">
        <f t="shared" si="38"/>
        <v>6.8750373798093234</v>
      </c>
      <c r="D80" s="39">
        <f t="shared" si="40"/>
        <v>-0.5950641075144758</v>
      </c>
      <c r="E80" s="39">
        <f t="shared" si="40"/>
        <v>0.2361156293736677</v>
      </c>
      <c r="F80" s="43">
        <f t="shared" si="18"/>
        <v>-4.1713644230245706E-2</v>
      </c>
      <c r="H80" s="39">
        <f>(B37/B$35)*100</f>
        <v>35.878095489311278</v>
      </c>
      <c r="I80" s="39">
        <f t="shared" si="39"/>
        <v>32.569787881292768</v>
      </c>
      <c r="J80" s="39">
        <f t="shared" si="39"/>
        <v>33.78835799684655</v>
      </c>
      <c r="K80" s="39">
        <f t="shared" si="39"/>
        <v>32.403127321642074</v>
      </c>
      <c r="L80" s="39">
        <f t="shared" si="39"/>
        <v>32.718472014642572</v>
      </c>
    </row>
    <row r="81" spans="1:12" x14ac:dyDescent="0.2">
      <c r="A81" t="str">
        <f>A38</f>
        <v>Health and social work</v>
      </c>
      <c r="B81" s="39">
        <f>IF(AND(C$5-B$5 &lt;&gt; 0,B38&lt;&gt;0,C38&lt;&gt;0),(EXP(LN(C38/B38)/(C$5-B$5))-1)*100,0)</f>
        <v>2.2283387564815405</v>
      </c>
      <c r="C81" s="43">
        <f t="shared" si="38"/>
        <v>-0.87849986115527967</v>
      </c>
      <c r="D81" s="39">
        <f t="shared" si="40"/>
        <v>0.78445035959247011</v>
      </c>
      <c r="E81" s="39">
        <f t="shared" si="40"/>
        <v>0.15604386330547726</v>
      </c>
      <c r="F81" s="43">
        <f t="shared" si="18"/>
        <v>0.36507612778460263</v>
      </c>
      <c r="H81" s="39">
        <f>(B38/B$35)*100</f>
        <v>45.706585399116136</v>
      </c>
      <c r="I81" s="39">
        <f t="shared" si="39"/>
        <v>47.934564376443447</v>
      </c>
      <c r="J81" s="39">
        <f t="shared" si="39"/>
        <v>46.120342981319894</v>
      </c>
      <c r="K81" s="39">
        <f t="shared" si="39"/>
        <v>47.384933901176218</v>
      </c>
      <c r="L81" s="39">
        <f t="shared" si="39"/>
        <v>47.465241823506034</v>
      </c>
    </row>
    <row r="82" spans="1:12" x14ac:dyDescent="0.2">
      <c r="B82" s="39"/>
      <c r="C82" s="43"/>
      <c r="D82" s="39"/>
      <c r="E82" s="39"/>
      <c r="F82" s="43"/>
      <c r="H82" s="39"/>
      <c r="I82" s="39"/>
      <c r="J82" s="39"/>
      <c r="K82" s="39"/>
      <c r="L82" s="39"/>
    </row>
    <row r="83" spans="1:12" x14ac:dyDescent="0.2">
      <c r="A83" s="23" t="str">
        <f>A40</f>
        <v>All industries</v>
      </c>
      <c r="B83" s="42">
        <f>IF(AND(C$5-B$5 &lt;&gt; 0,B40&lt;&gt;0,C40&lt;&gt;0),(EXP(LN(C40/B40)/(C$5-B$5))-1)*100,0)</f>
        <v>1.733179610351665</v>
      </c>
      <c r="C83" s="206">
        <f t="shared" si="38"/>
        <v>-0.54833096223976252</v>
      </c>
      <c r="D83" s="42">
        <f>IF(AND(E$5-D$5 &lt;&gt; 0,D40&lt;&gt;0,E40&lt;&gt;0),(EXP(LN(E40/D40)/(E$5-D$5))-1)*100,0)</f>
        <v>0.80192927975628603</v>
      </c>
      <c r="E83" s="42">
        <f>IF(AND(F$5-E$5 &lt;&gt; 0,E40&lt;&gt;0,F40&lt;&gt;0),(EXP(LN(F40/E40)/(F$5-E$5))-1)*100,0)</f>
        <v>0.47742864675834884</v>
      </c>
      <c r="F83" s="206">
        <f t="shared" si="18"/>
        <v>0.58547928810912531</v>
      </c>
      <c r="G83" s="23"/>
      <c r="H83" s="42">
        <f>(B40/B$40)*100</f>
        <v>100</v>
      </c>
      <c r="I83" s="42">
        <f>(C40/C$40)*100</f>
        <v>100</v>
      </c>
      <c r="J83" s="42">
        <f>(D40/D$40)*100</f>
        <v>100</v>
      </c>
      <c r="K83" s="42">
        <f>(E40/E$40)*100</f>
        <v>100</v>
      </c>
      <c r="L83" s="42">
        <f>(F40/F$40)*100</f>
        <v>100</v>
      </c>
    </row>
    <row r="86" spans="1:12" x14ac:dyDescent="0.2">
      <c r="A86" s="35"/>
      <c r="B86" s="27" t="s">
        <v>14</v>
      </c>
      <c r="C86" s="27"/>
    </row>
    <row r="87" spans="1:12" x14ac:dyDescent="0.2">
      <c r="A87" s="23"/>
      <c r="B87" s="36" t="str">
        <f>B5&amp;"-"&amp;D5</f>
        <v>2015-2020</v>
      </c>
      <c r="C87" s="36" t="str">
        <f>F48</f>
        <v>2020-2035</v>
      </c>
    </row>
    <row r="89" spans="1:12" x14ac:dyDescent="0.2">
      <c r="A89" s="29" t="str">
        <f>A7</f>
        <v>Primary sector and utilities</v>
      </c>
      <c r="B89" s="43">
        <f>IF(AND(D$5-B$5 &lt;&gt; 0,B7&lt;&gt;0,D7&lt;&gt;0),(EXP(LN(D7/B7)/(D$5-B$5))-1)*100,0)</f>
        <v>0.48385972480005091</v>
      </c>
      <c r="C89" s="43">
        <f>IF(AND(F$5-D$5 &lt;&gt; 0,D7&lt;&gt;0,F7&lt;&gt;0),(EXP(LN(F7/D7)/(F$5-D$5))-1)*100,0)</f>
        <v>0.62372037197229169</v>
      </c>
    </row>
    <row r="90" spans="1:12" x14ac:dyDescent="0.2">
      <c r="A90" s="29" t="str">
        <f t="shared" ref="A90:A122" si="41">A8</f>
        <v>Agriculture</v>
      </c>
      <c r="B90" s="43">
        <f t="shared" ref="B90:B122" si="42">IF(AND(D$5-B$5 &lt;&gt; 0,B8&lt;&gt;0,D8&lt;&gt;0),(EXP(LN(D8/B8)/(D$5-B$5))-1)*100,0)</f>
        <v>-9.4052772227722681</v>
      </c>
      <c r="C90" s="43">
        <f t="shared" ref="C90:C122" si="43">IF(AND(F$5-D$5 &lt;&gt; 0,D8&lt;&gt;0,F8&lt;&gt;0),(EXP(LN(F8/D8)/(F$5-D$5))-1)*100,0)</f>
        <v>0.41296657343674603</v>
      </c>
    </row>
    <row r="91" spans="1:12" x14ac:dyDescent="0.2">
      <c r="A91" s="29" t="str">
        <f t="shared" si="41"/>
        <v>Mining and quarrying</v>
      </c>
      <c r="B91" s="43">
        <f t="shared" si="42"/>
        <v>-8.7050994087933269</v>
      </c>
      <c r="C91" s="43">
        <f t="shared" si="43"/>
        <v>-3.2605268559289469</v>
      </c>
    </row>
    <row r="92" spans="1:12" x14ac:dyDescent="0.2">
      <c r="A92" s="29" t="str">
        <f t="shared" si="41"/>
        <v>Electricity and gas</v>
      </c>
      <c r="B92" s="43">
        <f t="shared" si="42"/>
        <v>3.8333587275375836</v>
      </c>
      <c r="C92" s="43">
        <f t="shared" si="43"/>
        <v>1.393900587611796E-2</v>
      </c>
    </row>
    <row r="93" spans="1:12" x14ac:dyDescent="0.2">
      <c r="A93" s="29" t="str">
        <f t="shared" si="41"/>
        <v>Water and sewerage</v>
      </c>
      <c r="B93" s="43">
        <f t="shared" si="42"/>
        <v>1.0797558040424038</v>
      </c>
      <c r="C93" s="43">
        <f t="shared" si="43"/>
        <v>1.4993105296175147</v>
      </c>
    </row>
    <row r="94" spans="1:12" x14ac:dyDescent="0.2">
      <c r="A94" s="29"/>
      <c r="B94" s="43"/>
      <c r="C94" s="43"/>
    </row>
    <row r="95" spans="1:12" x14ac:dyDescent="0.2">
      <c r="A95" s="29" t="str">
        <f t="shared" si="41"/>
        <v>Manufacturing</v>
      </c>
      <c r="B95" s="43">
        <f t="shared" si="42"/>
        <v>3.3696737105162633</v>
      </c>
      <c r="C95" s="43">
        <f t="shared" si="43"/>
        <v>-0.64584506543633458</v>
      </c>
    </row>
    <row r="96" spans="1:12" x14ac:dyDescent="0.2">
      <c r="A96" s="29" t="str">
        <f t="shared" si="41"/>
        <v>Food drink and tobacco</v>
      </c>
      <c r="B96" s="43">
        <f t="shared" si="42"/>
        <v>9.3891146319594387</v>
      </c>
      <c r="C96" s="43">
        <f t="shared" si="43"/>
        <v>-3.5344079878696366E-2</v>
      </c>
    </row>
    <row r="97" spans="1:3" x14ac:dyDescent="0.2">
      <c r="A97" s="29" t="str">
        <f t="shared" si="41"/>
        <v>Engineering</v>
      </c>
      <c r="B97" s="43">
        <f t="shared" si="42"/>
        <v>7.073002553035912</v>
      </c>
      <c r="C97" s="43">
        <f t="shared" si="43"/>
        <v>2.0094371947205758</v>
      </c>
    </row>
    <row r="98" spans="1:3" x14ac:dyDescent="0.2">
      <c r="A98" s="29" t="str">
        <f t="shared" si="41"/>
        <v>Rest of manufacturing</v>
      </c>
      <c r="B98" s="43">
        <f t="shared" si="42"/>
        <v>0.51612219187953112</v>
      </c>
      <c r="C98" s="43">
        <f t="shared" si="43"/>
        <v>-1.5230107137572224</v>
      </c>
    </row>
    <row r="99" spans="1:3" x14ac:dyDescent="0.2">
      <c r="A99" s="29"/>
      <c r="B99" s="43"/>
      <c r="C99" s="43"/>
    </row>
    <row r="100" spans="1:3" x14ac:dyDescent="0.2">
      <c r="A100" s="29" t="str">
        <f t="shared" si="41"/>
        <v>Construction</v>
      </c>
      <c r="B100" s="43">
        <f t="shared" si="42"/>
        <v>0.57172619733880659</v>
      </c>
      <c r="C100" s="43">
        <f t="shared" si="43"/>
        <v>1.6318143954479725</v>
      </c>
    </row>
    <row r="101" spans="1:3" x14ac:dyDescent="0.2">
      <c r="A101" s="29"/>
      <c r="B101" s="43"/>
      <c r="C101" s="43"/>
    </row>
    <row r="102" spans="1:3" x14ac:dyDescent="0.2">
      <c r="A102" s="29" t="str">
        <f t="shared" si="41"/>
        <v>Trade, accomod. and transport</v>
      </c>
      <c r="B102" s="43">
        <f t="shared" si="42"/>
        <v>0.9410877943524687</v>
      </c>
      <c r="C102" s="43">
        <f t="shared" si="43"/>
        <v>0.57395434455076444</v>
      </c>
    </row>
    <row r="103" spans="1:3" x14ac:dyDescent="0.2">
      <c r="A103" s="29" t="str">
        <f t="shared" si="41"/>
        <v>Wholesale and retail trade</v>
      </c>
      <c r="B103" s="43">
        <f t="shared" si="42"/>
        <v>-0.83227360318059995</v>
      </c>
      <c r="C103" s="43">
        <f t="shared" si="43"/>
        <v>-6.9921004002171383E-2</v>
      </c>
    </row>
    <row r="104" spans="1:3" x14ac:dyDescent="0.2">
      <c r="A104" s="29" t="str">
        <f t="shared" si="41"/>
        <v>Transport and storage</v>
      </c>
      <c r="B104" s="43">
        <f t="shared" si="42"/>
        <v>2.203071128018208</v>
      </c>
      <c r="C104" s="43">
        <f t="shared" si="43"/>
        <v>0.51442312599598861</v>
      </c>
    </row>
    <row r="105" spans="1:3" x14ac:dyDescent="0.2">
      <c r="A105" s="29" t="str">
        <f t="shared" si="41"/>
        <v>Accommodation and food</v>
      </c>
      <c r="B105" s="43">
        <f t="shared" si="42"/>
        <v>2.937456598337973</v>
      </c>
      <c r="C105" s="43">
        <f t="shared" si="43"/>
        <v>1.4780568012429773</v>
      </c>
    </row>
    <row r="106" spans="1:3" x14ac:dyDescent="0.2">
      <c r="A106" s="29"/>
      <c r="B106" s="43"/>
      <c r="C106" s="43"/>
    </row>
    <row r="107" spans="1:3" x14ac:dyDescent="0.2">
      <c r="A107" s="29" t="str">
        <f t="shared" si="41"/>
        <v>Business and other services</v>
      </c>
      <c r="B107" s="43">
        <f t="shared" si="42"/>
        <v>1.3563588585384423</v>
      </c>
      <c r="C107" s="43">
        <f t="shared" si="43"/>
        <v>0.71053691243967432</v>
      </c>
    </row>
    <row r="108" spans="1:3" x14ac:dyDescent="0.2">
      <c r="A108" s="29" t="str">
        <f t="shared" si="41"/>
        <v>Media</v>
      </c>
      <c r="B108" s="43">
        <f t="shared" si="42"/>
        <v>0.90429420728816989</v>
      </c>
      <c r="C108" s="43">
        <f t="shared" si="43"/>
        <v>0.46297201269123178</v>
      </c>
    </row>
    <row r="109" spans="1:3" x14ac:dyDescent="0.2">
      <c r="A109" s="29" t="str">
        <f t="shared" si="41"/>
        <v>Information technology</v>
      </c>
      <c r="B109" s="43">
        <f t="shared" si="42"/>
        <v>4.8932070991159815</v>
      </c>
      <c r="C109" s="43">
        <f t="shared" si="43"/>
        <v>1.1200962191241892</v>
      </c>
    </row>
    <row r="110" spans="1:3" x14ac:dyDescent="0.2">
      <c r="A110" s="29" t="str">
        <f t="shared" si="41"/>
        <v>Finance and insurance</v>
      </c>
      <c r="B110" s="43">
        <f t="shared" si="42"/>
        <v>1.6460883793693037</v>
      </c>
      <c r="C110" s="43">
        <f t="shared" si="43"/>
        <v>0.17992959247232765</v>
      </c>
    </row>
    <row r="111" spans="1:3" x14ac:dyDescent="0.2">
      <c r="A111" s="29" t="str">
        <f t="shared" si="41"/>
        <v>Real estate</v>
      </c>
      <c r="B111" s="43">
        <f t="shared" si="42"/>
        <v>3.3436557441688164</v>
      </c>
      <c r="C111" s="43">
        <f t="shared" si="43"/>
        <v>1.7827854648544417E-3</v>
      </c>
    </row>
    <row r="112" spans="1:3" x14ac:dyDescent="0.2">
      <c r="A112" s="29" t="str">
        <f t="shared" si="41"/>
        <v>Professional services</v>
      </c>
      <c r="B112" s="43">
        <f t="shared" si="42"/>
        <v>0.51683541238407571</v>
      </c>
      <c r="C112" s="43">
        <f t="shared" si="43"/>
        <v>0.76292671150786084</v>
      </c>
    </row>
    <row r="113" spans="1:3" x14ac:dyDescent="0.2">
      <c r="A113" s="29" t="str">
        <f t="shared" si="41"/>
        <v>Support services</v>
      </c>
      <c r="B113" s="43">
        <f t="shared" si="42"/>
        <v>0.44364838701653753</v>
      </c>
      <c r="C113" s="43">
        <f t="shared" si="43"/>
        <v>0.65516814549995139</v>
      </c>
    </row>
    <row r="114" spans="1:3" x14ac:dyDescent="0.2">
      <c r="A114" s="29" t="str">
        <f t="shared" si="41"/>
        <v>Arts and entertainment</v>
      </c>
      <c r="B114" s="43">
        <f t="shared" si="42"/>
        <v>0.68688316048137743</v>
      </c>
      <c r="C114" s="43">
        <f t="shared" si="43"/>
        <v>1.3197442190671982</v>
      </c>
    </row>
    <row r="115" spans="1:3" x14ac:dyDescent="0.2">
      <c r="A115" s="29" t="str">
        <f t="shared" si="41"/>
        <v>Other services</v>
      </c>
      <c r="B115" s="43">
        <f t="shared" si="42"/>
        <v>1.1060202008799536</v>
      </c>
      <c r="C115" s="43">
        <f t="shared" si="43"/>
        <v>1.1762310985454993</v>
      </c>
    </row>
    <row r="116" spans="1:3" x14ac:dyDescent="0.2">
      <c r="A116" s="29"/>
      <c r="B116" s="43"/>
      <c r="C116" s="43"/>
    </row>
    <row r="117" spans="1:3" x14ac:dyDescent="0.2">
      <c r="A117" s="29" t="str">
        <f t="shared" si="41"/>
        <v>Non-marketed services</v>
      </c>
      <c r="B117" s="43">
        <f t="shared" si="42"/>
        <v>1.4163242472674309</v>
      </c>
      <c r="C117" s="43">
        <f t="shared" si="43"/>
        <v>0.17293697280205134</v>
      </c>
    </row>
    <row r="118" spans="1:3" x14ac:dyDescent="0.2">
      <c r="A118" s="29" t="str">
        <f t="shared" si="41"/>
        <v>Public admin. and defence</v>
      </c>
      <c r="B118" s="43">
        <f t="shared" si="42"/>
        <v>3.1985557702367551</v>
      </c>
      <c r="C118" s="43">
        <f t="shared" si="43"/>
        <v>8.0935652064972885E-2</v>
      </c>
    </row>
    <row r="119" spans="1:3" x14ac:dyDescent="0.2">
      <c r="A119" s="29" t="str">
        <f t="shared" si="41"/>
        <v>Education</v>
      </c>
      <c r="B119" s="43">
        <f t="shared" si="42"/>
        <v>0.2063877596956365</v>
      </c>
      <c r="C119" s="43">
        <f t="shared" si="43"/>
        <v>-4.1713644230245706E-2</v>
      </c>
    </row>
    <row r="120" spans="1:3" x14ac:dyDescent="0.2">
      <c r="A120" s="29" t="str">
        <f t="shared" si="41"/>
        <v>Health and social work</v>
      </c>
      <c r="B120" s="43">
        <f t="shared" si="42"/>
        <v>1.5992766587172635</v>
      </c>
      <c r="C120" s="43">
        <f t="shared" si="43"/>
        <v>0.36507612778460263</v>
      </c>
    </row>
    <row r="121" spans="1:3" x14ac:dyDescent="0.2">
      <c r="A121" s="29"/>
      <c r="B121" s="43"/>
      <c r="C121" s="43"/>
    </row>
    <row r="122" spans="1:3" x14ac:dyDescent="0.2">
      <c r="A122" s="344" t="str">
        <f t="shared" si="41"/>
        <v>All industries</v>
      </c>
      <c r="B122" s="206">
        <f t="shared" si="42"/>
        <v>1.2727282491479919</v>
      </c>
      <c r="C122" s="206">
        <f t="shared" si="43"/>
        <v>0.58547928810912531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8" t="str">
        <f>CONCATENATE("Industry Table 5  Employment status by Industry (SIC 2007) and Gender, ",A$8,"-",A$18,", ",Info!B5)</f>
        <v>Industry Table 5  Employment status by Industry (SIC 2007) and Gender, 2020-2035, London</v>
      </c>
    </row>
    <row r="2" spans="1:17" x14ac:dyDescent="0.2">
      <c r="A2" s="1" t="s">
        <v>532</v>
      </c>
    </row>
    <row r="5" spans="1:17" x14ac:dyDescent="0.2">
      <c r="A5" s="288"/>
      <c r="B5" s="289" t="s">
        <v>379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377</v>
      </c>
    </row>
    <row r="7" spans="1:17" x14ac:dyDescent="0.2">
      <c r="A7" s="296" t="s">
        <v>378</v>
      </c>
      <c r="B7" s="370" t="s">
        <v>376</v>
      </c>
      <c r="C7" s="370"/>
      <c r="D7" s="370" t="s">
        <v>375</v>
      </c>
      <c r="E7" s="370"/>
      <c r="F7" s="370" t="s">
        <v>374</v>
      </c>
      <c r="G7" s="370"/>
      <c r="H7" s="370" t="s">
        <v>32</v>
      </c>
      <c r="I7" s="370"/>
      <c r="J7" s="296"/>
      <c r="K7" s="297" t="s">
        <v>339</v>
      </c>
      <c r="L7" s="297" t="s">
        <v>341</v>
      </c>
      <c r="M7" s="297" t="s">
        <v>337</v>
      </c>
      <c r="N7" s="297" t="s">
        <v>32</v>
      </c>
    </row>
    <row r="8" spans="1:17" x14ac:dyDescent="0.2">
      <c r="A8" s="286">
        <f>'Ind T6'!L5</f>
        <v>2020</v>
      </c>
      <c r="B8" s="287" t="s">
        <v>60</v>
      </c>
      <c r="C8" s="19" t="s">
        <v>373</v>
      </c>
      <c r="D8" s="287" t="s">
        <v>60</v>
      </c>
      <c r="E8" s="19" t="s">
        <v>373</v>
      </c>
      <c r="F8" s="287" t="s">
        <v>60</v>
      </c>
      <c r="G8" s="19" t="s">
        <v>373</v>
      </c>
      <c r="H8" s="287" t="s">
        <v>60</v>
      </c>
      <c r="I8" s="19" t="s">
        <v>373</v>
      </c>
      <c r="J8" s="181"/>
      <c r="K8" s="286" t="str">
        <f>CONCATENATE(A8," - ",A13)</f>
        <v>2020 - 2025</v>
      </c>
      <c r="L8" s="285"/>
      <c r="M8" s="285"/>
    </row>
    <row r="9" spans="1:17" x14ac:dyDescent="0.2">
      <c r="A9" s="282" t="s">
        <v>355</v>
      </c>
      <c r="B9" s="249">
        <f>SUM(B30,B51,B72,B93,B114,B135,B156,B177,B198,B219,B240,B261,B282,B303,B324,B345,B366,B387,B408,B429,B450,B471)</f>
        <v>2195.4750000065565</v>
      </c>
      <c r="C9" s="299" t="str">
        <f>CONCATENATE("(",ROUND((B9/$H11)*100,1),")")</f>
        <v>(37)</v>
      </c>
      <c r="D9" s="249">
        <f>SUM(D30,D51,D72,D93,D114,D135,D156,D177,D198,D219,D240,D261,D282,D303,D324,D345,D366,D387,D408,D429,D450,D471)</f>
        <v>486.08899999732239</v>
      </c>
      <c r="E9" s="299" t="str">
        <f>CONCATENATE("(",ROUND((D9/$H11)*100,1),")")</f>
        <v>(8.2)</v>
      </c>
      <c r="F9" s="249">
        <f>SUM(F30,F51,F72,F93,F114,F135,F156,F177,F198,F219,F240,F261,F282,F303,F324,F345,F366,F387,F408,F429,F450,F471)</f>
        <v>431.66600000412734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3113.2300000080054</v>
      </c>
      <c r="I9" s="299" t="str">
        <f>CONCATENATE("(",ROUND((H9/$H11)*100,1),")")</f>
        <v>(52.4)</v>
      </c>
      <c r="K9" s="249">
        <f>B14-B9</f>
        <v>81.552999998014002</v>
      </c>
      <c r="L9" s="249">
        <f>D14-D9</f>
        <v>22.8789999990463</v>
      </c>
      <c r="M9" s="249">
        <f>F14-F9</f>
        <v>31.067000006251646</v>
      </c>
      <c r="N9" s="249">
        <f>SUM(K9:M9)</f>
        <v>135.49900000331195</v>
      </c>
      <c r="O9" s="298"/>
      <c r="P9" s="298"/>
      <c r="Q9" s="298"/>
    </row>
    <row r="10" spans="1:17" x14ac:dyDescent="0.2">
      <c r="A10" s="282" t="s">
        <v>356</v>
      </c>
      <c r="B10" s="249">
        <f t="shared" ref="B10:B21" si="0">SUM(B31,B52,B73,B94,B115,B136,B157,B178,B199,B220,B241,B262,B283,B304,B325,B346,B367,B388,B409,B430,B451,B472)</f>
        <v>1633.822000003375</v>
      </c>
      <c r="C10" s="299" t="str">
        <f>CONCATENATE("(",ROUND((B10/$H11)*100,1),")")</f>
        <v>(27.5)</v>
      </c>
      <c r="D10" s="249">
        <f t="shared" ref="D10" si="1">SUM(D31,D52,D73,D94,D115,D136,D157,D178,D199,D220,D241,D262,D283,D304,D325,D346,D367,D388,D409,D430,D451,D472)</f>
        <v>910.5999999932593</v>
      </c>
      <c r="E10" s="299" t="str">
        <f>CONCATENATE("(",ROUND((D10/$H11)*100,1),")")</f>
        <v>(15.3)</v>
      </c>
      <c r="F10" s="249">
        <f t="shared" ref="F10" si="2">SUM(F31,F52,F73,F94,F115,F136,F157,F178,F199,F220,F241,F262,F283,F304,F325,F346,F367,F388,F409,F430,F451,F472)</f>
        <v>279.7290000006916</v>
      </c>
      <c r="G10" s="299" t="str">
        <f>CONCATENATE("(",ROUND((F10/$H11)*100,1),")")</f>
        <v>(4.7)</v>
      </c>
      <c r="H10" s="249">
        <f t="shared" ref="H10" si="3">SUM(H31,H52,H73,H94,H115,H136,H157,H178,H199,H220,H241,H262,H283,H304,H325,H346,H367,H388,H409,H430,H451,H472)</f>
        <v>2824.1509999973259</v>
      </c>
      <c r="I10" s="299" t="str">
        <f>CONCATENATE("(",ROUND((H10/$H11)*100,1),")")</f>
        <v>(47.6)</v>
      </c>
      <c r="K10" s="249">
        <f t="shared" ref="K10:K11" si="4">B15-B10</f>
        <v>77.581000004058524</v>
      </c>
      <c r="L10" s="249">
        <f t="shared" ref="L10:L11" si="5">D15-D10</f>
        <v>14.396999996938803</v>
      </c>
      <c r="M10" s="249">
        <f t="shared" ref="M10:M11" si="6">F15-F10</f>
        <v>14.440000001058934</v>
      </c>
      <c r="N10" s="249">
        <f t="shared" ref="N10:N11" si="7">SUM(K10:M10)</f>
        <v>106.41800000205626</v>
      </c>
      <c r="O10" s="298"/>
      <c r="P10" s="298"/>
      <c r="Q10" s="298"/>
    </row>
    <row r="11" spans="1:17" x14ac:dyDescent="0.2">
      <c r="A11" s="282" t="s">
        <v>354</v>
      </c>
      <c r="B11" s="249">
        <f t="shared" si="0"/>
        <v>3829.2970000099317</v>
      </c>
      <c r="C11" s="299" t="str">
        <f>CONCATENATE("(",ROUND((B11/$H11)*100,1),")")</f>
        <v>(64.5)</v>
      </c>
      <c r="D11" s="249">
        <f t="shared" ref="D11" si="8">SUM(D32,D53,D74,D95,D116,D137,D158,D179,D200,D221,D242,D263,D284,D305,D326,D347,D368,D389,D410,D431,D452,D473)</f>
        <v>1396.6889999905816</v>
      </c>
      <c r="E11" s="299" t="str">
        <f>CONCATENATE("(",ROUND((D11/$H11)*100,1),")")</f>
        <v>(23.5)</v>
      </c>
      <c r="F11" s="249">
        <f t="shared" ref="F11" si="9">SUM(F32,F53,F74,F95,F116,F137,F158,F179,F200,F221,F242,F263,F284,F305,F326,F347,F368,F389,F410,F431,F452,F473)</f>
        <v>711.39500000481894</v>
      </c>
      <c r="G11" s="299" t="str">
        <f>CONCATENATE("(",ROUND((F11/$H11)*100,1),")")</f>
        <v>(12)</v>
      </c>
      <c r="H11" s="249">
        <f t="shared" ref="H11" si="10">SUM(H32,H53,H74,H95,H116,H137,H158,H179,H200,H221,H242,H263,H284,H305,H326,H347,H368,H389,H410,H431,H452,H473)</f>
        <v>5937.3810000053327</v>
      </c>
      <c r="I11" s="299" t="str">
        <f>CONCATENATE("(",ROUND((H11/$H11)*100,1),")")</f>
        <v>(100)</v>
      </c>
      <c r="K11" s="249">
        <f t="shared" si="4"/>
        <v>159.13400000207184</v>
      </c>
      <c r="L11" s="249">
        <f t="shared" si="5"/>
        <v>37.27599999598533</v>
      </c>
      <c r="M11" s="249">
        <f t="shared" si="6"/>
        <v>45.507000007310353</v>
      </c>
      <c r="N11" s="249">
        <f t="shared" si="7"/>
        <v>241.91700000536753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355</v>
      </c>
      <c r="B14" s="249">
        <f>SUM(B35,B56,B77,B98,B119,B140,B161,B182,B203,B224,B245,B266,B287,B308,B329,B350,B371,B392,B413,B434,B455,B476)</f>
        <v>2277.0280000045705</v>
      </c>
      <c r="C14" s="299" t="str">
        <f>CONCATENATE("(",ROUND((B14/$H16)*100,1),")")</f>
        <v>(36.8)</v>
      </c>
      <c r="D14" s="249">
        <f t="shared" ref="D14" si="11">SUM(D35,D56,D77,D98,D119,D140,D161,D182,D203,D224,D245,D266,D287,D308,D329,D350,D371,D392,D413,D434,D455,D476)</f>
        <v>508.96799999636869</v>
      </c>
      <c r="E14" s="299" t="str">
        <f>CONCATENATE("(",ROUND((D14/$H16)*100,1),")")</f>
        <v>(8.2)</v>
      </c>
      <c r="F14" s="249">
        <f t="shared" ref="F14" si="12">SUM(F35,F56,F77,F98,F119,F140,F161,F182,F203,F224,F245,F266,F287,F308,F329,F350,F371,F392,F413,F434,F455,F476)</f>
        <v>462.73300001037899</v>
      </c>
      <c r="G14" s="299" t="str">
        <f>CONCATENATE("(",ROUND((F14/$H16)*100,1),")")</f>
        <v>(7.5)</v>
      </c>
      <c r="H14" s="249">
        <f t="shared" ref="H14" si="13">SUM(H35,H56,H77,H98,H119,H140,H161,H182,H203,H224,H245,H266,H287,H308,H329,H350,H371,H392,H413,H434,H455,H476)</f>
        <v>3248.729000011318</v>
      </c>
      <c r="I14" s="299" t="str">
        <f>CONCATENATE("(",ROUND((H14/$H16)*100,1),")")</f>
        <v>(52.6)</v>
      </c>
      <c r="K14" s="249">
        <f>B19-B14</f>
        <v>84.408000002732024</v>
      </c>
      <c r="L14" s="249">
        <f>D19-D14</f>
        <v>38.803000000776137</v>
      </c>
      <c r="M14" s="249">
        <f>F19-F14</f>
        <v>34.667999993661397</v>
      </c>
      <c r="N14" s="249">
        <f>SUM(K14:M14)</f>
        <v>157.87899999716956</v>
      </c>
    </row>
    <row r="15" spans="1:17" x14ac:dyDescent="0.2">
      <c r="A15" s="282" t="s">
        <v>356</v>
      </c>
      <c r="B15" s="249">
        <f t="shared" si="0"/>
        <v>1711.4030000074335</v>
      </c>
      <c r="C15" s="299" t="str">
        <f>CONCATENATE("(",ROUND((B15/$H16)*100,1),")")</f>
        <v>(27.7)</v>
      </c>
      <c r="D15" s="249">
        <f t="shared" ref="D15" si="14">SUM(D36,D57,D78,D99,D120,D141,D162,D183,D204,D225,D246,D267,D288,D309,D330,D351,D372,D393,D414,D435,D456,D477)</f>
        <v>924.99699999019811</v>
      </c>
      <c r="E15" s="299" t="str">
        <f>CONCATENATE("(",ROUND((D15/$H16)*100,1),")")</f>
        <v>(15)</v>
      </c>
      <c r="F15" s="249">
        <f t="shared" ref="F15" si="15">SUM(F36,F57,F78,F99,F120,F141,F162,F183,F204,F225,F246,F267,F288,F309,F330,F351,F372,F393,F414,F435,F456,F477)</f>
        <v>294.16900000175053</v>
      </c>
      <c r="G15" s="299" t="str">
        <f>CONCATENATE("(",ROUND((F15/$H16)*100,1),")")</f>
        <v>(4.8)</v>
      </c>
      <c r="H15" s="249">
        <f t="shared" ref="H15" si="16">SUM(H36,H57,H78,H99,H120,H141,H162,H183,H204,H225,H246,H267,H288,H309,H330,H351,H372,H393,H414,H435,H456,H477)</f>
        <v>2930.5689999993824</v>
      </c>
      <c r="I15" s="299" t="str">
        <f>CONCATENATE("(",ROUND((H15/$H16)*100,1),")")</f>
        <v>(47.4)</v>
      </c>
      <c r="K15" s="249">
        <f t="shared" ref="K15:K16" si="17">B20-B15</f>
        <v>105.75699999458766</v>
      </c>
      <c r="L15" s="249">
        <f t="shared" ref="L15:L16" si="18">D20-D15</f>
        <v>16.152000006886851</v>
      </c>
      <c r="M15" s="249">
        <f t="shared" ref="M15:M16" si="19">F20-F15</f>
        <v>21.648999998118256</v>
      </c>
      <c r="N15" s="249">
        <f t="shared" ref="N15:N16" si="20">SUM(K15:M15)</f>
        <v>143.55799999959277</v>
      </c>
    </row>
    <row r="16" spans="1:17" x14ac:dyDescent="0.2">
      <c r="A16" s="282" t="s">
        <v>354</v>
      </c>
      <c r="B16" s="249">
        <f t="shared" si="0"/>
        <v>3988.4310000120036</v>
      </c>
      <c r="C16" s="299" t="str">
        <f>CONCATENATE("(",ROUND((B16/$H16)*100,1),")")</f>
        <v>(64.5)</v>
      </c>
      <c r="D16" s="249">
        <f t="shared" ref="D16" si="21">SUM(D37,D58,D79,D100,D121,D142,D163,D184,D205,D226,D247,D268,D289,D310,D331,D352,D373,D394,D415,D436,D457,D478)</f>
        <v>1433.9649999865669</v>
      </c>
      <c r="E16" s="299" t="str">
        <f>CONCATENATE("(",ROUND((D16/$H16)*100,1),")")</f>
        <v>(23.2)</v>
      </c>
      <c r="F16" s="249">
        <f t="shared" ref="F16" si="22">SUM(F37,F58,F79,F100,F121,F142,F163,F184,F205,F226,F247,F268,F289,F310,F331,F352,F373,F394,F415,F436,F457,F478)</f>
        <v>756.90200001212929</v>
      </c>
      <c r="G16" s="299" t="str">
        <f>CONCATENATE("(",ROUND((F16/$H16)*100,1),")")</f>
        <v>(12.2)</v>
      </c>
      <c r="H16" s="249">
        <f t="shared" ref="H16" si="23">SUM(H37,H58,H79,H100,H121,H142,H163,H184,H205,H226,H247,H268,H289,H310,H331,H352,H373,H394,H415,H436,H457,H478)</f>
        <v>6179.2980000107018</v>
      </c>
      <c r="I16" s="299" t="str">
        <f>CONCATENATE("(",ROUND((H16/$H16)*100,1),")")</f>
        <v>(100)</v>
      </c>
      <c r="K16" s="249">
        <f t="shared" si="17"/>
        <v>190.16499999731923</v>
      </c>
      <c r="L16" s="249">
        <f t="shared" si="18"/>
        <v>54.955000007662875</v>
      </c>
      <c r="M16" s="249">
        <f t="shared" si="19"/>
        <v>56.316999991779767</v>
      </c>
      <c r="N16" s="249">
        <f t="shared" si="20"/>
        <v>301.43699999676187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355</v>
      </c>
      <c r="B19" s="249">
        <f t="shared" si="0"/>
        <v>2361.4360000073025</v>
      </c>
      <c r="C19" s="299" t="str">
        <f>CONCATENATE("(",ROUND((B19/$H21)*100,1),")")</f>
        <v>(36.4)</v>
      </c>
      <c r="D19" s="249">
        <f t="shared" ref="D19" si="24">SUM(D40,D61,D82,D103,D124,D145,D166,D187,D208,D229,D250,D271,D292,D313,D334,D355,D376,D397,D418,D439,D460,D481)</f>
        <v>547.77099999714483</v>
      </c>
      <c r="E19" s="299" t="str">
        <f>CONCATENATE("(",ROUND((D19/$H21)*100,1),")")</f>
        <v>(8.5)</v>
      </c>
      <c r="F19" s="249">
        <f t="shared" ref="F19" si="25">SUM(F40,F61,F82,F103,F124,F145,F166,F187,F208,F229,F250,F271,F292,F313,F334,F355,F376,F397,F418,F439,F460,F481)</f>
        <v>497.40100000404038</v>
      </c>
      <c r="G19" s="299" t="str">
        <f>CONCATENATE("(",ROUND((F19/$H21)*100,1),")")</f>
        <v>(7.7)</v>
      </c>
      <c r="H19" s="249">
        <f t="shared" ref="H19" si="26">SUM(H40,H61,H82,H103,H124,H145,H166,H187,H208,H229,H250,H271,H292,H313,H334,H355,H376,H397,H418,H439,H460,H481)</f>
        <v>3406.6080000084876</v>
      </c>
      <c r="I19" s="299" t="str">
        <f>CONCATENATE("(",ROUND((H19/$H21)*100,1),")")</f>
        <v>(52.6)</v>
      </c>
      <c r="K19" s="249">
        <f>B19-B9</f>
        <v>165.96100000074603</v>
      </c>
      <c r="L19" s="249">
        <f>D19-D9</f>
        <v>61.681999999822438</v>
      </c>
      <c r="M19" s="249">
        <f>F19-F9</f>
        <v>65.734999999913043</v>
      </c>
      <c r="N19" s="249">
        <f>SUM(K19:M19)</f>
        <v>293.37800000048151</v>
      </c>
    </row>
    <row r="20" spans="1:14" x14ac:dyDescent="0.2">
      <c r="A20" s="282" t="s">
        <v>356</v>
      </c>
      <c r="B20" s="249">
        <f t="shared" si="0"/>
        <v>1817.1600000020212</v>
      </c>
      <c r="C20" s="299" t="str">
        <f>CONCATENATE("(",ROUND((B20/$H21)*100,1),")")</f>
        <v>(28)</v>
      </c>
      <c r="D20" s="249">
        <f t="shared" ref="D20" si="27">SUM(D41,D62,D83,D104,D125,D146,D167,D188,D209,D230,D251,D272,D293,D314,D335,D356,D377,D398,D419,D440,D461,D482)</f>
        <v>941.14899999708496</v>
      </c>
      <c r="E20" s="299" t="str">
        <f>CONCATENATE("(",ROUND((D20/$H21)*100,1),")")</f>
        <v>(14.5)</v>
      </c>
      <c r="F20" s="249">
        <f t="shared" ref="F20" si="28">SUM(F41,F62,F83,F104,F125,F146,F167,F188,F209,F230,F251,F272,F293,F314,F335,F356,F377,F398,F419,F440,F461,F482)</f>
        <v>315.81799999986879</v>
      </c>
      <c r="G20" s="299" t="str">
        <f>CONCATENATE("(",ROUND((F20/$H21)*100,1),")")</f>
        <v>(4.9)</v>
      </c>
      <c r="H20" s="249">
        <f t="shared" ref="H20" si="29">SUM(H41,H62,H83,H104,H125,H146,H167,H188,H209,H230,H251,H272,H293,H314,H335,H356,H377,H398,H419,H440,H461,H482)</f>
        <v>3074.126999998975</v>
      </c>
      <c r="I20" s="299" t="str">
        <f>CONCATENATE("(",ROUND((H20/$H21)*100,1),")")</f>
        <v>(47.4)</v>
      </c>
      <c r="K20" s="249">
        <f t="shared" ref="K20:K21" si="30">B20-B10</f>
        <v>183.33799999864618</v>
      </c>
      <c r="L20" s="249">
        <f t="shared" ref="L20:L21" si="31">D20-D10</f>
        <v>30.549000003825654</v>
      </c>
      <c r="M20" s="249">
        <f t="shared" ref="M20:M21" si="32">F20-F10</f>
        <v>36.08899999917719</v>
      </c>
      <c r="N20" s="249">
        <f t="shared" ref="N20:N21" si="33">SUM(K20:M20)</f>
        <v>249.97600000164903</v>
      </c>
    </row>
    <row r="21" spans="1:14" x14ac:dyDescent="0.2">
      <c r="A21" s="282" t="s">
        <v>354</v>
      </c>
      <c r="B21" s="249">
        <f t="shared" si="0"/>
        <v>4178.5960000093228</v>
      </c>
      <c r="C21" s="299" t="str">
        <f>CONCATENATE("(",ROUND((B21/$H21)*100,1),")")</f>
        <v>(64.5)</v>
      </c>
      <c r="D21" s="249">
        <f t="shared" ref="D21" si="34">SUM(D42,D63,D84,D105,D126,D147,D168,D189,D210,D231,D252,D273,D294,D315,D336,D357,D378,D399,D420,D441,D462,D483)</f>
        <v>1488.9199999942298</v>
      </c>
      <c r="E21" s="299" t="str">
        <f>CONCATENATE("(",ROUND((D21/$H21)*100,1),")")</f>
        <v>(23)</v>
      </c>
      <c r="F21" s="249">
        <f>SUM(F42,F63,F84,F105,F126,F147,F168,F189,F210,F231,F252,F273,F294,F315,F336,F357,F378,F399,F420,F441,F462,F483)</f>
        <v>813.21900000390906</v>
      </c>
      <c r="G21" s="299" t="str">
        <f>CONCATENATE("(",ROUND((F21/$H21)*100,1),")")</f>
        <v>(12.5)</v>
      </c>
      <c r="H21" s="249">
        <f t="shared" ref="H21" si="35">SUM(H42,H63,H84,H105,H126,H147,H168,H189,H210,H231,H252,H273,H294,H315,H336,H357,H378,H399,H420,H441,H462,H483)</f>
        <v>6480.7350000074621</v>
      </c>
      <c r="I21" s="299" t="str">
        <f>CONCATENATE("(",ROUND((H21/$H21)*100,1),")")</f>
        <v>(100)</v>
      </c>
      <c r="K21" s="249">
        <f t="shared" si="30"/>
        <v>349.29899999939107</v>
      </c>
      <c r="L21" s="249">
        <f t="shared" si="31"/>
        <v>92.231000003648205</v>
      </c>
      <c r="M21" s="249">
        <f t="shared" si="32"/>
        <v>101.82399999909012</v>
      </c>
      <c r="N21" s="249">
        <f t="shared" si="33"/>
        <v>543.3540000021294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379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377</v>
      </c>
    </row>
    <row r="28" spans="1:14" x14ac:dyDescent="0.2">
      <c r="A28" s="296" t="s">
        <v>378</v>
      </c>
      <c r="B28" s="370" t="s">
        <v>376</v>
      </c>
      <c r="C28" s="370"/>
      <c r="D28" s="370" t="s">
        <v>375</v>
      </c>
      <c r="E28" s="370"/>
      <c r="F28" s="370" t="s">
        <v>374</v>
      </c>
      <c r="G28" s="370"/>
      <c r="H28" s="370" t="s">
        <v>32</v>
      </c>
      <c r="I28" s="370"/>
      <c r="J28" s="296"/>
      <c r="K28" s="297" t="s">
        <v>339</v>
      </c>
      <c r="L28" s="297" t="s">
        <v>341</v>
      </c>
      <c r="M28" s="297" t="s">
        <v>337</v>
      </c>
      <c r="N28" s="297" t="s">
        <v>32</v>
      </c>
    </row>
    <row r="29" spans="1:14" x14ac:dyDescent="0.2">
      <c r="A29" s="292">
        <f>$A$8</f>
        <v>2020</v>
      </c>
      <c r="B29" s="287" t="s">
        <v>60</v>
      </c>
      <c r="C29" s="19" t="s">
        <v>373</v>
      </c>
      <c r="D29" s="287" t="s">
        <v>60</v>
      </c>
      <c r="E29" s="19" t="s">
        <v>373</v>
      </c>
      <c r="F29" s="287" t="s">
        <v>60</v>
      </c>
      <c r="G29" s="19" t="s">
        <v>373</v>
      </c>
      <c r="H29" s="287" t="s">
        <v>60</v>
      </c>
      <c r="I29" s="19" t="s">
        <v>373</v>
      </c>
      <c r="J29" s="181"/>
      <c r="K29" s="286" t="str">
        <f>CONCATENATE(A29," - ",A34)</f>
        <v>2020 - 2025</v>
      </c>
      <c r="L29" s="285"/>
      <c r="M29" s="285"/>
    </row>
    <row r="30" spans="1:14" x14ac:dyDescent="0.2">
      <c r="A30" s="282" t="s">
        <v>355</v>
      </c>
      <c r="B30" s="302">
        <f>'Ind T6'!L10</f>
        <v>0.546000000004361</v>
      </c>
      <c r="C30" s="299" t="str">
        <f>CONCATENATE("(",ROUND((B30/$H32)*100,1),")")</f>
        <v>(52.8)</v>
      </c>
      <c r="D30" s="302">
        <f>'Ind T6'!M10</f>
        <v>6.9999999998449003E-3</v>
      </c>
      <c r="E30" s="299" t="str">
        <f>CONCATENATE("(",ROUND((D30/$H32)*100,1),")")</f>
        <v>(0.7)</v>
      </c>
      <c r="F30" s="302">
        <f>'Ind T6'!N10</f>
        <v>0</v>
      </c>
      <c r="G30" s="299" t="str">
        <f>CONCATENATE("(",ROUND((F30/$H32)*100,1),")")</f>
        <v>(0)</v>
      </c>
      <c r="H30" s="302">
        <f>SUM(B30,D30,F30)</f>
        <v>0.5530000000042059</v>
      </c>
      <c r="I30" s="299" t="str">
        <f>CONCATENATE("(",ROUND((H30/$H32)*100,1),")")</f>
        <v>(53.4)</v>
      </c>
      <c r="K30" s="302">
        <f>B35-B30</f>
        <v>2.8000000001458636E-2</v>
      </c>
      <c r="L30" s="302">
        <f>D35-D30</f>
        <v>-4.9724981077137187E-14</v>
      </c>
      <c r="M30" s="302">
        <f>F35-F30</f>
        <v>0</v>
      </c>
      <c r="N30" s="302">
        <f>SUM(K30:M30)</f>
        <v>2.8000000001408912E-2</v>
      </c>
    </row>
    <row r="31" spans="1:14" x14ac:dyDescent="0.2">
      <c r="A31" s="282" t="s">
        <v>356</v>
      </c>
      <c r="B31" s="302">
        <f>'Ind T6'!L9</f>
        <v>0.46999999999827446</v>
      </c>
      <c r="C31" s="299" t="str">
        <f>CONCATENATE("(",ROUND((B31/$H32)*100,1),")")</f>
        <v>(45.4)</v>
      </c>
      <c r="D31" s="302">
        <f>'Ind T6'!M9</f>
        <v>1.0999999999936732E-2</v>
      </c>
      <c r="E31" s="299" t="str">
        <f>CONCATENATE("(",ROUND((D31/$H32)*100,1),")")</f>
        <v>(1.1)</v>
      </c>
      <c r="F31" s="302">
        <f>'Ind T6'!N9</f>
        <v>9.9999999998271892E-4</v>
      </c>
      <c r="G31" s="299" t="str">
        <f>CONCATENATE("(",ROUND((F31/$H32)*100,1),")")</f>
        <v>(0.1)</v>
      </c>
      <c r="H31" s="302">
        <f t="shared" ref="H31" si="36">SUM(B31,D31,F31)</f>
        <v>0.48199999999819393</v>
      </c>
      <c r="I31" s="299" t="str">
        <f>CONCATENATE("(",ROUND((H31/$H32)*100,1),")")</f>
        <v>(46.6)</v>
      </c>
      <c r="K31" s="302">
        <f t="shared" ref="K31:K32" si="37">B36-B31</f>
        <v>8.0000000135143079E-3</v>
      </c>
      <c r="L31" s="302">
        <f t="shared" ref="L31:L32" si="38">D36-D31</f>
        <v>-3.9565573040079016E-14</v>
      </c>
      <c r="M31" s="302">
        <f t="shared" ref="M31:M32" si="39">F36-F31</f>
        <v>6.0281640790194047E-15</v>
      </c>
      <c r="N31" s="302">
        <f t="shared" ref="N31:N32" si="40">SUM(K31:M31)</f>
        <v>8.0000000134807705E-3</v>
      </c>
    </row>
    <row r="32" spans="1:14" x14ac:dyDescent="0.2">
      <c r="A32" s="282" t="s">
        <v>354</v>
      </c>
      <c r="B32" s="302">
        <f>SUM(B30:B31)</f>
        <v>1.0160000000026355</v>
      </c>
      <c r="C32" s="299" t="str">
        <f>CONCATENATE("(",ROUND((B32/$H32)*100,1),")")</f>
        <v>(98.2)</v>
      </c>
      <c r="D32" s="302">
        <f>SUM(D30:D31)</f>
        <v>1.7999999999781632E-2</v>
      </c>
      <c r="E32" s="299" t="str">
        <f>CONCATENATE("(",ROUND((D32/$H32)*100,1),")")</f>
        <v>(1.7)</v>
      </c>
      <c r="F32" s="302">
        <f>SUM(F30:F31)</f>
        <v>9.9999999998271892E-4</v>
      </c>
      <c r="G32" s="299" t="str">
        <f>CONCATENATE("(",ROUND((F32/$H32)*100,1),")")</f>
        <v>(0.1)</v>
      </c>
      <c r="H32" s="302">
        <f>SUM(H30:H31)</f>
        <v>1.0350000000023998</v>
      </c>
      <c r="I32" s="299" t="str">
        <f>CONCATENATE("(",ROUND((H32/$H32)*100,1),")")</f>
        <v>(100)</v>
      </c>
      <c r="K32" s="302">
        <f t="shared" si="37"/>
        <v>3.6000000014972944E-2</v>
      </c>
      <c r="L32" s="302">
        <f t="shared" si="38"/>
        <v>-8.9289686755478215E-14</v>
      </c>
      <c r="M32" s="302">
        <f t="shared" si="39"/>
        <v>6.0281640790194047E-15</v>
      </c>
      <c r="N32" s="302">
        <f t="shared" si="40"/>
        <v>3.6000000014889684E-2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355</v>
      </c>
      <c r="B35" s="302">
        <f>'Ind T6'!Q10</f>
        <v>0.57400000000581963</v>
      </c>
      <c r="C35" s="299" t="str">
        <f>CONCATENATE("(",ROUND((B35/$H37)*100,1),")")</f>
        <v>(53.6)</v>
      </c>
      <c r="D35" s="302">
        <f>'Ind T6'!R10</f>
        <v>6.9999999997951753E-3</v>
      </c>
      <c r="E35" s="299" t="str">
        <f>CONCATENATE("(",ROUND((D35/$H37)*100,1),")")</f>
        <v>(0.7)</v>
      </c>
      <c r="F35" s="302">
        <f>'Ind T6'!S10</f>
        <v>0</v>
      </c>
      <c r="G35" s="299" t="str">
        <f>CONCATENATE("(",ROUND((F35/$H37)*100,1),")")</f>
        <v>(0)</v>
      </c>
      <c r="H35" s="302">
        <f>SUM(B35,D35,F35)</f>
        <v>0.5810000000056148</v>
      </c>
      <c r="I35" s="299" t="str">
        <f>CONCATENATE("(",ROUND((H35/$H37)*100,1),")")</f>
        <v>(54.2)</v>
      </c>
      <c r="K35" s="302">
        <f>B40-B35</f>
        <v>3.900000000094872E-2</v>
      </c>
      <c r="L35" s="302">
        <f>D40-D35</f>
        <v>-1.4103475332039039E-13</v>
      </c>
      <c r="M35" s="302">
        <f>F40-F35</f>
        <v>0</v>
      </c>
      <c r="N35" s="302">
        <f>SUM(K35:M35)</f>
        <v>3.9000000000807687E-2</v>
      </c>
    </row>
    <row r="36" spans="1:14" x14ac:dyDescent="0.2">
      <c r="A36" s="282" t="s">
        <v>356</v>
      </c>
      <c r="B36" s="302">
        <f>'Ind T6'!Q9</f>
        <v>0.47800000001178877</v>
      </c>
      <c r="C36" s="299" t="str">
        <f>CONCATENATE("(",ROUND((B36/$H37)*100,1),")")</f>
        <v>(44.6)</v>
      </c>
      <c r="D36" s="302">
        <f>'Ind T6'!R9</f>
        <v>1.0999999999897167E-2</v>
      </c>
      <c r="E36" s="299" t="str">
        <f>CONCATENATE("(",ROUND((D36/$H37)*100,1),")")</f>
        <v>(1)</v>
      </c>
      <c r="F36" s="302">
        <f>'Ind T6'!S9</f>
        <v>9.9999999998874709E-4</v>
      </c>
      <c r="G36" s="299" t="str">
        <f>CONCATENATE("(",ROUND((F36/$H37)*100,1),")")</f>
        <v>(0.1)</v>
      </c>
      <c r="H36" s="302">
        <f t="shared" ref="H36" si="41">SUM(B36,D36,F36)</f>
        <v>0.49000000001167465</v>
      </c>
      <c r="I36" s="299" t="str">
        <f>CONCATENATE("(",ROUND((H36/$H37)*100,1),")")</f>
        <v>(45.8)</v>
      </c>
      <c r="K36" s="302">
        <f t="shared" ref="K36:K37" si="42">B41-B36</f>
        <v>-8.0000000137826488E-3</v>
      </c>
      <c r="L36" s="302">
        <f t="shared" ref="L36:L37" si="43">D41-D36</f>
        <v>-9.9999999998163364E-4</v>
      </c>
      <c r="M36" s="302">
        <f t="shared" ref="M36:M37" si="44">F41-F36</f>
        <v>-6.2883726004159257E-16</v>
      </c>
      <c r="N36" s="302">
        <f t="shared" ref="N36:N37" si="45">SUM(K36:M36)</f>
        <v>-9.0000000137649104E-3</v>
      </c>
    </row>
    <row r="37" spans="1:14" x14ac:dyDescent="0.2">
      <c r="A37" s="282" t="s">
        <v>354</v>
      </c>
      <c r="B37" s="302">
        <f>SUM(B35:B36)</f>
        <v>1.0520000000176084</v>
      </c>
      <c r="C37" s="299" t="str">
        <f>CONCATENATE("(",ROUND((B37/$H37)*100,1),")")</f>
        <v>(98.2)</v>
      </c>
      <c r="D37" s="302">
        <f>SUM(D35:D36)</f>
        <v>1.7999999999692342E-2</v>
      </c>
      <c r="E37" s="299" t="str">
        <f>CONCATENATE("(",ROUND((D37/$H37)*100,1),")")</f>
        <v>(1.7)</v>
      </c>
      <c r="F37" s="302">
        <f>SUM(F35:F36)</f>
        <v>9.9999999998874709E-4</v>
      </c>
      <c r="G37" s="299" t="str">
        <f>CONCATENATE("(",ROUND((F37/$H37)*100,1),")")</f>
        <v>(0.1)</v>
      </c>
      <c r="H37" s="302">
        <f>SUM(H35:H36)</f>
        <v>1.0710000000172895</v>
      </c>
      <c r="I37" s="299" t="str">
        <f>CONCATENATE("(",ROUND((H37/$H37)*100,1),")")</f>
        <v>(100)</v>
      </c>
      <c r="K37" s="302">
        <f t="shared" si="42"/>
        <v>3.0999999987166182E-2</v>
      </c>
      <c r="L37" s="302">
        <f t="shared" si="43"/>
        <v>-1.0000000001226701E-3</v>
      </c>
      <c r="M37" s="302">
        <f t="shared" si="44"/>
        <v>-6.2883726004159257E-16</v>
      </c>
      <c r="N37" s="302">
        <f t="shared" si="45"/>
        <v>2.9999999987042884E-2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355</v>
      </c>
      <c r="B40" s="302">
        <f>'Ind T6'!V10</f>
        <v>0.61300000000676835</v>
      </c>
      <c r="C40" s="299" t="str">
        <f>CONCATENATE("(",ROUND((B40/$H42)*100,1),")")</f>
        <v>(55.7)</v>
      </c>
      <c r="D40" s="302">
        <f>'Ind T6'!W10</f>
        <v>6.9999999996541405E-3</v>
      </c>
      <c r="E40" s="299" t="str">
        <f>CONCATENATE("(",ROUND((D40/$H42)*100,1),")")</f>
        <v>(0.6)</v>
      </c>
      <c r="F40" s="302">
        <f>'Ind T6'!X10</f>
        <v>0</v>
      </c>
      <c r="G40" s="299" t="str">
        <f>CONCATENATE("(",ROUND((F40/$H42)*100,1),")")</f>
        <v>(0)</v>
      </c>
      <c r="H40" s="302">
        <f>SUM(B40,D40,F40)</f>
        <v>0.62000000000642252</v>
      </c>
      <c r="I40" s="299" t="str">
        <f>CONCATENATE("(",ROUND((H40/$H42)*100,1),")")</f>
        <v>(56.3)</v>
      </c>
      <c r="K40" s="302">
        <f>B40-B30</f>
        <v>6.7000000002407356E-2</v>
      </c>
      <c r="L40" s="302">
        <f>D40-D30</f>
        <v>-1.9075973439752758E-13</v>
      </c>
      <c r="M40" s="302">
        <f>F40-F30</f>
        <v>0</v>
      </c>
      <c r="N40" s="302">
        <f>SUM(K40:M40)</f>
        <v>6.7000000002216592E-2</v>
      </c>
    </row>
    <row r="41" spans="1:14" x14ac:dyDescent="0.2">
      <c r="A41" s="282" t="s">
        <v>356</v>
      </c>
      <c r="B41" s="302">
        <f>'Ind T6'!V9</f>
        <v>0.46999999999800612</v>
      </c>
      <c r="C41" s="299" t="str">
        <f>CONCATENATE("(",ROUND((B41/$H42)*100,1),")")</f>
        <v>(42.7)</v>
      </c>
      <c r="D41" s="302">
        <f>'Ind T6'!W9</f>
        <v>9.9999999999155331E-3</v>
      </c>
      <c r="E41" s="299" t="str">
        <f>CONCATENATE("(",ROUND((D41/$H42)*100,1),")")</f>
        <v>(0.9)</v>
      </c>
      <c r="F41" s="302">
        <f>'Ind T6'!X9</f>
        <v>9.9999999998811825E-4</v>
      </c>
      <c r="G41" s="299" t="str">
        <f>CONCATENATE("(",ROUND((F41/$H42)*100,1),")")</f>
        <v>(0.1)</v>
      </c>
      <c r="H41" s="302">
        <f t="shared" ref="H41" si="46">SUM(B41,D41,F41)</f>
        <v>0.48099999999790977</v>
      </c>
      <c r="I41" s="299" t="str">
        <f>CONCATENATE("(",ROUND((H41/$H42)*100,1),")")</f>
        <v>(43.7)</v>
      </c>
      <c r="K41" s="302">
        <f t="shared" ref="K41:K42" si="47">B41-B31</f>
        <v>-2.6834090505190034E-13</v>
      </c>
      <c r="L41" s="302">
        <f t="shared" ref="L41:L42" si="48">D41-D31</f>
        <v>-1.0000000000211992E-3</v>
      </c>
      <c r="M41" s="302">
        <f t="shared" ref="M41:M42" si="49">F41-F31</f>
        <v>5.3993268189778121E-15</v>
      </c>
      <c r="N41" s="302">
        <f t="shared" ref="N41:N42" si="50">SUM(K41:M41)</f>
        <v>-1.0000000002841408E-3</v>
      </c>
    </row>
    <row r="42" spans="1:14" x14ac:dyDescent="0.2">
      <c r="A42" s="282" t="s">
        <v>354</v>
      </c>
      <c r="B42" s="302">
        <f>SUM(B40:B41)</f>
        <v>1.0830000000047746</v>
      </c>
      <c r="C42" s="299" t="str">
        <f>CONCATENATE("(",ROUND((B42/$H42)*100,1),")")</f>
        <v>(98.4)</v>
      </c>
      <c r="D42" s="302">
        <f>SUM(D40:D41)</f>
        <v>1.6999999999569672E-2</v>
      </c>
      <c r="E42" s="299" t="str">
        <f>CONCATENATE("(",ROUND((D42/$H42)*100,1),")")</f>
        <v>(1.5)</v>
      </c>
      <c r="F42" s="302">
        <f>SUM(F40:F41)</f>
        <v>9.9999999998811825E-4</v>
      </c>
      <c r="G42" s="299" t="str">
        <f>CONCATENATE("(",ROUND((F42/$H42)*100,1),")")</f>
        <v>(0.1)</v>
      </c>
      <c r="H42" s="302">
        <f>SUM(H40:H41)</f>
        <v>1.1010000000043323</v>
      </c>
      <c r="I42" s="299" t="str">
        <f>CONCATENATE("(",ROUND((H42/$H42)*100,1),")")</f>
        <v>(100)</v>
      </c>
      <c r="K42" s="302">
        <f t="shared" si="47"/>
        <v>6.7000000002139126E-2</v>
      </c>
      <c r="L42" s="302">
        <f t="shared" si="48"/>
        <v>-1.0000000002119598E-3</v>
      </c>
      <c r="M42" s="302">
        <f t="shared" si="49"/>
        <v>5.3993268189778121E-15</v>
      </c>
      <c r="N42" s="302">
        <f t="shared" si="50"/>
        <v>6.6000000001932568E-2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1"/>
      <c r="E46" s="181"/>
      <c r="G46" s="181"/>
      <c r="I46" s="181"/>
    </row>
    <row r="47" spans="1:14" x14ac:dyDescent="0.2">
      <c r="A47" s="288"/>
      <c r="B47" s="289" t="s">
        <v>379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377</v>
      </c>
    </row>
    <row r="49" spans="1:14" x14ac:dyDescent="0.2">
      <c r="A49" s="181" t="s">
        <v>378</v>
      </c>
      <c r="B49" s="369" t="s">
        <v>376</v>
      </c>
      <c r="C49" s="369"/>
      <c r="D49" s="369" t="s">
        <v>375</v>
      </c>
      <c r="E49" s="369"/>
      <c r="F49" s="369" t="s">
        <v>374</v>
      </c>
      <c r="G49" s="369"/>
      <c r="H49" s="369" t="s">
        <v>32</v>
      </c>
      <c r="I49" s="369"/>
      <c r="J49" s="181"/>
      <c r="K49" s="297" t="s">
        <v>339</v>
      </c>
      <c r="L49" s="297" t="s">
        <v>341</v>
      </c>
      <c r="M49" s="297" t="s">
        <v>337</v>
      </c>
      <c r="N49" s="297" t="s">
        <v>32</v>
      </c>
    </row>
    <row r="50" spans="1:14" x14ac:dyDescent="0.2">
      <c r="A50" s="292">
        <f>$A$8</f>
        <v>2020</v>
      </c>
      <c r="B50" s="287" t="s">
        <v>60</v>
      </c>
      <c r="C50" s="19" t="s">
        <v>373</v>
      </c>
      <c r="D50" s="287" t="s">
        <v>60</v>
      </c>
      <c r="E50" s="19" t="s">
        <v>373</v>
      </c>
      <c r="F50" s="287" t="s">
        <v>60</v>
      </c>
      <c r="G50" s="19" t="s">
        <v>373</v>
      </c>
      <c r="H50" s="287" t="s">
        <v>60</v>
      </c>
      <c r="I50" s="19" t="s">
        <v>373</v>
      </c>
      <c r="J50" s="181"/>
      <c r="K50" s="286" t="str">
        <f>CONCATENATE(A50," - ",A55)</f>
        <v>2020 - 2025</v>
      </c>
      <c r="L50" s="285"/>
      <c r="M50" s="285"/>
    </row>
    <row r="51" spans="1:14" x14ac:dyDescent="0.2">
      <c r="A51" s="282" t="s">
        <v>355</v>
      </c>
      <c r="B51" s="302">
        <f>'Ind T6'!L20</f>
        <v>1.7420000000101918</v>
      </c>
      <c r="C51" s="299" t="str">
        <f>CONCATENATE("(",ROUND((B51/$H53)*100,1),")")</f>
        <v>(64.4)</v>
      </c>
      <c r="D51" s="302">
        <f>'Ind T6'!M20</f>
        <v>0.29400000000247994</v>
      </c>
      <c r="E51" s="299" t="str">
        <f>CONCATENATE("(",ROUND((D51/$H53)*100,1),")")</f>
        <v>(10.9)</v>
      </c>
      <c r="F51" s="302">
        <f>'Ind T6'!N20</f>
        <v>0</v>
      </c>
      <c r="G51" s="299" t="str">
        <f>CONCATENATE("(",ROUND((F51/$H53)*100,1),")")</f>
        <v>(0)</v>
      </c>
      <c r="H51" s="302">
        <f>SUM(B51,D51,F51)</f>
        <v>2.0360000000126717</v>
      </c>
      <c r="I51" s="299" t="str">
        <f>CONCATENATE("(",ROUND((H51/$H53)*100,1),")")</f>
        <v>(75.3)</v>
      </c>
      <c r="K51" s="302">
        <f>B56-B51</f>
        <v>-0.33299999999648944</v>
      </c>
      <c r="L51" s="302">
        <f>D56-D51</f>
        <v>-4.5999999999859764E-2</v>
      </c>
      <c r="M51" s="302">
        <f>F56-F51</f>
        <v>0</v>
      </c>
      <c r="N51" s="302">
        <f>SUM(K51:M51)</f>
        <v>-0.3789999999963492</v>
      </c>
    </row>
    <row r="52" spans="1:14" x14ac:dyDescent="0.2">
      <c r="A52" s="282" t="s">
        <v>356</v>
      </c>
      <c r="B52" s="302">
        <f>'Ind T6'!L19</f>
        <v>0.57799999999829199</v>
      </c>
      <c r="C52" s="299" t="str">
        <f>CONCATENATE("(",ROUND((B52/$H53)*100,1),")")</f>
        <v>(21.4)</v>
      </c>
      <c r="D52" s="302">
        <f>'Ind T6'!M19</f>
        <v>8.9000000000210258E-2</v>
      </c>
      <c r="E52" s="299" t="str">
        <f>CONCATENATE("(",ROUND((D52/$H53)*100,1),")")</f>
        <v>(3.3)</v>
      </c>
      <c r="F52" s="302">
        <f>'Ind T6'!N19</f>
        <v>0</v>
      </c>
      <c r="G52" s="299" t="str">
        <f>CONCATENATE("(",ROUND((F52/$H53)*100,1),")")</f>
        <v>(0)</v>
      </c>
      <c r="H52" s="302">
        <f t="shared" ref="H52" si="51">SUM(B52,D52,F52)</f>
        <v>0.66699999999850224</v>
      </c>
      <c r="I52" s="299" t="str">
        <f>CONCATENATE("(",ROUND((H52/$H53)*100,1),")")</f>
        <v>(24.7)</v>
      </c>
      <c r="K52" s="302">
        <f t="shared" ref="K52:K53" si="52">B57-B52</f>
        <v>-0.11199999999114751</v>
      </c>
      <c r="L52" s="302">
        <f t="shared" ref="L52:L53" si="53">D57-D52</f>
        <v>-1.5999999999976686E-2</v>
      </c>
      <c r="M52" s="302">
        <f t="shared" ref="M52:M53" si="54">F57-F52</f>
        <v>0</v>
      </c>
      <c r="N52" s="302">
        <f t="shared" ref="N52:N53" si="55">SUM(K52:M52)</f>
        <v>-0.12799999999112421</v>
      </c>
    </row>
    <row r="53" spans="1:14" x14ac:dyDescent="0.2">
      <c r="A53" s="282" t="s">
        <v>354</v>
      </c>
      <c r="B53" s="302">
        <f>SUM(B51:B52)</f>
        <v>2.3200000000084837</v>
      </c>
      <c r="C53" s="299" t="str">
        <f>CONCATENATE("(",ROUND((B53/$H53)*100,1),")")</f>
        <v>(85.8)</v>
      </c>
      <c r="D53" s="302">
        <f>SUM(D51:D52)</f>
        <v>0.38300000000269019</v>
      </c>
      <c r="E53" s="299" t="str">
        <f>CONCATENATE("(",ROUND((D53/$H53)*100,1),")")</f>
        <v>(14.2)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2.703000000011174</v>
      </c>
      <c r="I53" s="299" t="str">
        <f>CONCATENATE("(",ROUND((H53/$H53)*100,1),")")</f>
        <v>(100)</v>
      </c>
      <c r="K53" s="302">
        <f t="shared" si="52"/>
        <v>-0.44499999998763684</v>
      </c>
      <c r="L53" s="302">
        <f t="shared" si="53"/>
        <v>-6.1999999999836408E-2</v>
      </c>
      <c r="M53" s="302">
        <f t="shared" si="54"/>
        <v>0</v>
      </c>
      <c r="N53" s="302">
        <f t="shared" si="55"/>
        <v>-0.50699999998747325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355</v>
      </c>
      <c r="B56" s="302">
        <f>'Ind T6'!Q20</f>
        <v>1.4090000000137024</v>
      </c>
      <c r="C56" s="299" t="str">
        <f>CONCATENATE("(",ROUND((B56/$H58)*100,1),")")</f>
        <v>(64.2)</v>
      </c>
      <c r="D56" s="302">
        <f>'Ind T6'!R20</f>
        <v>0.24800000000262018</v>
      </c>
      <c r="E56" s="299" t="str">
        <f>CONCATENATE("(",ROUND((D56/$H58)*100,1),")")</f>
        <v>(11.3)</v>
      </c>
      <c r="F56" s="302">
        <f>'Ind T6'!S20</f>
        <v>0</v>
      </c>
      <c r="G56" s="299" t="str">
        <f>CONCATENATE("(",ROUND((F56/$H58)*100,1),")")</f>
        <v>(0)</v>
      </c>
      <c r="H56" s="302">
        <f>SUM(B56,D56,F56)</f>
        <v>1.6570000000163225</v>
      </c>
      <c r="I56" s="299" t="str">
        <f>CONCATENATE("(",ROUND((H56/$H58)*100,1),")")</f>
        <v>(75.5)</v>
      </c>
      <c r="K56" s="302">
        <f>B61-B56</f>
        <v>-0.3549999999997322</v>
      </c>
      <c r="L56" s="302">
        <f>D61-D56</f>
        <v>-5.0999999999992884E-2</v>
      </c>
      <c r="M56" s="302">
        <f>F61-F56</f>
        <v>0</v>
      </c>
      <c r="N56" s="302">
        <f>SUM(K56:M56)</f>
        <v>-0.40599999999972508</v>
      </c>
    </row>
    <row r="57" spans="1:14" x14ac:dyDescent="0.2">
      <c r="A57" s="282" t="s">
        <v>356</v>
      </c>
      <c r="B57" s="302">
        <f>'Ind T6'!Q19</f>
        <v>0.46600000000714448</v>
      </c>
      <c r="C57" s="299" t="str">
        <f>CONCATENATE("(",ROUND((B57/$H58)*100,1),")")</f>
        <v>(21.2)</v>
      </c>
      <c r="D57" s="302">
        <f>'Ind T6'!R19</f>
        <v>7.3000000000233572E-2</v>
      </c>
      <c r="E57" s="299" t="str">
        <f>CONCATENATE("(",ROUND((D57/$H58)*100,1),")")</f>
        <v>(3.3)</v>
      </c>
      <c r="F57" s="302">
        <f>'Ind T6'!S19</f>
        <v>0</v>
      </c>
      <c r="G57" s="299" t="str">
        <f>CONCATENATE("(",ROUND((F57/$H58)*100,1),")")</f>
        <v>(0)</v>
      </c>
      <c r="H57" s="302">
        <f t="shared" ref="H57" si="56">SUM(B57,D57,F57)</f>
        <v>0.53900000000737802</v>
      </c>
      <c r="I57" s="299" t="str">
        <f>CONCATENATE("(",ROUND((H57/$H58)*100,1),")")</f>
        <v>(24.5)</v>
      </c>
      <c r="K57" s="302">
        <f t="shared" ref="K57:K58" si="57">B62-B57</f>
        <v>-0.13000000000738154</v>
      </c>
      <c r="L57" s="302">
        <f t="shared" ref="L57:L58" si="58">D62-D57</f>
        <v>-1.6000000000376165E-2</v>
      </c>
      <c r="M57" s="302">
        <f t="shared" ref="M57:M58" si="59">F62-F57</f>
        <v>0</v>
      </c>
      <c r="N57" s="302">
        <f t="shared" ref="N57:N58" si="60">SUM(K57:M57)</f>
        <v>-0.1460000000077577</v>
      </c>
    </row>
    <row r="58" spans="1:14" x14ac:dyDescent="0.2">
      <c r="A58" s="282" t="s">
        <v>354</v>
      </c>
      <c r="B58" s="302">
        <f>SUM(B56:B57)</f>
        <v>1.8750000000208469</v>
      </c>
      <c r="C58" s="299" t="str">
        <f>CONCATENATE("(",ROUND((B58/$H58)*100,1),")")</f>
        <v>(85.4)</v>
      </c>
      <c r="D58" s="302">
        <f>SUM(D56:D57)</f>
        <v>0.32100000000285378</v>
      </c>
      <c r="E58" s="299" t="str">
        <f>CONCATENATE("(",ROUND((D58/$H58)*100,1),")")</f>
        <v>(14.6)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2.1960000000237008</v>
      </c>
      <c r="I58" s="299" t="str">
        <f>CONCATENATE("(",ROUND((H58/$H58)*100,1),")")</f>
        <v>(100)</v>
      </c>
      <c r="K58" s="302">
        <f t="shared" si="57"/>
        <v>-0.48500000000711374</v>
      </c>
      <c r="L58" s="302">
        <f t="shared" si="58"/>
        <v>-6.7000000000369098E-2</v>
      </c>
      <c r="M58" s="302">
        <f t="shared" si="59"/>
        <v>0</v>
      </c>
      <c r="N58" s="302">
        <f t="shared" si="60"/>
        <v>-0.55200000000748284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355</v>
      </c>
      <c r="B61" s="302">
        <f>'Ind T6'!V20</f>
        <v>1.0540000000139702</v>
      </c>
      <c r="C61" s="299" t="str">
        <f>CONCATENATE("(",ROUND((B61/$H63)*100,1),")")</f>
        <v>(64.1)</v>
      </c>
      <c r="D61" s="302">
        <f>'Ind T6'!W20</f>
        <v>0.1970000000026273</v>
      </c>
      <c r="E61" s="299" t="str">
        <f>CONCATENATE("(",ROUND((D61/$H63)*100,1),")")</f>
        <v>(12)</v>
      </c>
      <c r="F61" s="302">
        <f>'Ind T6'!X20</f>
        <v>0</v>
      </c>
      <c r="G61" s="299" t="str">
        <f>CONCATENATE("(",ROUND((F61/$H63)*100,1),")")</f>
        <v>(0)</v>
      </c>
      <c r="H61" s="302">
        <f>SUM(B61,D61,F61)</f>
        <v>1.2510000000165975</v>
      </c>
      <c r="I61" s="299" t="str">
        <f>CONCATENATE("(",ROUND((H61/$H63)*100,1),")")</f>
        <v>(76.1)</v>
      </c>
      <c r="K61" s="302">
        <f>B61-B51</f>
        <v>-0.68799999999622163</v>
      </c>
      <c r="L61" s="302">
        <f>D61-D51</f>
        <v>-9.6999999999852649E-2</v>
      </c>
      <c r="M61" s="302">
        <f>F61-F51</f>
        <v>0</v>
      </c>
      <c r="N61" s="302">
        <f>SUM(K61:M61)</f>
        <v>-0.78499999999607428</v>
      </c>
    </row>
    <row r="62" spans="1:14" x14ac:dyDescent="0.2">
      <c r="A62" s="282" t="s">
        <v>356</v>
      </c>
      <c r="B62" s="302">
        <f>'Ind T6'!V19</f>
        <v>0.33599999999976293</v>
      </c>
      <c r="C62" s="299" t="str">
        <f>CONCATENATE("(",ROUND((B62/$H63)*100,1),")")</f>
        <v>(20.4)</v>
      </c>
      <c r="D62" s="302">
        <f>'Ind T6'!W19</f>
        <v>5.6999999999857408E-2</v>
      </c>
      <c r="E62" s="299" t="str">
        <f>CONCATENATE("(",ROUND((D62/$H63)*100,1),")")</f>
        <v>(3.5)</v>
      </c>
      <c r="F62" s="302">
        <f>'Ind T6'!X19</f>
        <v>0</v>
      </c>
      <c r="G62" s="299" t="str">
        <f>CONCATENATE("(",ROUND((F62/$H63)*100,1),")")</f>
        <v>(0)</v>
      </c>
      <c r="H62" s="302">
        <f t="shared" ref="H62" si="61">SUM(B62,D62,F62)</f>
        <v>0.39299999999962032</v>
      </c>
      <c r="I62" s="299" t="str">
        <f>CONCATENATE("(",ROUND((H62/$H63)*100,1),")")</f>
        <v>(23.9)</v>
      </c>
      <c r="K62" s="302">
        <f t="shared" ref="K62:K63" si="62">B62-B52</f>
        <v>-0.24199999999852906</v>
      </c>
      <c r="L62" s="302">
        <f t="shared" ref="L62:L63" si="63">D62-D52</f>
        <v>-3.200000000035285E-2</v>
      </c>
      <c r="M62" s="302">
        <f t="shared" ref="M62:M63" si="64">F62-F52</f>
        <v>0</v>
      </c>
      <c r="N62" s="302">
        <f t="shared" ref="N62:N63" si="65">SUM(K62:M62)</f>
        <v>-0.27399999999888192</v>
      </c>
    </row>
    <row r="63" spans="1:14" x14ac:dyDescent="0.2">
      <c r="A63" s="282" t="s">
        <v>354</v>
      </c>
      <c r="B63" s="302">
        <f>SUM(B61:B62)</f>
        <v>1.3900000000137331</v>
      </c>
      <c r="C63" s="299" t="str">
        <f>CONCATENATE("(",ROUND((B63/$H63)*100,1),")")</f>
        <v>(84.5)</v>
      </c>
      <c r="D63" s="302">
        <f>SUM(D61:D62)</f>
        <v>0.25400000000248468</v>
      </c>
      <c r="E63" s="299" t="str">
        <f>CONCATENATE("(",ROUND((D63/$H63)*100,1),")")</f>
        <v>(15.5)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1.6440000000162178</v>
      </c>
      <c r="I63" s="299" t="str">
        <f>CONCATENATE("(",ROUND((H63/$H63)*100,1),")")</f>
        <v>(100)</v>
      </c>
      <c r="K63" s="302">
        <f t="shared" si="62"/>
        <v>-0.92999999999475058</v>
      </c>
      <c r="L63" s="302">
        <f t="shared" si="63"/>
        <v>-0.12900000000020551</v>
      </c>
      <c r="M63" s="302">
        <f t="shared" si="64"/>
        <v>0</v>
      </c>
      <c r="N63" s="302">
        <f t="shared" si="65"/>
        <v>-1.0589999999949562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379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377</v>
      </c>
    </row>
    <row r="70" spans="1:14" x14ac:dyDescent="0.2">
      <c r="A70" s="181" t="s">
        <v>378</v>
      </c>
      <c r="B70" s="369" t="s">
        <v>376</v>
      </c>
      <c r="C70" s="369"/>
      <c r="D70" s="369" t="s">
        <v>375</v>
      </c>
      <c r="E70" s="369"/>
      <c r="F70" s="369" t="s">
        <v>374</v>
      </c>
      <c r="G70" s="369"/>
      <c r="H70" s="369" t="s">
        <v>32</v>
      </c>
      <c r="I70" s="369"/>
      <c r="J70" s="181"/>
      <c r="K70" s="297" t="s">
        <v>339</v>
      </c>
      <c r="L70" s="297" t="s">
        <v>341</v>
      </c>
      <c r="M70" s="297" t="s">
        <v>337</v>
      </c>
      <c r="N70" s="297" t="s">
        <v>32</v>
      </c>
    </row>
    <row r="71" spans="1:14" x14ac:dyDescent="0.2">
      <c r="A71" s="292">
        <f>$A$8</f>
        <v>2020</v>
      </c>
      <c r="B71" s="287" t="s">
        <v>60</v>
      </c>
      <c r="C71" s="19" t="s">
        <v>373</v>
      </c>
      <c r="D71" s="287" t="s">
        <v>60</v>
      </c>
      <c r="E71" s="19" t="s">
        <v>373</v>
      </c>
      <c r="F71" s="287" t="s">
        <v>60</v>
      </c>
      <c r="G71" s="19" t="s">
        <v>373</v>
      </c>
      <c r="H71" s="287" t="s">
        <v>60</v>
      </c>
      <c r="I71" s="19" t="s">
        <v>373</v>
      </c>
      <c r="J71" s="181"/>
      <c r="K71" s="286" t="str">
        <f>CONCATENATE(A71," - ",A76)</f>
        <v>2020 - 2025</v>
      </c>
      <c r="L71" s="285"/>
      <c r="M71" s="285"/>
    </row>
    <row r="72" spans="1:14" x14ac:dyDescent="0.2">
      <c r="A72" s="282" t="s">
        <v>355</v>
      </c>
      <c r="B72" s="302">
        <f>'Ind T6'!L40</f>
        <v>21.828999999549694</v>
      </c>
      <c r="C72" s="299" t="str">
        <f>CONCATENATE("(",ROUND((B72/$H74)*100,1),")")</f>
        <v>(48.9)</v>
      </c>
      <c r="D72" s="302">
        <f>'Ind T6'!M40</f>
        <v>2.8829999999617355</v>
      </c>
      <c r="E72" s="299" t="str">
        <f>CONCATENATE("(",ROUND((D72/$H74)*100,1),")")</f>
        <v>(6.5)</v>
      </c>
      <c r="F72" s="302">
        <f>'Ind T6'!N40</f>
        <v>1.9839999999917519</v>
      </c>
      <c r="G72" s="299" t="str">
        <f>CONCATENATE("(",ROUND((F72/$H74)*100,1),")")</f>
        <v>(4.4)</v>
      </c>
      <c r="H72" s="302">
        <f>SUM(B72,D72,F72)</f>
        <v>26.695999999503183</v>
      </c>
      <c r="I72" s="299" t="str">
        <f>CONCATENATE("(",ROUND((H72/$H74)*100,1),")")</f>
        <v>(59.8)</v>
      </c>
      <c r="K72" s="302">
        <f>B77-B72</f>
        <v>-5.7999999956034998E-2</v>
      </c>
      <c r="L72" s="302">
        <f>D77-D72</f>
        <v>2.400000000548852E-2</v>
      </c>
      <c r="M72" s="302">
        <f>F77-F72</f>
        <v>3.3999999994233754E-2</v>
      </c>
      <c r="N72" s="302">
        <f>SUM(K72:M72)</f>
        <v>4.368727601899991E-11</v>
      </c>
    </row>
    <row r="73" spans="1:14" x14ac:dyDescent="0.2">
      <c r="A73" s="282" t="s">
        <v>356</v>
      </c>
      <c r="B73" s="302">
        <f>'Ind T6'!L39</f>
        <v>12.86199999983536</v>
      </c>
      <c r="C73" s="299" t="str">
        <f>CONCATENATE("(",ROUND((B73/$H74)*100,1),")")</f>
        <v>(28.8)</v>
      </c>
      <c r="D73" s="302">
        <f>'Ind T6'!M39</f>
        <v>3.5970000000150324</v>
      </c>
      <c r="E73" s="299" t="str">
        <f>CONCATENATE("(",ROUND((D73/$H74)*100,1),")")</f>
        <v>(8.1)</v>
      </c>
      <c r="F73" s="302">
        <f>'Ind T6'!N39</f>
        <v>1.4699999999615558</v>
      </c>
      <c r="G73" s="299" t="str">
        <f>CONCATENATE("(",ROUND((F73/$H74)*100,1),")")</f>
        <v>(3.3)</v>
      </c>
      <c r="H73" s="302">
        <f t="shared" ref="H73" si="66">SUM(B73,D73,F73)</f>
        <v>17.928999999811946</v>
      </c>
      <c r="I73" s="299" t="str">
        <f>CONCATENATE("(",ROUND((H73/$H74)*100,1),")")</f>
        <v>(40.2)</v>
      </c>
      <c r="K73" s="302">
        <f t="shared" ref="K73:K74" si="67">B78-B73</f>
        <v>0.59000000035681666</v>
      </c>
      <c r="L73" s="302">
        <f t="shared" ref="L73:L74" si="68">D78-D73</f>
        <v>2.2000000044904322E-2</v>
      </c>
      <c r="M73" s="302">
        <f t="shared" ref="M73:M74" si="69">F78-F73</f>
        <v>5.4000000022970118E-2</v>
      </c>
      <c r="N73" s="302">
        <f t="shared" ref="N73:N74" si="70">SUM(K73:M73)</f>
        <v>0.6660000004246911</v>
      </c>
    </row>
    <row r="74" spans="1:14" x14ac:dyDescent="0.2">
      <c r="A74" s="282" t="s">
        <v>354</v>
      </c>
      <c r="B74" s="302">
        <f>SUM(B72:B73)</f>
        <v>34.690999999385056</v>
      </c>
      <c r="C74" s="299" t="str">
        <f>CONCATENATE("(",ROUND((B74/$H74)*100,1),")")</f>
        <v>(77.7)</v>
      </c>
      <c r="D74" s="302">
        <f>SUM(D72:D73)</f>
        <v>6.4799999999767675</v>
      </c>
      <c r="E74" s="299" t="str">
        <f>CONCATENATE("(",ROUND((D74/$H74)*100,1),")")</f>
        <v>(14.5)</v>
      </c>
      <c r="F74" s="302">
        <f>SUM(F72:F73)</f>
        <v>3.4539999999533078</v>
      </c>
      <c r="G74" s="299" t="str">
        <f>CONCATENATE("(",ROUND((F74/$H74)*100,1),")")</f>
        <v>(7.7)</v>
      </c>
      <c r="H74" s="302">
        <f>SUM(H72:H73)</f>
        <v>44.624999999315129</v>
      </c>
      <c r="I74" s="299" t="str">
        <f>CONCATENATE("(",ROUND((H74/$H74)*100,1),")")</f>
        <v>(100)</v>
      </c>
      <c r="K74" s="302">
        <f t="shared" si="67"/>
        <v>0.53200000040077811</v>
      </c>
      <c r="L74" s="302">
        <f t="shared" si="68"/>
        <v>4.6000000050392842E-2</v>
      </c>
      <c r="M74" s="302">
        <f t="shared" si="69"/>
        <v>8.800000001720365E-2</v>
      </c>
      <c r="N74" s="302">
        <f t="shared" si="70"/>
        <v>0.6660000004683746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355</v>
      </c>
      <c r="B77" s="302">
        <f>'Ind T6'!Q40</f>
        <v>21.770999999593659</v>
      </c>
      <c r="C77" s="299" t="str">
        <f>CONCATENATE("(",ROUND((B77/$H79)*100,1),")")</f>
        <v>(48.1)</v>
      </c>
      <c r="D77" s="302">
        <f>'Ind T6'!R40</f>
        <v>2.906999999967224</v>
      </c>
      <c r="E77" s="299" t="str">
        <f>CONCATENATE("(",ROUND((D77/$H79)*100,1),")")</f>
        <v>(6.4)</v>
      </c>
      <c r="F77" s="302">
        <f>'Ind T6'!S40</f>
        <v>2.0179999999859857</v>
      </c>
      <c r="G77" s="299" t="str">
        <f>CONCATENATE("(",ROUND((F77/$H79)*100,1),")")</f>
        <v>(4.5)</v>
      </c>
      <c r="H77" s="302">
        <f>SUM(B77,D77,F77)</f>
        <v>26.695999999546867</v>
      </c>
      <c r="I77" s="299" t="str">
        <f>CONCATENATE("(",ROUND((H77/$H79)*100,1),")")</f>
        <v>(58.9)</v>
      </c>
      <c r="K77" s="302">
        <f>B82-B77</f>
        <v>-1.1490000002191394</v>
      </c>
      <c r="L77" s="302">
        <f>D82-D77</f>
        <v>-9.1000000008266912E-2</v>
      </c>
      <c r="M77" s="302">
        <f>F82-F77</f>
        <v>4.0000000022710758E-3</v>
      </c>
      <c r="N77" s="302">
        <f>SUM(K77:M77)</f>
        <v>-1.2360000002251352</v>
      </c>
    </row>
    <row r="78" spans="1:14" x14ac:dyDescent="0.2">
      <c r="A78" s="282" t="s">
        <v>356</v>
      </c>
      <c r="B78" s="302">
        <f>'Ind T6'!Q39</f>
        <v>13.452000000192177</v>
      </c>
      <c r="C78" s="299" t="str">
        <f>CONCATENATE("(",ROUND((B78/$H79)*100,1),")")</f>
        <v>(29.7)</v>
      </c>
      <c r="D78" s="302">
        <f>'Ind T6'!R39</f>
        <v>3.6190000000599367</v>
      </c>
      <c r="E78" s="299" t="str">
        <f>CONCATENATE("(",ROUND((D78/$H79)*100,1),")")</f>
        <v>(8)</v>
      </c>
      <c r="F78" s="302">
        <f>'Ind T6'!S39</f>
        <v>1.523999999984526</v>
      </c>
      <c r="G78" s="299" t="str">
        <f>CONCATENATE("(",ROUND((F78/$H79)*100,1),")")</f>
        <v>(3.4)</v>
      </c>
      <c r="H78" s="302">
        <f t="shared" ref="H78" si="71">SUM(B78,D78,F78)</f>
        <v>18.595000000236638</v>
      </c>
      <c r="I78" s="299" t="str">
        <f>CONCATENATE("(",ROUND((H78/$H79)*100,1),")")</f>
        <v>(41.1)</v>
      </c>
      <c r="K78" s="302">
        <f t="shared" ref="K78:K79" si="72">B83-B78</f>
        <v>0.46099999976447847</v>
      </c>
      <c r="L78" s="302">
        <f t="shared" ref="L78:L79" si="73">D83-D78</f>
        <v>-0.1400000000890036</v>
      </c>
      <c r="M78" s="302">
        <f t="shared" ref="M78:M79" si="74">F83-F78</f>
        <v>1.3000000009758317E-2</v>
      </c>
      <c r="N78" s="302">
        <f t="shared" ref="N78:N79" si="75">SUM(K78:M78)</f>
        <v>0.3339999996852332</v>
      </c>
    </row>
    <row r="79" spans="1:14" x14ac:dyDescent="0.2">
      <c r="A79" s="282" t="s">
        <v>354</v>
      </c>
      <c r="B79" s="302">
        <f>SUM(B77:B78)</f>
        <v>35.222999999785834</v>
      </c>
      <c r="C79" s="299" t="str">
        <f>CONCATENATE("(",ROUND((B79/$H79)*100,1),")")</f>
        <v>(77.8)</v>
      </c>
      <c r="D79" s="302">
        <f>SUM(D77:D78)</f>
        <v>6.5260000000271603</v>
      </c>
      <c r="E79" s="299" t="str">
        <f>CONCATENATE("(",ROUND((D79/$H79)*100,1),")")</f>
        <v>(14.4)</v>
      </c>
      <c r="F79" s="302">
        <f>SUM(F77:F78)</f>
        <v>3.5419999999705114</v>
      </c>
      <c r="G79" s="299" t="str">
        <f>CONCATENATE("(",ROUND((F79/$H79)*100,1),")")</f>
        <v>(7.8)</v>
      </c>
      <c r="H79" s="302">
        <f>SUM(H77:H78)</f>
        <v>45.290999999783509</v>
      </c>
      <c r="I79" s="299" t="str">
        <f>CONCATENATE("(",ROUND((H79/$H79)*100,1),")")</f>
        <v>(100)</v>
      </c>
      <c r="K79" s="302">
        <f t="shared" si="72"/>
        <v>-0.68800000045465737</v>
      </c>
      <c r="L79" s="302">
        <f t="shared" si="73"/>
        <v>-0.23100000009726962</v>
      </c>
      <c r="M79" s="302">
        <f t="shared" si="74"/>
        <v>1.7000000012029837E-2</v>
      </c>
      <c r="N79" s="302">
        <f t="shared" si="75"/>
        <v>-0.90200000053989715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355</v>
      </c>
      <c r="B82" s="302">
        <f>'Ind T6'!V40</f>
        <v>20.62199999937452</v>
      </c>
      <c r="C82" s="299" t="str">
        <f>CONCATENATE("(",ROUND((B82/$H84)*100,1),")")</f>
        <v>(46.5)</v>
      </c>
      <c r="D82" s="302">
        <f>'Ind T6'!W40</f>
        <v>2.8159999999589571</v>
      </c>
      <c r="E82" s="299" t="str">
        <f>CONCATENATE("(",ROUND((D82/$H84)*100,1),")")</f>
        <v>(6.3)</v>
      </c>
      <c r="F82" s="302">
        <f>'Ind T6'!X40</f>
        <v>2.0219999999882567</v>
      </c>
      <c r="G82" s="299" t="str">
        <f>CONCATENATE("(",ROUND((F82/$H84)*100,1),")")</f>
        <v>(4.6)</v>
      </c>
      <c r="H82" s="302">
        <f>SUM(B82,D82,F82)</f>
        <v>25.459999999321735</v>
      </c>
      <c r="I82" s="299" t="str">
        <f>CONCATENATE("(",ROUND((H82/$H84)*100,1),")")</f>
        <v>(57.4)</v>
      </c>
      <c r="K82" s="302">
        <f>B82-B72</f>
        <v>-1.2070000001751744</v>
      </c>
      <c r="L82" s="302">
        <f>D82-D72</f>
        <v>-6.7000000002778393E-2</v>
      </c>
      <c r="M82" s="302">
        <f>F82-F72</f>
        <v>3.799999999650483E-2</v>
      </c>
      <c r="N82" s="302">
        <f>SUM(K82:M82)</f>
        <v>-1.236000000181448</v>
      </c>
    </row>
    <row r="83" spans="1:14" x14ac:dyDescent="0.2">
      <c r="A83" s="282" t="s">
        <v>356</v>
      </c>
      <c r="B83" s="302">
        <f>'Ind T6'!V39</f>
        <v>13.912999999956655</v>
      </c>
      <c r="C83" s="299" t="str">
        <f>CONCATENATE("(",ROUND((B83/$H84)*100,1),")")</f>
        <v>(31.3)</v>
      </c>
      <c r="D83" s="302">
        <f>'Ind T6'!W39</f>
        <v>3.4789999999709331</v>
      </c>
      <c r="E83" s="299" t="str">
        <f>CONCATENATE("(",ROUND((D83/$H84)*100,1),")")</f>
        <v>(7.8)</v>
      </c>
      <c r="F83" s="302">
        <f>'Ind T6'!X39</f>
        <v>1.5369999999942843</v>
      </c>
      <c r="G83" s="299" t="str">
        <f>CONCATENATE("(",ROUND((F83/$H84)*100,1),")")</f>
        <v>(3.5)</v>
      </c>
      <c r="H83" s="302">
        <f t="shared" ref="H83" si="76">SUM(B83,D83,F83)</f>
        <v>18.928999999921871</v>
      </c>
      <c r="I83" s="299" t="str">
        <f>CONCATENATE("(",ROUND((H83/$H84)*100,1),")")</f>
        <v>(42.6)</v>
      </c>
      <c r="K83" s="302">
        <f t="shared" ref="K83:K84" si="77">B83-B73</f>
        <v>1.0510000001212951</v>
      </c>
      <c r="L83" s="302">
        <f t="shared" ref="L83:L84" si="78">D83-D73</f>
        <v>-0.11800000004409927</v>
      </c>
      <c r="M83" s="302">
        <f t="shared" ref="M83:M84" si="79">F83-F73</f>
        <v>6.7000000032728435E-2</v>
      </c>
      <c r="N83" s="302">
        <f t="shared" ref="N83:N84" si="80">SUM(K83:M83)</f>
        <v>1.0000000001099243</v>
      </c>
    </row>
    <row r="84" spans="1:14" x14ac:dyDescent="0.2">
      <c r="A84" s="282" t="s">
        <v>354</v>
      </c>
      <c r="B84" s="302">
        <f>SUM(B82:B83)</f>
        <v>34.534999999331177</v>
      </c>
      <c r="C84" s="299" t="str">
        <f>CONCATENATE("(",ROUND((B84/$H84)*100,1),")")</f>
        <v>(77.8)</v>
      </c>
      <c r="D84" s="302">
        <f>SUM(D82:D83)</f>
        <v>6.2949999999298907</v>
      </c>
      <c r="E84" s="299" t="str">
        <f>CONCATENATE("(",ROUND((D84/$H84)*100,1),")")</f>
        <v>(14.2)</v>
      </c>
      <c r="F84" s="302">
        <f>SUM(F82:F83)</f>
        <v>3.5589999999825412</v>
      </c>
      <c r="G84" s="299" t="str">
        <f>CONCATENATE("(",ROUND((F84/$H84)*100,1),")")</f>
        <v>(8)</v>
      </c>
      <c r="H84" s="302">
        <f>SUM(H82:H83)</f>
        <v>44.388999999243609</v>
      </c>
      <c r="I84" s="299" t="str">
        <f>CONCATENATE("(",ROUND((H84/$H84)*100,1),")")</f>
        <v>(100)</v>
      </c>
      <c r="K84" s="302">
        <f t="shared" si="77"/>
        <v>-0.15600000005387926</v>
      </c>
      <c r="L84" s="302">
        <f t="shared" si="78"/>
        <v>-0.18500000004687678</v>
      </c>
      <c r="M84" s="302">
        <f t="shared" si="79"/>
        <v>0.10500000002923349</v>
      </c>
      <c r="N84" s="302">
        <f t="shared" si="80"/>
        <v>-0.23600000007152255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379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377</v>
      </c>
    </row>
    <row r="91" spans="1:14" x14ac:dyDescent="0.2">
      <c r="A91" s="181" t="s">
        <v>378</v>
      </c>
      <c r="B91" s="369" t="s">
        <v>376</v>
      </c>
      <c r="C91" s="369"/>
      <c r="D91" s="369" t="s">
        <v>375</v>
      </c>
      <c r="E91" s="369"/>
      <c r="F91" s="369" t="s">
        <v>374</v>
      </c>
      <c r="G91" s="369"/>
      <c r="H91" s="369" t="s">
        <v>32</v>
      </c>
      <c r="I91" s="369"/>
      <c r="J91" s="181"/>
      <c r="K91" s="297" t="s">
        <v>339</v>
      </c>
      <c r="L91" s="297" t="s">
        <v>341</v>
      </c>
      <c r="M91" s="297" t="s">
        <v>337</v>
      </c>
      <c r="N91" s="297" t="s">
        <v>32</v>
      </c>
    </row>
    <row r="92" spans="1:14" x14ac:dyDescent="0.2">
      <c r="A92" s="292">
        <f>$A$8</f>
        <v>2020</v>
      </c>
      <c r="B92" s="287" t="s">
        <v>60</v>
      </c>
      <c r="C92" s="19" t="s">
        <v>373</v>
      </c>
      <c r="D92" s="287" t="s">
        <v>60</v>
      </c>
      <c r="E92" s="19" t="s">
        <v>373</v>
      </c>
      <c r="F92" s="287" t="s">
        <v>60</v>
      </c>
      <c r="G92" s="19" t="s">
        <v>373</v>
      </c>
      <c r="H92" s="287" t="s">
        <v>60</v>
      </c>
      <c r="I92" s="19" t="s">
        <v>373</v>
      </c>
      <c r="J92" s="181"/>
      <c r="K92" s="286" t="str">
        <f>CONCATENATE(A92," - ",A97)</f>
        <v>2020 - 2025</v>
      </c>
      <c r="L92" s="285"/>
      <c r="M92" s="285"/>
    </row>
    <row r="93" spans="1:14" x14ac:dyDescent="0.2">
      <c r="A93" s="282" t="s">
        <v>355</v>
      </c>
      <c r="B93" s="302">
        <f>'Ind T6'!L65</f>
        <v>8.2309999999763335</v>
      </c>
      <c r="C93" s="299" t="str">
        <f>CONCATENATE("(",ROUND((B93/$H95)*100,1),")")</f>
        <v>(60)</v>
      </c>
      <c r="D93" s="302">
        <f>'Ind T6'!M65</f>
        <v>0.28799999999911097</v>
      </c>
      <c r="E93" s="299" t="str">
        <f>CONCATENATE("(",ROUND((D93/$H95)*100,1),")")</f>
        <v>(2.1)</v>
      </c>
      <c r="F93" s="302">
        <f>'Ind T6'!N65</f>
        <v>1.1509999999961864</v>
      </c>
      <c r="G93" s="299" t="str">
        <f>CONCATENATE("(",ROUND((F93/$H95)*100,1),")")</f>
        <v>(8.4)</v>
      </c>
      <c r="H93" s="302">
        <f>SUM(B93,D93,F93)</f>
        <v>9.6699999999716297</v>
      </c>
      <c r="I93" s="299" t="str">
        <f>CONCATENATE("(",ROUND((H93/$H95)*100,1),")")</f>
        <v>(70.5)</v>
      </c>
      <c r="K93" s="302">
        <f>B98-B93</f>
        <v>2.1910000000040277</v>
      </c>
      <c r="L93" s="302">
        <f>D98-D93</f>
        <v>9.4999999999501816E-2</v>
      </c>
      <c r="M93" s="302">
        <f>F98-F93</f>
        <v>0.38599999999617207</v>
      </c>
      <c r="N93" s="302">
        <f>SUM(K93:M93)</f>
        <v>2.6719999999997017</v>
      </c>
    </row>
    <row r="94" spans="1:14" x14ac:dyDescent="0.2">
      <c r="A94" s="282" t="s">
        <v>356</v>
      </c>
      <c r="B94" s="302">
        <f>'Ind T6'!L64</f>
        <v>3.2939999999916356</v>
      </c>
      <c r="C94" s="299" t="str">
        <f>CONCATENATE("(",ROUND((B94/$H95)*100,1),")")</f>
        <v>(24)</v>
      </c>
      <c r="D94" s="302">
        <f>'Ind T6'!M64</f>
        <v>0.30599999999708372</v>
      </c>
      <c r="E94" s="299" t="str">
        <f>CONCATENATE("(",ROUND((D94/$H95)*100,1),")")</f>
        <v>(2.2)</v>
      </c>
      <c r="F94" s="302">
        <f>'Ind T6'!N64</f>
        <v>0.45300000000649637</v>
      </c>
      <c r="G94" s="299" t="str">
        <f>CONCATENATE("(",ROUND((F94/$H95)*100,1),")")</f>
        <v>(3.3)</v>
      </c>
      <c r="H94" s="302">
        <f t="shared" ref="H94" si="81">SUM(B94,D94,F94)</f>
        <v>4.0529999999952153</v>
      </c>
      <c r="I94" s="299" t="str">
        <f>CONCATENATE("(",ROUND((H94/$H95)*100,1),")")</f>
        <v>(29.5)</v>
      </c>
      <c r="K94" s="302">
        <f t="shared" ref="K94:K95" si="82">B99-B94</f>
        <v>0.75000000006665779</v>
      </c>
      <c r="L94" s="302">
        <f t="shared" ref="L94:L95" si="83">D99-D94</f>
        <v>9.0999999997801007E-2</v>
      </c>
      <c r="M94" s="302">
        <f t="shared" ref="M94:M95" si="84">F99-F94</f>
        <v>9.6999999992949559E-2</v>
      </c>
      <c r="N94" s="302">
        <f t="shared" ref="N94:N95" si="85">SUM(K94:M94)</f>
        <v>0.93800000005740847</v>
      </c>
    </row>
    <row r="95" spans="1:14" x14ac:dyDescent="0.2">
      <c r="A95" s="282" t="s">
        <v>354</v>
      </c>
      <c r="B95" s="302">
        <f>SUM(B93:B94)</f>
        <v>11.524999999967969</v>
      </c>
      <c r="C95" s="299" t="str">
        <f>CONCATENATE("(",ROUND((B95/$H95)*100,1),")")</f>
        <v>(84)</v>
      </c>
      <c r="D95" s="302">
        <f>SUM(D93:D94)</f>
        <v>0.59399999999619468</v>
      </c>
      <c r="E95" s="299" t="str">
        <f>CONCATENATE("(",ROUND((D95/$H95)*100,1),")")</f>
        <v>(4.3)</v>
      </c>
      <c r="F95" s="302">
        <f>SUM(F93:F94)</f>
        <v>1.6040000000026828</v>
      </c>
      <c r="G95" s="299" t="str">
        <f>CONCATENATE("(",ROUND((F95/$H95)*100,1),")")</f>
        <v>(11.7)</v>
      </c>
      <c r="H95" s="302">
        <f>SUM(H93:H94)</f>
        <v>13.722999999966845</v>
      </c>
      <c r="I95" s="299" t="str">
        <f>CONCATENATE("(",ROUND((H95/$H95)*100,1),")")</f>
        <v>(100)</v>
      </c>
      <c r="K95" s="302">
        <f t="shared" si="82"/>
        <v>2.9410000000706855</v>
      </c>
      <c r="L95" s="302">
        <f t="shared" si="83"/>
        <v>0.18599999999730277</v>
      </c>
      <c r="M95" s="302">
        <f t="shared" si="84"/>
        <v>0.48299999998912169</v>
      </c>
      <c r="N95" s="302">
        <f t="shared" si="85"/>
        <v>3.6100000000571097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355</v>
      </c>
      <c r="B98" s="302">
        <f>'Ind T6'!Q65</f>
        <v>10.421999999980361</v>
      </c>
      <c r="C98" s="299" t="str">
        <f>CONCATENATE("(",ROUND((B98/$H100)*100,1),")")</f>
        <v>(60.1)</v>
      </c>
      <c r="D98" s="302">
        <f>'Ind T6'!R65</f>
        <v>0.38299999999861278</v>
      </c>
      <c r="E98" s="299" t="str">
        <f>CONCATENATE("(",ROUND((D98/$H100)*100,1),")")</f>
        <v>(2.2)</v>
      </c>
      <c r="F98" s="302">
        <f>'Ind T6'!S65</f>
        <v>1.5369999999923585</v>
      </c>
      <c r="G98" s="299" t="str">
        <f>CONCATENATE("(",ROUND((F98/$H100)*100,1),")")</f>
        <v>(8.9)</v>
      </c>
      <c r="H98" s="302">
        <f>SUM(B98,D98,F98)</f>
        <v>12.341999999971334</v>
      </c>
      <c r="I98" s="299" t="str">
        <f>CONCATENATE("(",ROUND((H98/$H100)*100,1),")")</f>
        <v>(71.2)</v>
      </c>
      <c r="K98" s="302">
        <f>B103-B98</f>
        <v>0.81100000001202943</v>
      </c>
      <c r="L98" s="302">
        <f>D103-D98</f>
        <v>5.8000000000275387E-2</v>
      </c>
      <c r="M98" s="302">
        <f>F103-F98</f>
        <v>0.23399999999611731</v>
      </c>
      <c r="N98" s="302">
        <f>SUM(K98:M98)</f>
        <v>1.1030000000084221</v>
      </c>
    </row>
    <row r="99" spans="1:14" x14ac:dyDescent="0.2">
      <c r="A99" s="282" t="s">
        <v>356</v>
      </c>
      <c r="B99" s="302">
        <f>'Ind T6'!Q64</f>
        <v>4.0440000000582934</v>
      </c>
      <c r="C99" s="299" t="str">
        <f>CONCATENATE("(",ROUND((B99/$H100)*100,1),")")</f>
        <v>(23.3)</v>
      </c>
      <c r="D99" s="302">
        <f>'Ind T6'!R64</f>
        <v>0.39699999999488472</v>
      </c>
      <c r="E99" s="299" t="str">
        <f>CONCATENATE("(",ROUND((D99/$H100)*100,1),")")</f>
        <v>(2.3)</v>
      </c>
      <c r="F99" s="302">
        <f>'Ind T6'!S64</f>
        <v>0.54999999999944593</v>
      </c>
      <c r="G99" s="299" t="str">
        <f>CONCATENATE("(",ROUND((F99/$H100)*100,1),")")</f>
        <v>(3.2)</v>
      </c>
      <c r="H99" s="302">
        <f t="shared" ref="H99" si="86">SUM(B99,D99,F99)</f>
        <v>4.9910000000526233</v>
      </c>
      <c r="I99" s="299" t="str">
        <f>CONCATENATE("(",ROUND((H99/$H100)*100,1),")")</f>
        <v>(28.8)</v>
      </c>
      <c r="K99" s="302">
        <f t="shared" ref="K99:K100" si="87">B104-B99</f>
        <v>1.999999944869657E-3</v>
      </c>
      <c r="L99" s="302">
        <f t="shared" ref="L99:L100" si="88">D104-D99</f>
        <v>2.7000000000889979E-2</v>
      </c>
      <c r="M99" s="302">
        <f t="shared" ref="M99:M100" si="89">F104-F99</f>
        <v>2.9999999996155768E-2</v>
      </c>
      <c r="N99" s="302">
        <f t="shared" ref="N99:N100" si="90">SUM(K99:M99)</f>
        <v>5.8999999941915404E-2</v>
      </c>
    </row>
    <row r="100" spans="1:14" x14ac:dyDescent="0.2">
      <c r="A100" s="282" t="s">
        <v>354</v>
      </c>
      <c r="B100" s="302">
        <f>SUM(B98:B99)</f>
        <v>14.466000000038655</v>
      </c>
      <c r="C100" s="299" t="str">
        <f>CONCATENATE("(",ROUND((B100/$H100)*100,1),")")</f>
        <v>(83.5)</v>
      </c>
      <c r="D100" s="302">
        <f>SUM(D98:D99)</f>
        <v>0.77999999999349745</v>
      </c>
      <c r="E100" s="299" t="str">
        <f>CONCATENATE("(",ROUND((D100/$H100)*100,1),")")</f>
        <v>(4.5)</v>
      </c>
      <c r="F100" s="302">
        <f>SUM(F98:F99)</f>
        <v>2.0869999999918045</v>
      </c>
      <c r="G100" s="299" t="str">
        <f>CONCATENATE("(",ROUND((F100/$H100)*100,1),")")</f>
        <v>(12)</v>
      </c>
      <c r="H100" s="302">
        <f>SUM(H98:H99)</f>
        <v>17.333000000023958</v>
      </c>
      <c r="I100" s="299" t="str">
        <f>CONCATENATE("(",ROUND((H100/$H100)*100,1),")")</f>
        <v>(100)</v>
      </c>
      <c r="K100" s="302">
        <f t="shared" si="87"/>
        <v>0.81299999995689909</v>
      </c>
      <c r="L100" s="302">
        <f t="shared" si="88"/>
        <v>8.5000000001165477E-2</v>
      </c>
      <c r="M100" s="302">
        <f t="shared" si="89"/>
        <v>0.26399999999227308</v>
      </c>
      <c r="N100" s="302">
        <f t="shared" si="90"/>
        <v>1.1619999999503376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355</v>
      </c>
      <c r="B103" s="302">
        <f>'Ind T6'!V65</f>
        <v>11.232999999992391</v>
      </c>
      <c r="C103" s="299" t="str">
        <f>CONCATENATE("(",ROUND((B103/$H105)*100,1),")")</f>
        <v>(60.7)</v>
      </c>
      <c r="D103" s="302">
        <f>'Ind T6'!W65</f>
        <v>0.44099999999888817</v>
      </c>
      <c r="E103" s="299" t="str">
        <f>CONCATENATE("(",ROUND((D103/$H105)*100,1),")")</f>
        <v>(2.4)</v>
      </c>
      <c r="F103" s="302">
        <f>'Ind T6'!X65</f>
        <v>1.7709999999884758</v>
      </c>
      <c r="G103" s="299" t="str">
        <f>CONCATENATE("(",ROUND((F103/$H105)*100,1),")")</f>
        <v>(9.6)</v>
      </c>
      <c r="H103" s="302">
        <f>SUM(B103,D103,F103)</f>
        <v>13.444999999979755</v>
      </c>
      <c r="I103" s="299" t="str">
        <f>CONCATENATE("(",ROUND((H103/$H105)*100,1),")")</f>
        <v>(72.7)</v>
      </c>
      <c r="K103" s="302">
        <f>B103-B93</f>
        <v>3.0020000000160572</v>
      </c>
      <c r="L103" s="302">
        <f>D103-D93</f>
        <v>0.1529999999997772</v>
      </c>
      <c r="M103" s="302">
        <f>F103-F93</f>
        <v>0.61999999999228939</v>
      </c>
      <c r="N103" s="302">
        <f>SUM(K103:M103)</f>
        <v>3.7750000000081236</v>
      </c>
    </row>
    <row r="104" spans="1:14" x14ac:dyDescent="0.2">
      <c r="A104" s="282" t="s">
        <v>356</v>
      </c>
      <c r="B104" s="302">
        <f>'Ind T6'!V64</f>
        <v>4.0460000000031631</v>
      </c>
      <c r="C104" s="299" t="str">
        <f>CONCATENATE("(",ROUND((B104/$H105)*100,1),")")</f>
        <v>(21.9)</v>
      </c>
      <c r="D104" s="302">
        <f>'Ind T6'!W64</f>
        <v>0.4239999999957747</v>
      </c>
      <c r="E104" s="299" t="str">
        <f>CONCATENATE("(",ROUND((D104/$H105)*100,1),")")</f>
        <v>(2.3)</v>
      </c>
      <c r="F104" s="302">
        <f>'Ind T6'!X64</f>
        <v>0.5799999999956017</v>
      </c>
      <c r="G104" s="299" t="str">
        <f>CONCATENATE("(",ROUND((F104/$H105)*100,1),")")</f>
        <v>(3.1)</v>
      </c>
      <c r="H104" s="302">
        <f t="shared" ref="H104" si="91">SUM(B104,D104,F104)</f>
        <v>5.0499999999945393</v>
      </c>
      <c r="I104" s="299" t="str">
        <f>CONCATENATE("(",ROUND((H104/$H105)*100,1),")")</f>
        <v>(27.3)</v>
      </c>
      <c r="K104" s="302">
        <f t="shared" ref="K104:K105" si="92">B104-B94</f>
        <v>0.75200000001152745</v>
      </c>
      <c r="L104" s="302">
        <f t="shared" ref="L104:L105" si="93">D104-D94</f>
        <v>0.11799999999869099</v>
      </c>
      <c r="M104" s="302">
        <f t="shared" ref="M104:M105" si="94">F104-F94</f>
        <v>0.12699999998910533</v>
      </c>
      <c r="N104" s="302">
        <f t="shared" ref="N104:N105" si="95">SUM(K104:M104)</f>
        <v>0.99699999999932376</v>
      </c>
    </row>
    <row r="105" spans="1:14" x14ac:dyDescent="0.2">
      <c r="A105" s="282" t="s">
        <v>354</v>
      </c>
      <c r="B105" s="302">
        <f>SUM(B103:B104)</f>
        <v>15.278999999995554</v>
      </c>
      <c r="C105" s="299" t="str">
        <f>CONCATENATE("(",ROUND((B105/$H105)*100,1),")")</f>
        <v>(82.6)</v>
      </c>
      <c r="D105" s="302">
        <f>SUM(D103:D104)</f>
        <v>0.86499999999466293</v>
      </c>
      <c r="E105" s="299" t="str">
        <f>CONCATENATE("(",ROUND((D105/$H105)*100,1),")")</f>
        <v>(4.7)</v>
      </c>
      <c r="F105" s="302">
        <f>SUM(F103:F104)</f>
        <v>2.3509999999840776</v>
      </c>
      <c r="G105" s="299" t="str">
        <f>CONCATENATE("(",ROUND((F105/$H105)*100,1),")")</f>
        <v>(12.7)</v>
      </c>
      <c r="H105" s="302">
        <f>SUM(H103:H104)</f>
        <v>18.494999999974294</v>
      </c>
      <c r="I105" s="299" t="str">
        <f>CONCATENATE("(",ROUND((H105/$H105)*100,1),")")</f>
        <v>(100)</v>
      </c>
      <c r="K105" s="302">
        <f t="shared" si="92"/>
        <v>3.7540000000275846</v>
      </c>
      <c r="L105" s="302">
        <f t="shared" si="93"/>
        <v>0.27099999999846824</v>
      </c>
      <c r="M105" s="302">
        <f t="shared" si="94"/>
        <v>0.74699999998139477</v>
      </c>
      <c r="N105" s="302">
        <f t="shared" si="95"/>
        <v>4.7720000000074467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1"/>
      <c r="E109" s="181"/>
      <c r="G109" s="181"/>
      <c r="I109" s="181"/>
    </row>
    <row r="110" spans="1:14" x14ac:dyDescent="0.2">
      <c r="A110" s="288"/>
      <c r="B110" s="289" t="s">
        <v>379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377</v>
      </c>
    </row>
    <row r="112" spans="1:14" x14ac:dyDescent="0.2">
      <c r="A112" s="181" t="s">
        <v>378</v>
      </c>
      <c r="B112" s="369" t="s">
        <v>376</v>
      </c>
      <c r="C112" s="369"/>
      <c r="D112" s="369" t="s">
        <v>375</v>
      </c>
      <c r="E112" s="369"/>
      <c r="F112" s="369" t="s">
        <v>374</v>
      </c>
      <c r="G112" s="369"/>
      <c r="H112" s="369" t="s">
        <v>32</v>
      </c>
      <c r="I112" s="369"/>
      <c r="J112" s="181"/>
      <c r="K112" s="297" t="s">
        <v>339</v>
      </c>
      <c r="L112" s="297" t="s">
        <v>341</v>
      </c>
      <c r="M112" s="297" t="s">
        <v>337</v>
      </c>
      <c r="N112" s="297" t="s">
        <v>32</v>
      </c>
    </row>
    <row r="113" spans="1:14" x14ac:dyDescent="0.2">
      <c r="A113" s="292">
        <f>$A$8</f>
        <v>2020</v>
      </c>
      <c r="B113" s="287" t="s">
        <v>60</v>
      </c>
      <c r="C113" s="19" t="s">
        <v>373</v>
      </c>
      <c r="D113" s="287" t="s">
        <v>60</v>
      </c>
      <c r="E113" s="19" t="s">
        <v>373</v>
      </c>
      <c r="F113" s="287" t="s">
        <v>60</v>
      </c>
      <c r="G113" s="19" t="s">
        <v>373</v>
      </c>
      <c r="H113" s="287" t="s">
        <v>60</v>
      </c>
      <c r="I113" s="19" t="s">
        <v>373</v>
      </c>
      <c r="J113" s="181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355</v>
      </c>
      <c r="B114" s="302">
        <f>'Ind T6'!L155</f>
        <v>43.322999999684939</v>
      </c>
      <c r="C114" s="299" t="str">
        <f>CONCATENATE("(",ROUND((B114/$H116)*100,1),")")</f>
        <v>(49.3)</v>
      </c>
      <c r="D114" s="302">
        <f>'Ind T6'!M155</f>
        <v>3.691999999957237</v>
      </c>
      <c r="E114" s="299" t="str">
        <f>CONCATENATE("(",ROUND((D114/$H116)*100,1),")")</f>
        <v>(4.2)</v>
      </c>
      <c r="F114" s="302">
        <f>'Ind T6'!N155</f>
        <v>15.510999999928998</v>
      </c>
      <c r="G114" s="299" t="str">
        <f>CONCATENATE("(",ROUND((F114/$H116)*100,1),")")</f>
        <v>(17.6)</v>
      </c>
      <c r="H114" s="302">
        <f>SUM(B114,D114,F114)</f>
        <v>62.525999999571177</v>
      </c>
      <c r="I114" s="299" t="str">
        <f>CONCATENATE("(",ROUND((H114/$H116)*100,1),")")</f>
        <v>(71.1)</v>
      </c>
      <c r="K114" s="302">
        <f>B119-B114</f>
        <v>-3.5249999998385277</v>
      </c>
      <c r="L114" s="302">
        <f>D119-D114</f>
        <v>-0.34500000000021158</v>
      </c>
      <c r="M114" s="302">
        <f>F119-F114</f>
        <v>-1.2830000000065542</v>
      </c>
      <c r="N114" s="302">
        <f>SUM(K114:M114)</f>
        <v>-5.152999999845294</v>
      </c>
    </row>
    <row r="115" spans="1:14" x14ac:dyDescent="0.2">
      <c r="A115" s="282" t="s">
        <v>356</v>
      </c>
      <c r="B115" s="302">
        <f>'Ind T6'!L154</f>
        <v>16.523999999937576</v>
      </c>
      <c r="C115" s="299" t="str">
        <f>CONCATENATE("(",ROUND((B115/$H116)*100,1),")")</f>
        <v>(18.8)</v>
      </c>
      <c r="D115" s="302">
        <f>'Ind T6'!M154</f>
        <v>3.9719999999730096</v>
      </c>
      <c r="E115" s="299" t="str">
        <f>CONCATENATE("(",ROUND((D115/$H116)*100,1),")")</f>
        <v>(4.5)</v>
      </c>
      <c r="F115" s="302">
        <f>'Ind T6'!N154</f>
        <v>4.93099999995726</v>
      </c>
      <c r="G115" s="299" t="str">
        <f>CONCATENATE("(",ROUND((F115/$H116)*100,1),")")</f>
        <v>(5.6)</v>
      </c>
      <c r="H115" s="302">
        <f t="shared" ref="H115" si="96">SUM(B115,D115,F115)</f>
        <v>25.426999999867846</v>
      </c>
      <c r="I115" s="299" t="str">
        <f>CONCATENATE("(",ROUND((H115/$H116)*100,1),")")</f>
        <v>(28.9)</v>
      </c>
      <c r="K115" s="302">
        <f t="shared" ref="K115:K116" si="97">B120-B115</f>
        <v>-1.3209999995667765</v>
      </c>
      <c r="L115" s="302">
        <f t="shared" ref="L115:L116" si="98">D120-D115</f>
        <v>-0.34699999999779374</v>
      </c>
      <c r="M115" s="302">
        <f t="shared" ref="M115:M116" si="99">F120-F115</f>
        <v>-0.59799999993691788</v>
      </c>
      <c r="N115" s="302">
        <f t="shared" ref="N115:N116" si="100">SUM(K115:M115)</f>
        <v>-2.2659999995014881</v>
      </c>
    </row>
    <row r="116" spans="1:14" x14ac:dyDescent="0.2">
      <c r="A116" s="282" t="s">
        <v>354</v>
      </c>
      <c r="B116" s="302">
        <f>SUM(B114:B115)</f>
        <v>59.846999999622511</v>
      </c>
      <c r="C116" s="299" t="str">
        <f>CONCATENATE("(",ROUND((B116/$H116)*100,1),")")</f>
        <v>(68)</v>
      </c>
      <c r="D116" s="302">
        <f>SUM(D114:D115)</f>
        <v>7.6639999999302466</v>
      </c>
      <c r="E116" s="299" t="str">
        <f>CONCATENATE("(",ROUND((D116/$H116)*100,1),")")</f>
        <v>(8.7)</v>
      </c>
      <c r="F116" s="302">
        <f>SUM(F114:F115)</f>
        <v>20.441999999886256</v>
      </c>
      <c r="G116" s="299" t="str">
        <f>CONCATENATE("(",ROUND((F116/$H116)*100,1),")")</f>
        <v>(23.2)</v>
      </c>
      <c r="H116" s="302">
        <f>SUM(H114:H115)</f>
        <v>87.952999999439015</v>
      </c>
      <c r="I116" s="299" t="str">
        <f>CONCATENATE("(",ROUND((H116/$H116)*100,1),")")</f>
        <v>(100)</v>
      </c>
      <c r="K116" s="302">
        <f t="shared" si="97"/>
        <v>-4.8459999994053007</v>
      </c>
      <c r="L116" s="302">
        <f t="shared" si="98"/>
        <v>-0.69199999999800532</v>
      </c>
      <c r="M116" s="302">
        <f t="shared" si="99"/>
        <v>-1.8809999999434694</v>
      </c>
      <c r="N116" s="302">
        <f t="shared" si="100"/>
        <v>-7.4189999993467755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355</v>
      </c>
      <c r="B119" s="302">
        <f>'Ind T6'!Q155</f>
        <v>39.797999999846411</v>
      </c>
      <c r="C119" s="299" t="str">
        <f>CONCATENATE("(",ROUND((B119/$H121)*100,1),")")</f>
        <v>(49.4)</v>
      </c>
      <c r="D119" s="302">
        <f>'Ind T6'!R155</f>
        <v>3.3469999999570255</v>
      </c>
      <c r="E119" s="299" t="str">
        <f>CONCATENATE("(",ROUND((D119/$H121)*100,1),")")</f>
        <v>(4.2)</v>
      </c>
      <c r="F119" s="302">
        <f>'Ind T6'!S155</f>
        <v>14.227999999922444</v>
      </c>
      <c r="G119" s="299" t="str">
        <f>CONCATENATE("(",ROUND((F119/$H121)*100,1),")")</f>
        <v>(17.7)</v>
      </c>
      <c r="H119" s="302">
        <f>SUM(B119,D119,F119)</f>
        <v>57.372999999725884</v>
      </c>
      <c r="I119" s="299" t="str">
        <f>CONCATENATE("(",ROUND((H119/$H121)*100,1),")")</f>
        <v>(71.2)</v>
      </c>
      <c r="K119" s="302">
        <f>B124-B119</f>
        <v>-5.7159999999697391</v>
      </c>
      <c r="L119" s="302">
        <f>D124-D119</f>
        <v>-0.47100000002205489</v>
      </c>
      <c r="M119" s="302">
        <f>F124-F119</f>
        <v>-1.3949999999827138</v>
      </c>
      <c r="N119" s="302">
        <f>SUM(K119:M119)</f>
        <v>-7.5819999999745082</v>
      </c>
    </row>
    <row r="120" spans="1:14" x14ac:dyDescent="0.2">
      <c r="A120" s="282" t="s">
        <v>356</v>
      </c>
      <c r="B120" s="302">
        <f>'Ind T6'!Q154</f>
        <v>15.2030000003708</v>
      </c>
      <c r="C120" s="299" t="str">
        <f>CONCATENATE("(",ROUND((B120/$H121)*100,1),")")</f>
        <v>(18.9)</v>
      </c>
      <c r="D120" s="302">
        <f>'Ind T6'!R154</f>
        <v>3.6249999999752158</v>
      </c>
      <c r="E120" s="299" t="str">
        <f>CONCATENATE("(",ROUND((D120/$H121)*100,1),")")</f>
        <v>(4.5)</v>
      </c>
      <c r="F120" s="302">
        <f>'Ind T6'!S154</f>
        <v>4.3330000000203421</v>
      </c>
      <c r="G120" s="299" t="str">
        <f>CONCATENATE("(",ROUND((F120/$H121)*100,1),")")</f>
        <v>(5.4)</v>
      </c>
      <c r="H120" s="302">
        <f t="shared" ref="H120" si="101">SUM(B120,D120,F120)</f>
        <v>23.161000000366357</v>
      </c>
      <c r="I120" s="299" t="str">
        <f>CONCATENATE("(",ROUND((H120/$H121)*100,1),")")</f>
        <v>(28.8)</v>
      </c>
      <c r="K120" s="302">
        <f t="shared" ref="K120:K121" si="102">B125-B120</f>
        <v>-1.962000000340673</v>
      </c>
      <c r="L120" s="302">
        <f t="shared" ref="L120:L121" si="103">D125-D120</f>
        <v>-0.46400000000683628</v>
      </c>
      <c r="M120" s="302">
        <f t="shared" ref="M120:M121" si="104">F125-F120</f>
        <v>-0.6590000000062215</v>
      </c>
      <c r="N120" s="302">
        <f t="shared" ref="N120:N121" si="105">SUM(K120:M120)</f>
        <v>-3.0850000003537308</v>
      </c>
    </row>
    <row r="121" spans="1:14" x14ac:dyDescent="0.2">
      <c r="A121" s="282" t="s">
        <v>354</v>
      </c>
      <c r="B121" s="302">
        <f>SUM(B119:B120)</f>
        <v>55.001000000217211</v>
      </c>
      <c r="C121" s="299" t="str">
        <f>CONCATENATE("(",ROUND((B121/$H121)*100,1),")")</f>
        <v>(68.3)</v>
      </c>
      <c r="D121" s="302">
        <f>SUM(D119:D120)</f>
        <v>6.9719999999322413</v>
      </c>
      <c r="E121" s="299" t="str">
        <f>CONCATENATE("(",ROUND((D121/$H121)*100,1),")")</f>
        <v>(8.7)</v>
      </c>
      <c r="F121" s="302">
        <f>SUM(F119:F120)</f>
        <v>18.560999999942787</v>
      </c>
      <c r="G121" s="299" t="str">
        <f>CONCATENATE("(",ROUND((F121/$H121)*100,1),")")</f>
        <v>(23)</v>
      </c>
      <c r="H121" s="302">
        <f>SUM(H119:H120)</f>
        <v>80.534000000092249</v>
      </c>
      <c r="I121" s="299" t="str">
        <f>CONCATENATE("(",ROUND((H121/$H121)*100,1),")")</f>
        <v>(100)</v>
      </c>
      <c r="K121" s="302">
        <f t="shared" si="102"/>
        <v>-7.6780000003104121</v>
      </c>
      <c r="L121" s="302">
        <f t="shared" si="103"/>
        <v>-0.93500000002889117</v>
      </c>
      <c r="M121" s="302">
        <f t="shared" si="104"/>
        <v>-2.0539999999889353</v>
      </c>
      <c r="N121" s="302">
        <f t="shared" si="105"/>
        <v>-10.667000000328239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355</v>
      </c>
      <c r="B124" s="302">
        <f>'Ind T6'!V155</f>
        <v>34.081999999876672</v>
      </c>
      <c r="C124" s="299" t="str">
        <f>CONCATENATE("(",ROUND((B124/$H126)*100,1),")")</f>
        <v>(48.8)</v>
      </c>
      <c r="D124" s="302">
        <f>'Ind T6'!W155</f>
        <v>2.8759999999349706</v>
      </c>
      <c r="E124" s="299" t="str">
        <f>CONCATENATE("(",ROUND((D124/$H126)*100,1),")")</f>
        <v>(4.1)</v>
      </c>
      <c r="F124" s="302">
        <f>'Ind T6'!X155</f>
        <v>12.83299999993973</v>
      </c>
      <c r="G124" s="299" t="str">
        <f>CONCATENATE("(",ROUND((F124/$H126)*100,1),")")</f>
        <v>(18.4)</v>
      </c>
      <c r="H124" s="302">
        <f>SUM(B124,D124,F124)</f>
        <v>49.790999999751371</v>
      </c>
      <c r="I124" s="299" t="str">
        <f>CONCATENATE("(",ROUND((H124/$H126)*100,1),")")</f>
        <v>(71.3)</v>
      </c>
      <c r="K124" s="302">
        <f>B124-B114</f>
        <v>-9.2409999998082668</v>
      </c>
      <c r="L124" s="302">
        <f>D124-D114</f>
        <v>-0.81600000002226647</v>
      </c>
      <c r="M124" s="302">
        <f>F124-F114</f>
        <v>-2.6779999999892681</v>
      </c>
      <c r="N124" s="302">
        <f>SUM(K124:M124)</f>
        <v>-12.734999999819802</v>
      </c>
    </row>
    <row r="125" spans="1:14" x14ac:dyDescent="0.2">
      <c r="A125" s="282" t="s">
        <v>356</v>
      </c>
      <c r="B125" s="302">
        <f>'Ind T6'!V154</f>
        <v>13.241000000030127</v>
      </c>
      <c r="C125" s="299" t="str">
        <f>CONCATENATE("(",ROUND((B125/$H126)*100,1),")")</f>
        <v>(19)</v>
      </c>
      <c r="D125" s="302">
        <f>'Ind T6'!W154</f>
        <v>3.1609999999683795</v>
      </c>
      <c r="E125" s="299" t="str">
        <f>CONCATENATE("(",ROUND((D125/$H126)*100,1),")")</f>
        <v>(4.5)</v>
      </c>
      <c r="F125" s="302">
        <f>'Ind T6'!X154</f>
        <v>3.6740000000141206</v>
      </c>
      <c r="G125" s="299" t="str">
        <f>CONCATENATE("(",ROUND((F125/$H126)*100,1),")")</f>
        <v>(5.3)</v>
      </c>
      <c r="H125" s="302">
        <f t="shared" ref="H125" si="106">SUM(B125,D125,F125)</f>
        <v>20.076000000012627</v>
      </c>
      <c r="I125" s="299" t="str">
        <f>CONCATENATE("(",ROUND((H125/$H126)*100,1),")")</f>
        <v>(28.7)</v>
      </c>
      <c r="K125" s="302">
        <f t="shared" ref="K125:K126" si="107">B125-B115</f>
        <v>-3.2829999999074495</v>
      </c>
      <c r="L125" s="302">
        <f t="shared" ref="L125:L126" si="108">D125-D115</f>
        <v>-0.81100000000463002</v>
      </c>
      <c r="M125" s="302">
        <f t="shared" ref="M125:M126" si="109">F125-F115</f>
        <v>-1.2569999999431394</v>
      </c>
      <c r="N125" s="302">
        <f t="shared" ref="N125:N126" si="110">SUM(K125:M125)</f>
        <v>-5.3509999998552189</v>
      </c>
    </row>
    <row r="126" spans="1:14" x14ac:dyDescent="0.2">
      <c r="A126" s="282" t="s">
        <v>354</v>
      </c>
      <c r="B126" s="302">
        <f>SUM(B124:B125)</f>
        <v>47.322999999906799</v>
      </c>
      <c r="C126" s="299" t="str">
        <f>CONCATENATE("(",ROUND((B126/$H126)*100,1),")")</f>
        <v>(67.7)</v>
      </c>
      <c r="D126" s="302">
        <f>SUM(D124:D125)</f>
        <v>6.0369999999033501</v>
      </c>
      <c r="E126" s="299" t="str">
        <f>CONCATENATE("(",ROUND((D126/$H126)*100,1),")")</f>
        <v>(8.6)</v>
      </c>
      <c r="F126" s="302">
        <f>SUM(F124:F125)</f>
        <v>16.506999999953852</v>
      </c>
      <c r="G126" s="299" t="str">
        <f>CONCATENATE("(",ROUND((F126/$H126)*100,1),")")</f>
        <v>(23.6)</v>
      </c>
      <c r="H126" s="302">
        <f>SUM(H124:H125)</f>
        <v>69.866999999764005</v>
      </c>
      <c r="I126" s="299" t="str">
        <f>CONCATENATE("(",ROUND((H126/$H126)*100,1),")")</f>
        <v>(100)</v>
      </c>
      <c r="K126" s="302">
        <f t="shared" si="107"/>
        <v>-12.523999999715713</v>
      </c>
      <c r="L126" s="302">
        <f t="shared" si="108"/>
        <v>-1.6270000000268965</v>
      </c>
      <c r="M126" s="302">
        <f t="shared" si="109"/>
        <v>-3.9349999999324048</v>
      </c>
      <c r="N126" s="302">
        <f t="shared" si="110"/>
        <v>-18.085999999675014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379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377</v>
      </c>
    </row>
    <row r="133" spans="1:14" x14ac:dyDescent="0.2">
      <c r="A133" s="181" t="s">
        <v>378</v>
      </c>
      <c r="B133" s="369" t="s">
        <v>376</v>
      </c>
      <c r="C133" s="369"/>
      <c r="D133" s="369" t="s">
        <v>375</v>
      </c>
      <c r="E133" s="369"/>
      <c r="F133" s="369" t="s">
        <v>374</v>
      </c>
      <c r="G133" s="369"/>
      <c r="H133" s="369" t="s">
        <v>32</v>
      </c>
      <c r="I133" s="369"/>
      <c r="J133" s="181"/>
      <c r="K133" s="297" t="s">
        <v>339</v>
      </c>
      <c r="L133" s="297" t="s">
        <v>341</v>
      </c>
      <c r="M133" s="297" t="s">
        <v>337</v>
      </c>
      <c r="N133" s="297" t="s">
        <v>32</v>
      </c>
    </row>
    <row r="134" spans="1:14" x14ac:dyDescent="0.2">
      <c r="A134" s="292">
        <f>$A$8</f>
        <v>2020</v>
      </c>
      <c r="B134" s="287" t="s">
        <v>60</v>
      </c>
      <c r="C134" s="19" t="s">
        <v>373</v>
      </c>
      <c r="D134" s="287" t="s">
        <v>60</v>
      </c>
      <c r="E134" s="19" t="s">
        <v>373</v>
      </c>
      <c r="F134" s="287" t="s">
        <v>60</v>
      </c>
      <c r="G134" s="19" t="s">
        <v>373</v>
      </c>
      <c r="H134" s="287" t="s">
        <v>60</v>
      </c>
      <c r="I134" s="19" t="s">
        <v>373</v>
      </c>
      <c r="J134" s="181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355</v>
      </c>
      <c r="B135" s="302">
        <f>'Ind T6'!L165</f>
        <v>7.2229999999973282</v>
      </c>
      <c r="C135" s="299" t="str">
        <f>CONCATENATE("(",ROUND((B135/$H137)*100,1),")")</f>
        <v>(58.1)</v>
      </c>
      <c r="D135" s="302">
        <f>'Ind T6'!M165</f>
        <v>8.7999999999617926E-2</v>
      </c>
      <c r="E135" s="299" t="str">
        <f>CONCATENATE("(",ROUND((D135/$H137)*100,1),")")</f>
        <v>(0.7)</v>
      </c>
      <c r="F135" s="302">
        <f>'Ind T6'!N165</f>
        <v>2.4480000000245146</v>
      </c>
      <c r="G135" s="299" t="str">
        <f>CONCATENATE("(",ROUND((F135/$H137)*100,1),")")</f>
        <v>(19.7)</v>
      </c>
      <c r="H135" s="302">
        <f>SUM(B135,D135,F135)</f>
        <v>9.7590000000214605</v>
      </c>
      <c r="I135" s="299" t="str">
        <f>CONCATENATE("(",ROUND((H135/$H137)*100,1),")")</f>
        <v>(78.6)</v>
      </c>
      <c r="K135" s="302">
        <f>B140-B135</f>
        <v>-0.15599999997095448</v>
      </c>
      <c r="L135" s="302">
        <f>D140-D135</f>
        <v>2.9545810242836978E-14</v>
      </c>
      <c r="M135" s="302">
        <f>F140-F135</f>
        <v>-2.7999999973413292E-2</v>
      </c>
      <c r="N135" s="302">
        <f>SUM(K135:M135)</f>
        <v>-0.18399999994433824</v>
      </c>
    </row>
    <row r="136" spans="1:14" x14ac:dyDescent="0.2">
      <c r="A136" s="282" t="s">
        <v>356</v>
      </c>
      <c r="B136" s="302">
        <f>'Ind T6'!L164</f>
        <v>2.1789999999765506</v>
      </c>
      <c r="C136" s="299" t="str">
        <f>CONCATENATE("(",ROUND((B136/$H137)*100,1),")")</f>
        <v>(17.5)</v>
      </c>
      <c r="D136" s="302">
        <f>'Ind T6'!M164</f>
        <v>0.48499999999651738</v>
      </c>
      <c r="E136" s="299" t="str">
        <f>CONCATENATE("(",ROUND((D136/$H137)*100,1),")")</f>
        <v>(3.9)</v>
      </c>
      <c r="F136" s="302">
        <f>'Ind T6'!N164</f>
        <v>0</v>
      </c>
      <c r="G136" s="299" t="str">
        <f>CONCATENATE("(",ROUND((F136/$H137)*100,1),")")</f>
        <v>(0)</v>
      </c>
      <c r="H136" s="302">
        <f t="shared" ref="H136" si="111">SUM(B136,D136,F136)</f>
        <v>2.6639999999730679</v>
      </c>
      <c r="I136" s="299" t="str">
        <f>CONCATENATE("(",ROUND((H136/$H137)*100,1),")")</f>
        <v>(21.4)</v>
      </c>
      <c r="K136" s="302">
        <f t="shared" ref="K136:K137" si="112">B141-B136</f>
        <v>-1.3999999970182309E-2</v>
      </c>
      <c r="L136" s="302">
        <f t="shared" ref="L136:L137" si="113">D141-D136</f>
        <v>-7.0000000008099139E-3</v>
      </c>
      <c r="M136" s="302">
        <f t="shared" ref="M136:M137" si="114">F141-F136</f>
        <v>0</v>
      </c>
      <c r="N136" s="302">
        <f t="shared" ref="N136:N137" si="115">SUM(K136:M136)</f>
        <v>-2.0999999970992222E-2</v>
      </c>
    </row>
    <row r="137" spans="1:14" x14ac:dyDescent="0.2">
      <c r="A137" s="282" t="s">
        <v>354</v>
      </c>
      <c r="B137" s="302">
        <f>SUM(B135:B136)</f>
        <v>9.4019999999738779</v>
      </c>
      <c r="C137" s="299" t="str">
        <f>CONCATENATE("(",ROUND((B137/$H137)*100,1),")")</f>
        <v>(75.7)</v>
      </c>
      <c r="D137" s="302">
        <f>SUM(D135:D136)</f>
        <v>0.57299999999613527</v>
      </c>
      <c r="E137" s="299" t="str">
        <f>CONCATENATE("(",ROUND((D137/$H137)*100,1),")")</f>
        <v>(4.6)</v>
      </c>
      <c r="F137" s="302">
        <f>SUM(F135:F136)</f>
        <v>2.4480000000245146</v>
      </c>
      <c r="G137" s="299" t="str">
        <f>CONCATENATE("(",ROUND((F137/$H137)*100,1),")")</f>
        <v>(19.7)</v>
      </c>
      <c r="H137" s="302">
        <f>SUM(H135:H136)</f>
        <v>12.422999999994529</v>
      </c>
      <c r="I137" s="299" t="str">
        <f>CONCATENATE("(",ROUND((H137/$H137)*100,1),")")</f>
        <v>(100)</v>
      </c>
      <c r="K137" s="302">
        <f t="shared" si="112"/>
        <v>-0.16999999994113679</v>
      </c>
      <c r="L137" s="302">
        <f t="shared" si="113"/>
        <v>-7.000000000780382E-3</v>
      </c>
      <c r="M137" s="302">
        <f t="shared" si="114"/>
        <v>-2.7999999973413292E-2</v>
      </c>
      <c r="N137" s="302">
        <f t="shared" si="115"/>
        <v>-0.20499999991533047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355</v>
      </c>
      <c r="B140" s="302">
        <f>'Ind T6'!Q165</f>
        <v>7.0670000000263737</v>
      </c>
      <c r="C140" s="299" t="str">
        <f>CONCATENATE("(",ROUND((B140/$H142)*100,1),")")</f>
        <v>(57.8)</v>
      </c>
      <c r="D140" s="302">
        <f>'Ind T6'!R165</f>
        <v>8.7999999999647471E-2</v>
      </c>
      <c r="E140" s="299" t="str">
        <f>CONCATENATE("(",ROUND((D140/$H142)*100,1),")")</f>
        <v>(0.7)</v>
      </c>
      <c r="F140" s="302">
        <f>'Ind T6'!S165</f>
        <v>2.4200000000511013</v>
      </c>
      <c r="G140" s="299" t="str">
        <f>CONCATENATE("(",ROUND((F140/$H142)*100,1),")")</f>
        <v>(19.8)</v>
      </c>
      <c r="H140" s="302">
        <f>SUM(B140,D140,F140)</f>
        <v>9.5750000000771216</v>
      </c>
      <c r="I140" s="299" t="str">
        <f>CONCATENATE("(",ROUND((H140/$H142)*100,1),")")</f>
        <v>(78.4)</v>
      </c>
      <c r="K140" s="302">
        <f>B145-B140</f>
        <v>5.3000000005265058E-2</v>
      </c>
      <c r="L140" s="302">
        <f>D145-D140</f>
        <v>4.9999999999590511E-3</v>
      </c>
      <c r="M140" s="302">
        <f>F145-F140</f>
        <v>7.700000000336793E-2</v>
      </c>
      <c r="N140" s="302">
        <f>SUM(K140:M140)</f>
        <v>0.13500000000859202</v>
      </c>
    </row>
    <row r="141" spans="1:14" x14ac:dyDescent="0.2">
      <c r="A141" s="282" t="s">
        <v>356</v>
      </c>
      <c r="B141" s="302">
        <f>'Ind T6'!Q164</f>
        <v>2.1650000000063683</v>
      </c>
      <c r="C141" s="299" t="str">
        <f>CONCATENATE("(",ROUND((B141/$H142)*100,1),")")</f>
        <v>(17.7)</v>
      </c>
      <c r="D141" s="302">
        <f>'Ind T6'!R164</f>
        <v>0.47799999999570747</v>
      </c>
      <c r="E141" s="299" t="str">
        <f>CONCATENATE("(",ROUND((D141/$H142)*100,1),")")</f>
        <v>(3.9)</v>
      </c>
      <c r="F141" s="302">
        <f>'Ind T6'!S164</f>
        <v>0</v>
      </c>
      <c r="G141" s="299" t="str">
        <f>CONCATENATE("(",ROUND((F141/$H142)*100,1),")")</f>
        <v>(0)</v>
      </c>
      <c r="H141" s="302">
        <f t="shared" ref="H141" si="116">SUM(B141,D141,F141)</f>
        <v>2.6430000000020759</v>
      </c>
      <c r="I141" s="299" t="str">
        <f>CONCATENATE("(",ROUND((H141/$H142)*100,1),")")</f>
        <v>(21.6)</v>
      </c>
      <c r="K141" s="302">
        <f t="shared" ref="K141:K142" si="117">B146-B141</f>
        <v>8.6999999972476427E-2</v>
      </c>
      <c r="L141" s="302">
        <f t="shared" ref="L141:L142" si="118">D146-D141</f>
        <v>8.9999999956708598E-3</v>
      </c>
      <c r="M141" s="302">
        <f t="shared" ref="M141:M142" si="119">F146-F141</f>
        <v>0</v>
      </c>
      <c r="N141" s="302">
        <f t="shared" ref="N141:N142" si="120">SUM(K141:M141)</f>
        <v>9.5999999968147287E-2</v>
      </c>
    </row>
    <row r="142" spans="1:14" x14ac:dyDescent="0.2">
      <c r="A142" s="282" t="s">
        <v>354</v>
      </c>
      <c r="B142" s="302">
        <f>SUM(B140:B141)</f>
        <v>9.2320000000327411</v>
      </c>
      <c r="C142" s="299" t="str">
        <f>CONCATENATE("(",ROUND((B142/$H142)*100,1),")")</f>
        <v>(75.6)</v>
      </c>
      <c r="D142" s="302">
        <f>SUM(D140:D141)</f>
        <v>0.56599999999535489</v>
      </c>
      <c r="E142" s="299" t="str">
        <f>CONCATENATE("(",ROUND((D142/$H142)*100,1),")")</f>
        <v>(4.6)</v>
      </c>
      <c r="F142" s="302">
        <f>SUM(F140:F141)</f>
        <v>2.4200000000511013</v>
      </c>
      <c r="G142" s="299" t="str">
        <f>CONCATENATE("(",ROUND((F142/$H142)*100,1),")")</f>
        <v>(19.8)</v>
      </c>
      <c r="H142" s="302">
        <f>SUM(H140:H141)</f>
        <v>12.218000000079197</v>
      </c>
      <c r="I142" s="299" t="str">
        <f>CONCATENATE("(",ROUND((H142/$H142)*100,1),")")</f>
        <v>(100)</v>
      </c>
      <c r="K142" s="302">
        <f t="shared" si="117"/>
        <v>0.13999999997774282</v>
      </c>
      <c r="L142" s="302">
        <f t="shared" si="118"/>
        <v>1.3999999995629953E-2</v>
      </c>
      <c r="M142" s="302">
        <f t="shared" si="119"/>
        <v>7.700000000336793E-2</v>
      </c>
      <c r="N142" s="302">
        <f t="shared" si="120"/>
        <v>0.2309999999767407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355</v>
      </c>
      <c r="B145" s="302">
        <f>'Ind T6'!V165</f>
        <v>7.1200000000316388</v>
      </c>
      <c r="C145" s="299" t="str">
        <f>CONCATENATE("(",ROUND((B145/$H147)*100,1),")")</f>
        <v>(57.2)</v>
      </c>
      <c r="D145" s="302">
        <f>'Ind T6'!W165</f>
        <v>9.2999999999606522E-2</v>
      </c>
      <c r="E145" s="299" t="str">
        <f>CONCATENATE("(",ROUND((D145/$H147)*100,1),")")</f>
        <v>(0.7)</v>
      </c>
      <c r="F145" s="302">
        <f>'Ind T6'!X165</f>
        <v>2.4970000000544692</v>
      </c>
      <c r="G145" s="299" t="str">
        <f>CONCATENATE("(",ROUND((F145/$H147)*100,1),")")</f>
        <v>(20.1)</v>
      </c>
      <c r="H145" s="302">
        <f>SUM(B145,D145,F145)</f>
        <v>9.7100000000857136</v>
      </c>
      <c r="I145" s="299" t="str">
        <f>CONCATENATE("(",ROUND((H145/$H147)*100,1),")")</f>
        <v>(78)</v>
      </c>
      <c r="K145" s="302">
        <f>B145-B135</f>
        <v>-0.10299999996568943</v>
      </c>
      <c r="L145" s="302">
        <f>D145-D135</f>
        <v>4.9999999999885969E-3</v>
      </c>
      <c r="M145" s="302">
        <f>F145-F135</f>
        <v>4.9000000029954638E-2</v>
      </c>
      <c r="N145" s="302">
        <f>SUM(K145:M145)</f>
        <v>-4.8999999935746191E-2</v>
      </c>
    </row>
    <row r="146" spans="1:14" x14ac:dyDescent="0.2">
      <c r="A146" s="282" t="s">
        <v>356</v>
      </c>
      <c r="B146" s="302">
        <f>'Ind T6'!V164</f>
        <v>2.2519999999788447</v>
      </c>
      <c r="C146" s="299" t="str">
        <f>CONCATENATE("(",ROUND((B146/$H147)*100,1),")")</f>
        <v>(18.1)</v>
      </c>
      <c r="D146" s="302">
        <f>'Ind T6'!W164</f>
        <v>0.48699999999137833</v>
      </c>
      <c r="E146" s="299" t="str">
        <f>CONCATENATE("(",ROUND((D146/$H147)*100,1),")")</f>
        <v>(3.9)</v>
      </c>
      <c r="F146" s="302">
        <f>'Ind T6'!X164</f>
        <v>0</v>
      </c>
      <c r="G146" s="299" t="str">
        <f>CONCATENATE("(",ROUND((F146/$H147)*100,1),")")</f>
        <v>(0)</v>
      </c>
      <c r="H146" s="302">
        <f t="shared" ref="H146" si="121">SUM(B146,D146,F146)</f>
        <v>2.7389999999702228</v>
      </c>
      <c r="I146" s="299" t="str">
        <f>CONCATENATE("(",ROUND((H146/$H147)*100,1),")")</f>
        <v>(22)</v>
      </c>
      <c r="K146" s="302">
        <f t="shared" ref="K146:K147" si="122">B146-B136</f>
        <v>7.3000000002294119E-2</v>
      </c>
      <c r="L146" s="302">
        <f t="shared" ref="L146:L147" si="123">D146-D136</f>
        <v>1.9999999948609459E-3</v>
      </c>
      <c r="M146" s="302">
        <f t="shared" ref="M146:M147" si="124">F146-F136</f>
        <v>0</v>
      </c>
      <c r="N146" s="302">
        <f t="shared" ref="N146:N147" si="125">SUM(K146:M146)</f>
        <v>7.4999999997155065E-2</v>
      </c>
    </row>
    <row r="147" spans="1:14" x14ac:dyDescent="0.2">
      <c r="A147" s="282" t="s">
        <v>354</v>
      </c>
      <c r="B147" s="302">
        <f>SUM(B145:B146)</f>
        <v>9.3720000000104839</v>
      </c>
      <c r="C147" s="299" t="str">
        <f>CONCATENATE("(",ROUND((B147/$H147)*100,1),")")</f>
        <v>(75.3)</v>
      </c>
      <c r="D147" s="302">
        <f>SUM(D145:D146)</f>
        <v>0.57999999999098484</v>
      </c>
      <c r="E147" s="299" t="str">
        <f>CONCATENATE("(",ROUND((D147/$H147)*100,1),")")</f>
        <v>(4.7)</v>
      </c>
      <c r="F147" s="302">
        <f>SUM(F145:F146)</f>
        <v>2.4970000000544692</v>
      </c>
      <c r="G147" s="299" t="str">
        <f>CONCATENATE("(",ROUND((F147/$H147)*100,1),")")</f>
        <v>(20.1)</v>
      </c>
      <c r="H147" s="302">
        <f>SUM(H145:H146)</f>
        <v>12.449000000055936</v>
      </c>
      <c r="I147" s="299" t="str">
        <f>CONCATENATE("(",ROUND((H147/$H147)*100,1),")")</f>
        <v>(100)</v>
      </c>
      <c r="K147" s="302">
        <f t="shared" si="122"/>
        <v>-2.9999999963393975E-2</v>
      </c>
      <c r="L147" s="302">
        <f t="shared" si="123"/>
        <v>6.9999999948495706E-3</v>
      </c>
      <c r="M147" s="302">
        <f t="shared" si="124"/>
        <v>4.9000000029954638E-2</v>
      </c>
      <c r="N147" s="302">
        <f t="shared" si="125"/>
        <v>2.6000000061410233E-2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1"/>
      <c r="E151" s="181"/>
      <c r="G151" s="181"/>
      <c r="I151" s="181"/>
    </row>
    <row r="152" spans="1:14" x14ac:dyDescent="0.2">
      <c r="A152" s="288"/>
      <c r="B152" s="289" t="s">
        <v>379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377</v>
      </c>
    </row>
    <row r="154" spans="1:14" x14ac:dyDescent="0.2">
      <c r="A154" s="181" t="s">
        <v>378</v>
      </c>
      <c r="B154" s="369" t="s">
        <v>376</v>
      </c>
      <c r="C154" s="369"/>
      <c r="D154" s="369" t="s">
        <v>375</v>
      </c>
      <c r="E154" s="369"/>
      <c r="F154" s="369" t="s">
        <v>374</v>
      </c>
      <c r="G154" s="369"/>
      <c r="H154" s="369" t="s">
        <v>32</v>
      </c>
      <c r="I154" s="369"/>
      <c r="J154" s="181"/>
      <c r="K154" s="297" t="s">
        <v>339</v>
      </c>
      <c r="L154" s="297" t="s">
        <v>341</v>
      </c>
      <c r="M154" s="297" t="s">
        <v>337</v>
      </c>
      <c r="N154" s="297" t="s">
        <v>32</v>
      </c>
    </row>
    <row r="155" spans="1:14" x14ac:dyDescent="0.2">
      <c r="A155" s="292">
        <f>$A$8</f>
        <v>2020</v>
      </c>
      <c r="B155" s="287" t="s">
        <v>60</v>
      </c>
      <c r="C155" s="19" t="s">
        <v>373</v>
      </c>
      <c r="D155" s="287" t="s">
        <v>60</v>
      </c>
      <c r="E155" s="19" t="s">
        <v>373</v>
      </c>
      <c r="F155" s="287" t="s">
        <v>60</v>
      </c>
      <c r="G155" s="19" t="s">
        <v>373</v>
      </c>
      <c r="H155" s="287" t="s">
        <v>60</v>
      </c>
      <c r="I155" s="19" t="s">
        <v>373</v>
      </c>
      <c r="J155" s="181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355</v>
      </c>
      <c r="B156" s="302">
        <f>'Ind T6'!L190</f>
        <v>11.260999999869188</v>
      </c>
      <c r="C156" s="299" t="str">
        <f>CONCATENATE("(",ROUND((B156/$H158)*100,1),")")</f>
        <v>(67.4)</v>
      </c>
      <c r="D156" s="302">
        <f>'Ind T6'!M190</f>
        <v>0.62399999998274225</v>
      </c>
      <c r="E156" s="299" t="str">
        <f>CONCATENATE("(",ROUND((D156/$H158)*100,1),")")</f>
        <v>(3.7)</v>
      </c>
      <c r="F156" s="302">
        <f>'Ind T6'!N190</f>
        <v>1.306999999963256</v>
      </c>
      <c r="G156" s="299" t="str">
        <f>CONCATENATE("(",ROUND((F156/$H158)*100,1),")")</f>
        <v>(7.8)</v>
      </c>
      <c r="H156" s="302">
        <f>SUM(B156,D156,F156)</f>
        <v>13.191999999815186</v>
      </c>
      <c r="I156" s="299" t="str">
        <f>CONCATENATE("(",ROUND((H156/$H158)*100,1),")")</f>
        <v>(78.9)</v>
      </c>
      <c r="K156" s="302">
        <f>B161-B156</f>
        <v>0.92799999998088545</v>
      </c>
      <c r="L156" s="302">
        <f>D161-D156</f>
        <v>5.9000000001511732E-2</v>
      </c>
      <c r="M156" s="302">
        <f>F161-F156</f>
        <v>6.3999999972254251E-2</v>
      </c>
      <c r="N156" s="302">
        <f>SUM(K156:M156)</f>
        <v>1.0509999999546515</v>
      </c>
    </row>
    <row r="157" spans="1:14" x14ac:dyDescent="0.2">
      <c r="A157" s="282" t="s">
        <v>356</v>
      </c>
      <c r="B157" s="302">
        <f>'Ind T6'!L189</f>
        <v>2.2989999999948294</v>
      </c>
      <c r="C157" s="299" t="str">
        <f>CONCATENATE("(",ROUND((B157/$H158)*100,1),")")</f>
        <v>(13.8)</v>
      </c>
      <c r="D157" s="302">
        <f>'Ind T6'!M189</f>
        <v>1.1459999999970334</v>
      </c>
      <c r="E157" s="299" t="str">
        <f>CONCATENATE("(",ROUND((D157/$H158)*100,1),")")</f>
        <v>(6.9)</v>
      </c>
      <c r="F157" s="302">
        <f>'Ind T6'!N189</f>
        <v>7.9999999998600635E-2</v>
      </c>
      <c r="G157" s="299" t="str">
        <f>CONCATENATE("(",ROUND((F157/$H158)*100,1),")")</f>
        <v>(0.5)</v>
      </c>
      <c r="H157" s="302">
        <f t="shared" ref="H157" si="126">SUM(B157,D157,F157)</f>
        <v>3.5249999999904635</v>
      </c>
      <c r="I157" s="299" t="str">
        <f>CONCATENATE("(",ROUND((H157/$H158)*100,1),")")</f>
        <v>(21.1)</v>
      </c>
      <c r="K157" s="302">
        <f t="shared" ref="K157:K158" si="127">B162-B157</f>
        <v>0.30400000003028715</v>
      </c>
      <c r="L157" s="302">
        <f t="shared" ref="L157:L158" si="128">D162-D157</f>
        <v>0.11900000000033906</v>
      </c>
      <c r="M157" s="302">
        <f t="shared" ref="M157:M158" si="129">F162-F157</f>
        <v>6.0000000000986625E-3</v>
      </c>
      <c r="N157" s="302">
        <f t="shared" ref="N157:N158" si="130">SUM(K157:M157)</f>
        <v>0.42900000003072486</v>
      </c>
    </row>
    <row r="158" spans="1:14" x14ac:dyDescent="0.2">
      <c r="A158" s="282" t="s">
        <v>354</v>
      </c>
      <c r="B158" s="302">
        <f>SUM(B156:B157)</f>
        <v>13.559999999864019</v>
      </c>
      <c r="C158" s="299" t="str">
        <f>CONCATENATE("(",ROUND((B158/$H158)*100,1),")")</f>
        <v>(81.1)</v>
      </c>
      <c r="D158" s="302">
        <f>SUM(D156:D157)</f>
        <v>1.7699999999797758</v>
      </c>
      <c r="E158" s="299" t="str">
        <f>CONCATENATE("(",ROUND((D158/$H158)*100,1),")")</f>
        <v>(10.6)</v>
      </c>
      <c r="F158" s="302">
        <f>SUM(F156:F157)</f>
        <v>1.3869999999618567</v>
      </c>
      <c r="G158" s="299" t="str">
        <f>CONCATENATE("(",ROUND((F158/$H158)*100,1),")")</f>
        <v>(8.3)</v>
      </c>
      <c r="H158" s="302">
        <f>SUM(H156:H157)</f>
        <v>16.716999999805651</v>
      </c>
      <c r="I158" s="299" t="str">
        <f>CONCATENATE("(",ROUND((H158/$H158)*100,1),")")</f>
        <v>(100)</v>
      </c>
      <c r="K158" s="302">
        <f t="shared" si="127"/>
        <v>1.2320000000111726</v>
      </c>
      <c r="L158" s="302">
        <f t="shared" si="128"/>
        <v>0.17800000000185068</v>
      </c>
      <c r="M158" s="302">
        <f t="shared" si="129"/>
        <v>6.9999999972352844E-2</v>
      </c>
      <c r="N158" s="302">
        <f t="shared" si="130"/>
        <v>1.4799999999853761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355</v>
      </c>
      <c r="B161" s="302">
        <f>'Ind T6'!Q190</f>
        <v>12.188999999850074</v>
      </c>
      <c r="C161" s="299" t="str">
        <f>CONCATENATE("(",ROUND((B161/$H163)*100,1),")")</f>
        <v>(67)</v>
      </c>
      <c r="D161" s="302">
        <f>'Ind T6'!R190</f>
        <v>0.68299999998425398</v>
      </c>
      <c r="E161" s="299" t="str">
        <f>CONCATENATE("(",ROUND((D161/$H163)*100,1),")")</f>
        <v>(3.8)</v>
      </c>
      <c r="F161" s="302">
        <f>'Ind T6'!S190</f>
        <v>1.3709999999355102</v>
      </c>
      <c r="G161" s="299" t="str">
        <f>CONCATENATE("(",ROUND((F161/$H163)*100,1),")")</f>
        <v>(7.5)</v>
      </c>
      <c r="H161" s="302">
        <f>SUM(B161,D161,F161)</f>
        <v>14.242999999769838</v>
      </c>
      <c r="I161" s="299" t="str">
        <f>CONCATENATE("(",ROUND((H161/$H163)*100,1),")")</f>
        <v>(78.3)</v>
      </c>
      <c r="K161" s="302">
        <f>B166-B161</f>
        <v>1.6549999998659057</v>
      </c>
      <c r="L161" s="302">
        <f>D166-D161</f>
        <v>0.10599999998978682</v>
      </c>
      <c r="M161" s="302">
        <f>F166-F161</f>
        <v>7.8000000010478354E-2</v>
      </c>
      <c r="N161" s="302">
        <f>SUM(K161:M161)</f>
        <v>1.8389999998661708</v>
      </c>
    </row>
    <row r="162" spans="1:14" x14ac:dyDescent="0.2">
      <c r="A162" s="282" t="s">
        <v>356</v>
      </c>
      <c r="B162" s="302">
        <f>'Ind T6'!Q189</f>
        <v>2.6030000000251166</v>
      </c>
      <c r="C162" s="299" t="str">
        <f>CONCATENATE("(",ROUND((B162/$H163)*100,1),")")</f>
        <v>(14.3)</v>
      </c>
      <c r="D162" s="302">
        <f>'Ind T6'!R189</f>
        <v>1.2649999999973724</v>
      </c>
      <c r="E162" s="299" t="str">
        <f>CONCATENATE("(",ROUND((D162/$H163)*100,1),")")</f>
        <v>(7)</v>
      </c>
      <c r="F162" s="302">
        <f>'Ind T6'!S189</f>
        <v>8.5999999998699297E-2</v>
      </c>
      <c r="G162" s="299" t="str">
        <f>CONCATENATE("(",ROUND((F162/$H163)*100,1),")")</f>
        <v>(0.5)</v>
      </c>
      <c r="H162" s="302">
        <f t="shared" ref="H162" si="131">SUM(B162,D162,F162)</f>
        <v>3.9540000000211881</v>
      </c>
      <c r="I162" s="299" t="str">
        <f>CONCATENATE("(",ROUND((H162/$H163)*100,1),")")</f>
        <v>(21.7)</v>
      </c>
      <c r="K162" s="302">
        <f t="shared" ref="K162:K163" si="132">B167-B162</f>
        <v>0.62699999997762523</v>
      </c>
      <c r="L162" s="302">
        <f t="shared" ref="L162:L163" si="133">D167-D162</f>
        <v>0.22399999999668663</v>
      </c>
      <c r="M162" s="302">
        <f t="shared" ref="M162:M163" si="134">F167-F162</f>
        <v>1.1000000000385632E-2</v>
      </c>
      <c r="N162" s="302">
        <f t="shared" ref="N162:N163" si="135">SUM(K162:M162)</f>
        <v>0.86199999997469745</v>
      </c>
    </row>
    <row r="163" spans="1:14" x14ac:dyDescent="0.2">
      <c r="A163" s="282" t="s">
        <v>354</v>
      </c>
      <c r="B163" s="302">
        <f>SUM(B161:B162)</f>
        <v>14.791999999875191</v>
      </c>
      <c r="C163" s="299" t="str">
        <f>CONCATENATE("(",ROUND((B163/$H163)*100,1),")")</f>
        <v>(81.3)</v>
      </c>
      <c r="D163" s="302">
        <f>SUM(D161:D162)</f>
        <v>1.9479999999816264</v>
      </c>
      <c r="E163" s="299" t="str">
        <f>CONCATENATE("(",ROUND((D163/$H163)*100,1),")")</f>
        <v>(10.7)</v>
      </c>
      <c r="F163" s="302">
        <f>SUM(F161:F162)</f>
        <v>1.4569999999342096</v>
      </c>
      <c r="G163" s="299" t="str">
        <f>CONCATENATE("(",ROUND((F163/$H163)*100,1),")")</f>
        <v>(8)</v>
      </c>
      <c r="H163" s="302">
        <f>SUM(H161:H162)</f>
        <v>18.196999999791025</v>
      </c>
      <c r="I163" s="299" t="str">
        <f>CONCATENATE("(",ROUND((H163/$H163)*100,1),")")</f>
        <v>(100)</v>
      </c>
      <c r="K163" s="302">
        <f t="shared" si="132"/>
        <v>2.2819999998435314</v>
      </c>
      <c r="L163" s="302">
        <f t="shared" si="133"/>
        <v>0.32999999998647334</v>
      </c>
      <c r="M163" s="302">
        <f t="shared" si="134"/>
        <v>8.9000000010863944E-2</v>
      </c>
      <c r="N163" s="302">
        <f t="shared" si="135"/>
        <v>2.7009999998408682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355</v>
      </c>
      <c r="B166" s="302">
        <f>'Ind T6'!V190</f>
        <v>13.843999999715979</v>
      </c>
      <c r="C166" s="299" t="str">
        <f>CONCATENATE("(",ROUND((B166/$H168)*100,1),")")</f>
        <v>(66.2)</v>
      </c>
      <c r="D166" s="302">
        <f>'Ind T6'!W190</f>
        <v>0.7889999999740408</v>
      </c>
      <c r="E166" s="299" t="str">
        <f>CONCATENATE("(",ROUND((D166/$H168)*100,1),")")</f>
        <v>(3.8)</v>
      </c>
      <c r="F166" s="302">
        <f>'Ind T6'!X190</f>
        <v>1.4489999999459886</v>
      </c>
      <c r="G166" s="299" t="str">
        <f>CONCATENATE("(",ROUND((F166/$H168)*100,1),")")</f>
        <v>(6.9)</v>
      </c>
      <c r="H166" s="302">
        <f>SUM(B166,D166,F166)</f>
        <v>16.081999999636007</v>
      </c>
      <c r="I166" s="299" t="str">
        <f>CONCATENATE("(",ROUND((H166/$H168)*100,1),")")</f>
        <v>(77)</v>
      </c>
      <c r="K166" s="302">
        <f>B166-B156</f>
        <v>2.5829999998467912</v>
      </c>
      <c r="L166" s="302">
        <f>D166-D156</f>
        <v>0.16499999999129855</v>
      </c>
      <c r="M166" s="302">
        <f>F166-F156</f>
        <v>0.14199999998273261</v>
      </c>
      <c r="N166" s="302">
        <f>SUM(K166:M166)</f>
        <v>2.8899999998208221</v>
      </c>
    </row>
    <row r="167" spans="1:14" x14ac:dyDescent="0.2">
      <c r="A167" s="282" t="s">
        <v>356</v>
      </c>
      <c r="B167" s="302">
        <f>'Ind T6'!V189</f>
        <v>3.2300000000027418</v>
      </c>
      <c r="C167" s="299" t="str">
        <f>CONCATENATE("(",ROUND((B167/$H168)*100,1),")")</f>
        <v>(15.5)</v>
      </c>
      <c r="D167" s="302">
        <f>'Ind T6'!W189</f>
        <v>1.4889999999940591</v>
      </c>
      <c r="E167" s="299" t="str">
        <f>CONCATENATE("(",ROUND((D167/$H168)*100,1),")")</f>
        <v>(7.1)</v>
      </c>
      <c r="F167" s="302">
        <f>'Ind T6'!X189</f>
        <v>9.6999999999084929E-2</v>
      </c>
      <c r="G167" s="299" t="str">
        <f>CONCATENATE("(",ROUND((F167/$H168)*100,1),")")</f>
        <v>(0.5)</v>
      </c>
      <c r="H167" s="302">
        <f t="shared" ref="H167" si="136">SUM(B167,D167,F167)</f>
        <v>4.8159999999958858</v>
      </c>
      <c r="I167" s="299" t="str">
        <f>CONCATENATE("(",ROUND((H167/$H168)*100,1),")")</f>
        <v>(23)</v>
      </c>
      <c r="K167" s="302">
        <f t="shared" ref="K167:K168" si="137">B167-B157</f>
        <v>0.93100000000791239</v>
      </c>
      <c r="L167" s="302">
        <f t="shared" ref="L167:L168" si="138">D167-D157</f>
        <v>0.34299999999702568</v>
      </c>
      <c r="M167" s="302">
        <f t="shared" ref="M167:M168" si="139">F167-F157</f>
        <v>1.7000000000484294E-2</v>
      </c>
      <c r="N167" s="302">
        <f t="shared" ref="N167:N168" si="140">SUM(K167:M167)</f>
        <v>1.2910000000054223</v>
      </c>
    </row>
    <row r="168" spans="1:14" x14ac:dyDescent="0.2">
      <c r="A168" s="282" t="s">
        <v>354</v>
      </c>
      <c r="B168" s="302">
        <f>SUM(B166:B167)</f>
        <v>17.073999999718723</v>
      </c>
      <c r="C168" s="299" t="str">
        <f>CONCATENATE("(",ROUND((B168/$H168)*100,1),")")</f>
        <v>(81.7)</v>
      </c>
      <c r="D168" s="302">
        <f>SUM(D166:D167)</f>
        <v>2.2779999999680998</v>
      </c>
      <c r="E168" s="299" t="str">
        <f>CONCATENATE("(",ROUND((D168/$H168)*100,1),")")</f>
        <v>(10.9)</v>
      </c>
      <c r="F168" s="302">
        <f>SUM(F166:F167)</f>
        <v>1.5459999999450735</v>
      </c>
      <c r="G168" s="299" t="str">
        <f>CONCATENATE("(",ROUND((F168/$H168)*100,1),")")</f>
        <v>(7.4)</v>
      </c>
      <c r="H168" s="302">
        <f>SUM(H166:H167)</f>
        <v>20.897999999631892</v>
      </c>
      <c r="I168" s="299" t="str">
        <f>CONCATENATE("(",ROUND((H168/$H168)*100,1),")")</f>
        <v>(100)</v>
      </c>
      <c r="K168" s="302">
        <f t="shared" si="137"/>
        <v>3.513999999854704</v>
      </c>
      <c r="L168" s="302">
        <f t="shared" si="138"/>
        <v>0.50799999998832401</v>
      </c>
      <c r="M168" s="302">
        <f t="shared" si="139"/>
        <v>0.15899999998321679</v>
      </c>
      <c r="N168" s="302">
        <f t="shared" si="140"/>
        <v>4.1809999998262448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379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377</v>
      </c>
    </row>
    <row r="175" spans="1:14" x14ac:dyDescent="0.2">
      <c r="A175" s="181" t="s">
        <v>378</v>
      </c>
      <c r="B175" s="369" t="s">
        <v>376</v>
      </c>
      <c r="C175" s="369"/>
      <c r="D175" s="369" t="s">
        <v>375</v>
      </c>
      <c r="E175" s="369"/>
      <c r="F175" s="369" t="s">
        <v>374</v>
      </c>
      <c r="G175" s="369"/>
      <c r="H175" s="369" t="s">
        <v>32</v>
      </c>
      <c r="I175" s="369"/>
      <c r="J175" s="181"/>
      <c r="K175" s="297" t="s">
        <v>339</v>
      </c>
      <c r="L175" s="297" t="s">
        <v>341</v>
      </c>
      <c r="M175" s="297" t="s">
        <v>337</v>
      </c>
      <c r="N175" s="297" t="s">
        <v>32</v>
      </c>
    </row>
    <row r="176" spans="1:14" x14ac:dyDescent="0.2">
      <c r="A176" s="292">
        <f>$A$8</f>
        <v>2020</v>
      </c>
      <c r="B176" s="287" t="s">
        <v>60</v>
      </c>
      <c r="C176" s="19" t="s">
        <v>373</v>
      </c>
      <c r="D176" s="287" t="s">
        <v>60</v>
      </c>
      <c r="E176" s="19" t="s">
        <v>373</v>
      </c>
      <c r="F176" s="287" t="s">
        <v>60</v>
      </c>
      <c r="G176" s="19" t="s">
        <v>373</v>
      </c>
      <c r="H176" s="287" t="s">
        <v>60</v>
      </c>
      <c r="I176" s="19" t="s">
        <v>373</v>
      </c>
      <c r="J176" s="181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355</v>
      </c>
      <c r="B177" s="302">
        <f>'Ind T6'!L215</f>
        <v>140.52599999758962</v>
      </c>
      <c r="C177" s="299" t="str">
        <f>CONCATENATE("(",ROUND((B177/$H179)*100,1),")")</f>
        <v>(47.2)</v>
      </c>
      <c r="D177" s="302">
        <f>'Ind T6'!M215</f>
        <v>14.04999999979707</v>
      </c>
      <c r="E177" s="299" t="str">
        <f>CONCATENATE("(",ROUND((D177/$H179)*100,1),")")</f>
        <v>(4.7)</v>
      </c>
      <c r="F177" s="302">
        <f>'Ind T6'!N215</f>
        <v>88.43599999384503</v>
      </c>
      <c r="G177" s="299" t="str">
        <f>CONCATENATE("(",ROUND((F177/$H179)*100,1),")")</f>
        <v>(29.7)</v>
      </c>
      <c r="H177" s="302">
        <f>SUM(B177,D177,F177)</f>
        <v>243.01199999123173</v>
      </c>
      <c r="I177" s="299" t="str">
        <f>CONCATENATE("(",ROUND((H177/$H179)*100,1),")")</f>
        <v>(81.6)</v>
      </c>
      <c r="K177" s="302">
        <f>B182-B177</f>
        <v>13.660000000179508</v>
      </c>
      <c r="L177" s="302">
        <f>D182-D177</f>
        <v>1.8479999999508827</v>
      </c>
      <c r="M177" s="302">
        <f>F182-F177</f>
        <v>10.819999991880138</v>
      </c>
      <c r="N177" s="302">
        <f>SUM(K177:M177)</f>
        <v>26.327999992010529</v>
      </c>
    </row>
    <row r="178" spans="1:14" x14ac:dyDescent="0.2">
      <c r="A178" s="282" t="s">
        <v>356</v>
      </c>
      <c r="B178" s="302">
        <f>'Ind T6'!L214</f>
        <v>32.43399999978692</v>
      </c>
      <c r="C178" s="299" t="str">
        <f>CONCATENATE("(",ROUND((B178/$H179)*100,1),")")</f>
        <v>(10.9)</v>
      </c>
      <c r="D178" s="302">
        <f>'Ind T6'!M214</f>
        <v>17.653999999858968</v>
      </c>
      <c r="E178" s="299" t="str">
        <f>CONCATENATE("(",ROUND((D178/$H179)*100,1),")")</f>
        <v>(5.9)</v>
      </c>
      <c r="F178" s="302">
        <f>'Ind T6'!N214</f>
        <v>4.7029999998748266</v>
      </c>
      <c r="G178" s="299" t="str">
        <f>CONCATENATE("(",ROUND((F178/$H179)*100,1),")")</f>
        <v>(1.6)</v>
      </c>
      <c r="H178" s="302">
        <f t="shared" ref="H178" si="141">SUM(B178,D178,F178)</f>
        <v>54.790999999520714</v>
      </c>
      <c r="I178" s="299" t="str">
        <f>CONCATENATE("(",ROUND((H178/$H179)*100,1),")")</f>
        <v>(18.4)</v>
      </c>
      <c r="K178" s="302">
        <f t="shared" ref="K178:K179" si="142">B183-B178</f>
        <v>3.764000001021536</v>
      </c>
      <c r="L178" s="302">
        <f t="shared" ref="L178:L179" si="143">D183-D178</f>
        <v>2.1789999999509</v>
      </c>
      <c r="M178" s="302">
        <f t="shared" ref="M178:M179" si="144">F183-F178</f>
        <v>0.56900000001447193</v>
      </c>
      <c r="N178" s="302">
        <f t="shared" ref="N178:N179" si="145">SUM(K178:M178)</f>
        <v>6.5120000009869079</v>
      </c>
    </row>
    <row r="179" spans="1:14" x14ac:dyDescent="0.2">
      <c r="A179" s="282" t="s">
        <v>354</v>
      </c>
      <c r="B179" s="302">
        <f>SUM(B177:B178)</f>
        <v>172.95999999737654</v>
      </c>
      <c r="C179" s="299" t="str">
        <f>CONCATENATE("(",ROUND((B179/$H179)*100,1),")")</f>
        <v>(58.1)</v>
      </c>
      <c r="D179" s="302">
        <f>SUM(D177:D178)</f>
        <v>31.703999999656038</v>
      </c>
      <c r="E179" s="299" t="str">
        <f>CONCATENATE("(",ROUND((D179/$H179)*100,1),")")</f>
        <v>(10.6)</v>
      </c>
      <c r="F179" s="302">
        <f>SUM(F177:F178)</f>
        <v>93.138999993719864</v>
      </c>
      <c r="G179" s="299" t="str">
        <f>CONCATENATE("(",ROUND((F179/$H179)*100,1),")")</f>
        <v>(31.3)</v>
      </c>
      <c r="H179" s="302">
        <f>SUM(H177:H178)</f>
        <v>297.80299999075243</v>
      </c>
      <c r="I179" s="299" t="str">
        <f>CONCATENATE("(",ROUND((H179/$H179)*100,1),")")</f>
        <v>(100)</v>
      </c>
      <c r="K179" s="302">
        <f t="shared" si="142"/>
        <v>17.424000001201051</v>
      </c>
      <c r="L179" s="302">
        <f t="shared" si="143"/>
        <v>4.0269999999017863</v>
      </c>
      <c r="M179" s="302">
        <f t="shared" si="144"/>
        <v>11.388999991894607</v>
      </c>
      <c r="N179" s="302">
        <f t="shared" si="145"/>
        <v>32.839999992997448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355</v>
      </c>
      <c r="B182" s="302">
        <f>'Ind T6'!Q215</f>
        <v>154.18599999776913</v>
      </c>
      <c r="C182" s="299" t="str">
        <f>CONCATENATE("(",ROUND((B182/$H184)*100,1),")")</f>
        <v>(46.6)</v>
      </c>
      <c r="D182" s="302">
        <f>'Ind T6'!R215</f>
        <v>15.897999999747952</v>
      </c>
      <c r="E182" s="299" t="str">
        <f>CONCATENATE("(",ROUND((D182/$H184)*100,1),")")</f>
        <v>(4.8)</v>
      </c>
      <c r="F182" s="302">
        <f>'Ind T6'!S215</f>
        <v>99.255999985725168</v>
      </c>
      <c r="G182" s="299" t="str">
        <f>CONCATENATE("(",ROUND((F182/$H184)*100,1),")")</f>
        <v>(30)</v>
      </c>
      <c r="H182" s="302">
        <f>SUM(B182,D182,F182)</f>
        <v>269.33999998324225</v>
      </c>
      <c r="I182" s="299" t="str">
        <f>CONCATENATE("(",ROUND((H182/$H184)*100,1),")")</f>
        <v>(81.5)</v>
      </c>
      <c r="K182" s="302">
        <f>B187-B182</f>
        <v>17.71699999901702</v>
      </c>
      <c r="L182" s="302">
        <f>D187-D182</f>
        <v>3.0699999997934526</v>
      </c>
      <c r="M182" s="302">
        <f>F187-F182</f>
        <v>17.539999999304541</v>
      </c>
      <c r="N182" s="302">
        <f>SUM(K182:M182)</f>
        <v>38.326999998115014</v>
      </c>
    </row>
    <row r="183" spans="1:14" x14ac:dyDescent="0.2">
      <c r="A183" s="282" t="s">
        <v>356</v>
      </c>
      <c r="B183" s="302">
        <f>'Ind T6'!Q214</f>
        <v>36.198000000808456</v>
      </c>
      <c r="C183" s="299" t="str">
        <f>CONCATENATE("(",ROUND((B183/$H184)*100,1),")")</f>
        <v>(10.9)</v>
      </c>
      <c r="D183" s="302">
        <f>'Ind T6'!R214</f>
        <v>19.832999999809868</v>
      </c>
      <c r="E183" s="299" t="str">
        <f>CONCATENATE("(",ROUND((D183/$H184)*100,1),")")</f>
        <v>(6)</v>
      </c>
      <c r="F183" s="302">
        <f>'Ind T6'!S214</f>
        <v>5.2719999998892986</v>
      </c>
      <c r="G183" s="299" t="str">
        <f>CONCATENATE("(",ROUND((F183/$H184)*100,1),")")</f>
        <v>(1.6)</v>
      </c>
      <c r="H183" s="302">
        <f t="shared" ref="H183" si="146">SUM(B183,D183,F183)</f>
        <v>61.303000000507616</v>
      </c>
      <c r="I183" s="299" t="str">
        <f>CONCATENATE("(",ROUND((H183/$H184)*100,1),")")</f>
        <v>(18.5)</v>
      </c>
      <c r="K183" s="302">
        <f t="shared" ref="K183:K184" si="147">B188-B183</f>
        <v>6.0459999991891991</v>
      </c>
      <c r="L183" s="302">
        <f t="shared" ref="L183:L184" si="148">D188-D183</f>
        <v>3.5709999999077198</v>
      </c>
      <c r="M183" s="302">
        <f t="shared" ref="M183:M184" si="149">F188-F183</f>
        <v>1.055000000027408</v>
      </c>
      <c r="N183" s="302">
        <f t="shared" ref="N183:N184" si="150">SUM(K183:M183)</f>
        <v>10.671999999124328</v>
      </c>
    </row>
    <row r="184" spans="1:14" x14ac:dyDescent="0.2">
      <c r="A184" s="282" t="s">
        <v>354</v>
      </c>
      <c r="B184" s="302">
        <f>SUM(B182:B183)</f>
        <v>190.38399999857759</v>
      </c>
      <c r="C184" s="299" t="str">
        <f>CONCATENATE("(",ROUND((B184/$H184)*100,1),")")</f>
        <v>(57.6)</v>
      </c>
      <c r="D184" s="302">
        <f>SUM(D182:D183)</f>
        <v>35.730999999557824</v>
      </c>
      <c r="E184" s="299" t="str">
        <f>CONCATENATE("(",ROUND((D184/$H184)*100,1),")")</f>
        <v>(10.8)</v>
      </c>
      <c r="F184" s="302">
        <f>SUM(F182:F183)</f>
        <v>104.52799998561447</v>
      </c>
      <c r="G184" s="299" t="str">
        <f>CONCATENATE("(",ROUND((F184/$H184)*100,1),")")</f>
        <v>(31.6)</v>
      </c>
      <c r="H184" s="302">
        <f>SUM(H182:H183)</f>
        <v>330.64299998374986</v>
      </c>
      <c r="I184" s="299" t="str">
        <f>CONCATENATE("(",ROUND((H184/$H184)*100,1),")")</f>
        <v>(100)</v>
      </c>
      <c r="K184" s="302">
        <f t="shared" si="147"/>
        <v>23.762999998206197</v>
      </c>
      <c r="L184" s="302">
        <f t="shared" si="148"/>
        <v>6.6409999997011653</v>
      </c>
      <c r="M184" s="302">
        <f t="shared" si="149"/>
        <v>18.594999999331947</v>
      </c>
      <c r="N184" s="302">
        <f t="shared" si="150"/>
        <v>48.998999997239309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355</v>
      </c>
      <c r="B187" s="302">
        <f>'Ind T6'!V215</f>
        <v>171.90299999678615</v>
      </c>
      <c r="C187" s="299" t="str">
        <f>CONCATENATE("(",ROUND((B187/$H189)*100,1),")")</f>
        <v>(45.3)</v>
      </c>
      <c r="D187" s="302">
        <f>'Ind T6'!W215</f>
        <v>18.967999999541405</v>
      </c>
      <c r="E187" s="299" t="str">
        <f>CONCATENATE("(",ROUND((D187/$H189)*100,1),")")</f>
        <v>(5)</v>
      </c>
      <c r="F187" s="302">
        <f>'Ind T6'!X215</f>
        <v>116.79599998502971</v>
      </c>
      <c r="G187" s="299" t="str">
        <f>CONCATENATE("(",ROUND((F187/$H189)*100,1),")")</f>
        <v>(30.8)</v>
      </c>
      <c r="H187" s="302">
        <f>SUM(B187,D187,F187)</f>
        <v>307.66699998135726</v>
      </c>
      <c r="I187" s="299" t="str">
        <f>CONCATENATE("(",ROUND((H187/$H189)*100,1),")")</f>
        <v>(81)</v>
      </c>
      <c r="K187" s="302">
        <f>B187-B177</f>
        <v>31.376999999196528</v>
      </c>
      <c r="L187" s="302">
        <f>D187-D177</f>
        <v>4.9179999997443353</v>
      </c>
      <c r="M187" s="302">
        <f>F187-F177</f>
        <v>28.359999991184679</v>
      </c>
      <c r="N187" s="302">
        <f>SUM(K187:M187)</f>
        <v>64.654999990125546</v>
      </c>
    </row>
    <row r="188" spans="1:14" x14ac:dyDescent="0.2">
      <c r="A188" s="282" t="s">
        <v>356</v>
      </c>
      <c r="B188" s="302">
        <f>'Ind T6'!V214</f>
        <v>42.243999999997655</v>
      </c>
      <c r="C188" s="299" t="str">
        <f>CONCATENATE("(",ROUND((B188/$H189)*100,1),")")</f>
        <v>(11.1)</v>
      </c>
      <c r="D188" s="302">
        <f>'Ind T6'!W214</f>
        <v>23.403999999717588</v>
      </c>
      <c r="E188" s="299" t="str">
        <f>CONCATENATE("(",ROUND((D188/$H189)*100,1),")")</f>
        <v>(6.2)</v>
      </c>
      <c r="F188" s="302">
        <f>'Ind T6'!X214</f>
        <v>6.3269999999167066</v>
      </c>
      <c r="G188" s="299" t="str">
        <f>CONCATENATE("(",ROUND((F188/$H189)*100,1),")")</f>
        <v>(1.7)</v>
      </c>
      <c r="H188" s="302">
        <f t="shared" ref="H188" si="151">SUM(B188,D188,F188)</f>
        <v>71.974999999631947</v>
      </c>
      <c r="I188" s="299" t="str">
        <f>CONCATENATE("(",ROUND((H188/$H189)*100,1),")")</f>
        <v>(19)</v>
      </c>
      <c r="K188" s="302">
        <f t="shared" ref="K188:K189" si="152">B188-B178</f>
        <v>9.810000000210735</v>
      </c>
      <c r="L188" s="302">
        <f t="shared" ref="L188:L189" si="153">D188-D178</f>
        <v>5.7499999998586198</v>
      </c>
      <c r="M188" s="302">
        <f t="shared" ref="M188:M189" si="154">F188-F178</f>
        <v>1.6240000000418799</v>
      </c>
      <c r="N188" s="302">
        <f t="shared" ref="N188:N189" si="155">SUM(K188:M188)</f>
        <v>17.184000000111233</v>
      </c>
    </row>
    <row r="189" spans="1:14" x14ac:dyDescent="0.2">
      <c r="A189" s="282" t="s">
        <v>354</v>
      </c>
      <c r="B189" s="302">
        <f>SUM(B187:B188)</f>
        <v>214.14699999678379</v>
      </c>
      <c r="C189" s="299" t="str">
        <f>CONCATENATE("(",ROUND((B189/$H189)*100,1),")")</f>
        <v>(56.4)</v>
      </c>
      <c r="D189" s="302">
        <f>SUM(D187:D188)</f>
        <v>42.371999999258989</v>
      </c>
      <c r="E189" s="299" t="str">
        <f>CONCATENATE("(",ROUND((D189/$H189)*100,1),")")</f>
        <v>(11.2)</v>
      </c>
      <c r="F189" s="302">
        <f>SUM(F187:F188)</f>
        <v>123.12299998494642</v>
      </c>
      <c r="G189" s="299" t="str">
        <f>CONCATENATE("(",ROUND((F189/$H189)*100,1),")")</f>
        <v>(32.4)</v>
      </c>
      <c r="H189" s="302">
        <f>SUM(H187:H188)</f>
        <v>379.64199998098923</v>
      </c>
      <c r="I189" s="299" t="str">
        <f>CONCATENATE("(",ROUND((H189/$H189)*100,1),")")</f>
        <v>(100)</v>
      </c>
      <c r="K189" s="302">
        <f t="shared" si="152"/>
        <v>41.186999999407249</v>
      </c>
      <c r="L189" s="302">
        <f t="shared" si="153"/>
        <v>10.667999999602952</v>
      </c>
      <c r="M189" s="302">
        <f t="shared" si="154"/>
        <v>29.983999991226554</v>
      </c>
      <c r="N189" s="302">
        <f t="shared" si="155"/>
        <v>81.838999990236758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379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377</v>
      </c>
    </row>
    <row r="196" spans="1:14" x14ac:dyDescent="0.2">
      <c r="A196" s="181" t="s">
        <v>378</v>
      </c>
      <c r="B196" s="369" t="s">
        <v>376</v>
      </c>
      <c r="C196" s="369"/>
      <c r="D196" s="369" t="s">
        <v>375</v>
      </c>
      <c r="E196" s="369"/>
      <c r="F196" s="369" t="s">
        <v>374</v>
      </c>
      <c r="G196" s="369"/>
      <c r="H196" s="369" t="s">
        <v>32</v>
      </c>
      <c r="I196" s="369"/>
      <c r="J196" s="181"/>
      <c r="K196" s="297" t="s">
        <v>339</v>
      </c>
      <c r="L196" s="297" t="s">
        <v>341</v>
      </c>
      <c r="M196" s="297" t="s">
        <v>337</v>
      </c>
      <c r="N196" s="297" t="s">
        <v>32</v>
      </c>
    </row>
    <row r="197" spans="1:14" x14ac:dyDescent="0.2">
      <c r="A197" s="292">
        <f>$A$8</f>
        <v>2020</v>
      </c>
      <c r="B197" s="287" t="s">
        <v>60</v>
      </c>
      <c r="C197" s="19" t="s">
        <v>373</v>
      </c>
      <c r="D197" s="287" t="s">
        <v>60</v>
      </c>
      <c r="E197" s="19" t="s">
        <v>373</v>
      </c>
      <c r="F197" s="287" t="s">
        <v>60</v>
      </c>
      <c r="G197" s="19" t="s">
        <v>373</v>
      </c>
      <c r="H197" s="287" t="s">
        <v>60</v>
      </c>
      <c r="I197" s="19" t="s">
        <v>373</v>
      </c>
      <c r="J197" s="181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355</v>
      </c>
      <c r="B198" s="302">
        <f>'Ind T6'!L240</f>
        <v>225.69299999612369</v>
      </c>
      <c r="C198" s="299" t="str">
        <f>CONCATENATE("(",ROUND((B198/$H200)*100,1),")")</f>
        <v>(35.3)</v>
      </c>
      <c r="D198" s="302">
        <f>'Ind T6'!M240</f>
        <v>81.143999998248262</v>
      </c>
      <c r="E198" s="299" t="str">
        <f>CONCATENATE("(",ROUND((D198/$H200)*100,1),")")</f>
        <v>(12.7)</v>
      </c>
      <c r="F198" s="302">
        <f>'Ind T6'!N240</f>
        <v>11.492999999884532</v>
      </c>
      <c r="G198" s="299" t="str">
        <f>CONCATENATE("(",ROUND((F198/$H200)*100,1),")")</f>
        <v>(1.8)</v>
      </c>
      <c r="H198" s="302">
        <f>SUM(B198,D198,F198)</f>
        <v>318.32999999425647</v>
      </c>
      <c r="I198" s="299" t="str">
        <f>CONCATENATE("(",ROUND((H198/$H200)*100,1),")")</f>
        <v>(49.8)</v>
      </c>
      <c r="K198" s="302">
        <f>B203-B198</f>
        <v>-1.8479999992459568</v>
      </c>
      <c r="L198" s="302">
        <f>D203-D198</f>
        <v>-1.0299999993957698</v>
      </c>
      <c r="M198" s="302">
        <f>F203-F198</f>
        <v>-0.13599999996556988</v>
      </c>
      <c r="N198" s="302">
        <f>SUM(K198:M198)</f>
        <v>-3.0139999986072965</v>
      </c>
    </row>
    <row r="199" spans="1:14" x14ac:dyDescent="0.2">
      <c r="A199" s="282" t="s">
        <v>356</v>
      </c>
      <c r="B199" s="302">
        <f>'Ind T6'!L239</f>
        <v>160.96199999707596</v>
      </c>
      <c r="C199" s="299" t="str">
        <f>CONCATENATE("(",ROUND((B199/$H200)*100,1),")")</f>
        <v>(25.2)</v>
      </c>
      <c r="D199" s="302">
        <f>'Ind T6'!M239</f>
        <v>147.82600000243502</v>
      </c>
      <c r="E199" s="299" t="str">
        <f>CONCATENATE("(",ROUND((D199/$H200)*100,1),")")</f>
        <v>(23.1)</v>
      </c>
      <c r="F199" s="302">
        <f>'Ind T6'!N239</f>
        <v>11.572999999833367</v>
      </c>
      <c r="G199" s="299" t="str">
        <f>CONCATENATE("(",ROUND((F199/$H200)*100,1),")")</f>
        <v>(1.8)</v>
      </c>
      <c r="H199" s="302">
        <f t="shared" ref="H199" si="156">SUM(B199,D199,F199)</f>
        <v>320.36099999934436</v>
      </c>
      <c r="I199" s="299" t="str">
        <f>CONCATENATE("(",ROUND((H199/$H200)*100,1),")")</f>
        <v>(50.2)</v>
      </c>
      <c r="K199" s="302">
        <f t="shared" ref="K199:K200" si="157">B204-B199</f>
        <v>3.2150000039711983</v>
      </c>
      <c r="L199" s="302">
        <f t="shared" ref="L199:L200" si="158">D204-D199</f>
        <v>-7.154999997729476</v>
      </c>
      <c r="M199" s="302">
        <f t="shared" ref="M199:M200" si="159">F204-F199</f>
        <v>0.20700000012851483</v>
      </c>
      <c r="N199" s="302">
        <f t="shared" ref="N199:N200" si="160">SUM(K199:M199)</f>
        <v>-3.7329999936297629</v>
      </c>
    </row>
    <row r="200" spans="1:14" x14ac:dyDescent="0.2">
      <c r="A200" s="282" t="s">
        <v>354</v>
      </c>
      <c r="B200" s="302">
        <f>SUM(B198:B199)</f>
        <v>386.65499999319968</v>
      </c>
      <c r="C200" s="299" t="str">
        <f>CONCATENATE("(",ROUND((B200/$H200)*100,1),")")</f>
        <v>(60.5)</v>
      </c>
      <c r="D200" s="302">
        <f>SUM(D198:D199)</f>
        <v>228.97000000068329</v>
      </c>
      <c r="E200" s="299" t="str">
        <f>CONCATENATE("(",ROUND((D200/$H200)*100,1),")")</f>
        <v>(35.8)</v>
      </c>
      <c r="F200" s="302">
        <f>SUM(F198:F199)</f>
        <v>23.065999999717899</v>
      </c>
      <c r="G200" s="299" t="str">
        <f>CONCATENATE("(",ROUND((F200/$H200)*100,1),")")</f>
        <v>(3.6)</v>
      </c>
      <c r="H200" s="302">
        <f>SUM(H198:H199)</f>
        <v>638.69099999360083</v>
      </c>
      <c r="I200" s="299" t="str">
        <f>CONCATENATE("(",ROUND((H200/$H200)*100,1),")")</f>
        <v>(100)</v>
      </c>
      <c r="K200" s="302">
        <f t="shared" si="157"/>
        <v>1.3670000047252415</v>
      </c>
      <c r="L200" s="302">
        <f t="shared" si="158"/>
        <v>-8.1849999971252601</v>
      </c>
      <c r="M200" s="302">
        <f t="shared" si="159"/>
        <v>7.1000000162943167E-2</v>
      </c>
      <c r="N200" s="302">
        <f t="shared" si="160"/>
        <v>-6.7469999922370754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355</v>
      </c>
      <c r="B203" s="302">
        <f>'Ind T6'!Q240</f>
        <v>223.84499999687773</v>
      </c>
      <c r="C203" s="299" t="str">
        <f>CONCATENATE("(",ROUND((B203/$H205)*100,1),")")</f>
        <v>(35.4)</v>
      </c>
      <c r="D203" s="302">
        <f>'Ind T6'!R240</f>
        <v>80.113999998852492</v>
      </c>
      <c r="E203" s="299" t="str">
        <f>CONCATENATE("(",ROUND((D203/$H205)*100,1),")")</f>
        <v>(12.7)</v>
      </c>
      <c r="F203" s="302">
        <f>'Ind T6'!S240</f>
        <v>11.356999999918962</v>
      </c>
      <c r="G203" s="299" t="str">
        <f>CONCATENATE("(",ROUND((F203/$H205)*100,1),")")</f>
        <v>(1.8)</v>
      </c>
      <c r="H203" s="302">
        <f>SUM(B203,D203,F203)</f>
        <v>315.31599999564918</v>
      </c>
      <c r="I203" s="299" t="str">
        <f>CONCATENATE("(",ROUND((H203/$H205)*100,1),")")</f>
        <v>(49.9)</v>
      </c>
      <c r="K203" s="302">
        <f>B208-B203</f>
        <v>2.1770000000544201</v>
      </c>
      <c r="L203" s="302">
        <f>D208-D203</f>
        <v>-0.60799999973852437</v>
      </c>
      <c r="M203" s="302">
        <f>F208-F203</f>
        <v>4.1000000012790139E-2</v>
      </c>
      <c r="N203" s="302">
        <f>SUM(K203:M203)</f>
        <v>1.6100000003286858</v>
      </c>
    </row>
    <row r="204" spans="1:14" x14ac:dyDescent="0.2">
      <c r="A204" s="282" t="s">
        <v>356</v>
      </c>
      <c r="B204" s="302">
        <f>'Ind T6'!Q239</f>
        <v>164.17700000104716</v>
      </c>
      <c r="C204" s="299" t="str">
        <f>CONCATENATE("(",ROUND((B204/$H205)*100,1),")")</f>
        <v>(26)</v>
      </c>
      <c r="D204" s="302">
        <f>'Ind T6'!R239</f>
        <v>140.67100000470555</v>
      </c>
      <c r="E204" s="299" t="str">
        <f>CONCATENATE("(",ROUND((D204/$H205)*100,1),")")</f>
        <v>(22.3)</v>
      </c>
      <c r="F204" s="302">
        <f>'Ind T6'!S239</f>
        <v>11.779999999961882</v>
      </c>
      <c r="G204" s="299" t="str">
        <f>CONCATENATE("(",ROUND((F204/$H205)*100,1),")")</f>
        <v>(1.9)</v>
      </c>
      <c r="H204" s="302">
        <f t="shared" ref="H204" si="161">SUM(B204,D204,F204)</f>
        <v>316.62800000571463</v>
      </c>
      <c r="I204" s="299" t="str">
        <f>CONCATENATE("(",ROUND((H204/$H205)*100,1),")")</f>
        <v>(50.1)</v>
      </c>
      <c r="K204" s="302">
        <f t="shared" ref="K204:K205" si="162">B209-B204</f>
        <v>9.6149999972364242</v>
      </c>
      <c r="L204" s="302">
        <f t="shared" ref="L204:L205" si="163">D209-D204</f>
        <v>-11.762000006142017</v>
      </c>
      <c r="M204" s="302">
        <f t="shared" ref="M204:M205" si="164">F209-F204</f>
        <v>0.61800000000986266</v>
      </c>
      <c r="N204" s="302">
        <f t="shared" ref="N204:N205" si="165">SUM(K204:M204)</f>
        <v>-1.5290000088957303</v>
      </c>
    </row>
    <row r="205" spans="1:14" x14ac:dyDescent="0.2">
      <c r="A205" s="282" t="s">
        <v>354</v>
      </c>
      <c r="B205" s="302">
        <f>SUM(B203:B204)</f>
        <v>388.02199999792492</v>
      </c>
      <c r="C205" s="299" t="str">
        <f>CONCATENATE("(",ROUND((B205/$H205)*100,1),")")</f>
        <v>(61.4)</v>
      </c>
      <c r="D205" s="302">
        <f>SUM(D203:D204)</f>
        <v>220.78500000355803</v>
      </c>
      <c r="E205" s="299" t="str">
        <f>CONCATENATE("(",ROUND((D205/$H205)*100,1),")")</f>
        <v>(34.9)</v>
      </c>
      <c r="F205" s="302">
        <f>SUM(F203:F204)</f>
        <v>23.136999999880842</v>
      </c>
      <c r="G205" s="299" t="str">
        <f>CONCATENATE("(",ROUND((F205/$H205)*100,1),")")</f>
        <v>(3.7)</v>
      </c>
      <c r="H205" s="302">
        <f>SUM(H203:H204)</f>
        <v>631.94400000136375</v>
      </c>
      <c r="I205" s="299" t="str">
        <f>CONCATENATE("(",ROUND((H205/$H205)*100,1),")")</f>
        <v>(100)</v>
      </c>
      <c r="K205" s="302">
        <f t="shared" si="162"/>
        <v>11.791999997290816</v>
      </c>
      <c r="L205" s="302">
        <f t="shared" si="163"/>
        <v>-12.370000005880513</v>
      </c>
      <c r="M205" s="302">
        <f t="shared" si="164"/>
        <v>0.65900000002265458</v>
      </c>
      <c r="N205" s="302">
        <f t="shared" si="165"/>
        <v>8.099999143295733E-2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355</v>
      </c>
      <c r="B208" s="302">
        <f>'Ind T6'!V240</f>
        <v>226.02199999693215</v>
      </c>
      <c r="C208" s="299" t="str">
        <f>CONCATENATE("(",ROUND((B208/$H210)*100,1),")")</f>
        <v>(35.8)</v>
      </c>
      <c r="D208" s="302">
        <f>'Ind T6'!W240</f>
        <v>79.505999999113968</v>
      </c>
      <c r="E208" s="299" t="str">
        <f>CONCATENATE("(",ROUND((D208/$H210)*100,1),")")</f>
        <v>(12.6)</v>
      </c>
      <c r="F208" s="302">
        <f>'Ind T6'!X240</f>
        <v>11.397999999931752</v>
      </c>
      <c r="G208" s="299" t="str">
        <f>CONCATENATE("(",ROUND((F208/$H210)*100,1),")")</f>
        <v>(1.8)</v>
      </c>
      <c r="H208" s="302">
        <f>SUM(B208,D208,F208)</f>
        <v>316.92599999597786</v>
      </c>
      <c r="I208" s="299" t="str">
        <f>CONCATENATE("(",ROUND((H208/$H210)*100,1),")")</f>
        <v>(50.1)</v>
      </c>
      <c r="K208" s="302">
        <f>B208-B198</f>
        <v>0.32900000080846326</v>
      </c>
      <c r="L208" s="302">
        <f>D208-D198</f>
        <v>-1.6379999991342942</v>
      </c>
      <c r="M208" s="302">
        <f>F208-F198</f>
        <v>-9.4999999952779746E-2</v>
      </c>
      <c r="N208" s="302">
        <f>SUM(K208:M208)</f>
        <v>-1.4039999982786107</v>
      </c>
    </row>
    <row r="209" spans="1:14" x14ac:dyDescent="0.2">
      <c r="A209" s="282" t="s">
        <v>356</v>
      </c>
      <c r="B209" s="302">
        <f>'Ind T6'!V239</f>
        <v>173.79199999828359</v>
      </c>
      <c r="C209" s="299" t="str">
        <f>CONCATENATE("(",ROUND((B209/$H210)*100,1),")")</f>
        <v>(27.5)</v>
      </c>
      <c r="D209" s="302">
        <f>'Ind T6'!W239</f>
        <v>128.90899999856353</v>
      </c>
      <c r="E209" s="299" t="str">
        <f>CONCATENATE("(",ROUND((D209/$H210)*100,1),")")</f>
        <v>(20.4)</v>
      </c>
      <c r="F209" s="302">
        <f>'Ind T6'!X239</f>
        <v>12.397999999971745</v>
      </c>
      <c r="G209" s="299" t="str">
        <f>CONCATENATE("(",ROUND((F209/$H210)*100,1),")")</f>
        <v>(2)</v>
      </c>
      <c r="H209" s="302">
        <f t="shared" ref="H209" si="166">SUM(B209,D209,F209)</f>
        <v>315.09899999681886</v>
      </c>
      <c r="I209" s="299" t="str">
        <f>CONCATENATE("(",ROUND((H209/$H210)*100,1),")")</f>
        <v>(49.9)</v>
      </c>
      <c r="K209" s="302">
        <f t="shared" ref="K209:K210" si="167">B209-B199</f>
        <v>12.830000001207623</v>
      </c>
      <c r="L209" s="302">
        <f t="shared" ref="L209:L210" si="168">D209-D199</f>
        <v>-18.917000003871493</v>
      </c>
      <c r="M209" s="302">
        <f t="shared" ref="M209:M210" si="169">F209-F199</f>
        <v>0.82500000013837749</v>
      </c>
      <c r="N209" s="302">
        <f t="shared" ref="N209:N210" si="170">SUM(K209:M209)</f>
        <v>-5.2620000025254932</v>
      </c>
    </row>
    <row r="210" spans="1:14" x14ac:dyDescent="0.2">
      <c r="A210" s="282" t="s">
        <v>354</v>
      </c>
      <c r="B210" s="302">
        <f>SUM(B208:B209)</f>
        <v>399.81399999521574</v>
      </c>
      <c r="C210" s="299" t="str">
        <f>CONCATENATE("(",ROUND((B210/$H210)*100,1),")")</f>
        <v>(63.3)</v>
      </c>
      <c r="D210" s="302">
        <f>SUM(D208:D209)</f>
        <v>208.41499999767751</v>
      </c>
      <c r="E210" s="299" t="str">
        <f>CONCATENATE("(",ROUND((D210/$H210)*100,1),")")</f>
        <v>(33)</v>
      </c>
      <c r="F210" s="302">
        <f>SUM(F208:F209)</f>
        <v>23.795999999903497</v>
      </c>
      <c r="G210" s="299" t="str">
        <f>CONCATENATE("(",ROUND((F210/$H210)*100,1),")")</f>
        <v>(3.8)</v>
      </c>
      <c r="H210" s="302">
        <f>SUM(H208:H209)</f>
        <v>632.02499999279667</v>
      </c>
      <c r="I210" s="299" t="str">
        <f>CONCATENATE("(",ROUND((H210/$H210)*100,1),")")</f>
        <v>(100)</v>
      </c>
      <c r="K210" s="302">
        <f t="shared" si="167"/>
        <v>13.159000002016057</v>
      </c>
      <c r="L210" s="302">
        <f t="shared" si="168"/>
        <v>-20.555000003005773</v>
      </c>
      <c r="M210" s="302">
        <f t="shared" si="169"/>
        <v>0.73000000018559774</v>
      </c>
      <c r="N210" s="302">
        <f t="shared" si="170"/>
        <v>-6.666000000804118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379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377</v>
      </c>
    </row>
    <row r="217" spans="1:14" x14ac:dyDescent="0.2">
      <c r="A217" s="181" t="s">
        <v>378</v>
      </c>
      <c r="B217" s="369" t="s">
        <v>376</v>
      </c>
      <c r="C217" s="369"/>
      <c r="D217" s="369" t="s">
        <v>375</v>
      </c>
      <c r="E217" s="369"/>
      <c r="F217" s="369" t="s">
        <v>374</v>
      </c>
      <c r="G217" s="369"/>
      <c r="H217" s="369" t="s">
        <v>32</v>
      </c>
      <c r="I217" s="369"/>
      <c r="J217" s="181"/>
      <c r="K217" s="297" t="s">
        <v>339</v>
      </c>
      <c r="L217" s="297" t="s">
        <v>341</v>
      </c>
      <c r="M217" s="297" t="s">
        <v>337</v>
      </c>
      <c r="N217" s="297" t="s">
        <v>32</v>
      </c>
    </row>
    <row r="218" spans="1:14" x14ac:dyDescent="0.2">
      <c r="A218" s="292">
        <f>$A$8</f>
        <v>2020</v>
      </c>
      <c r="B218" s="287" t="s">
        <v>60</v>
      </c>
      <c r="C218" s="19" t="s">
        <v>373</v>
      </c>
      <c r="D218" s="287" t="s">
        <v>60</v>
      </c>
      <c r="E218" s="19" t="s">
        <v>373</v>
      </c>
      <c r="F218" s="287" t="s">
        <v>60</v>
      </c>
      <c r="G218" s="19" t="s">
        <v>373</v>
      </c>
      <c r="H218" s="287" t="s">
        <v>60</v>
      </c>
      <c r="I218" s="19" t="s">
        <v>373</v>
      </c>
      <c r="J218" s="181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355</v>
      </c>
      <c r="B219" s="302">
        <f>'Ind T6'!L275</f>
        <v>168.42399999677338</v>
      </c>
      <c r="C219" s="299" t="str">
        <f>CONCATENATE("(",ROUND((B219/$H221)*100,1),")")</f>
        <v>(52.7)</v>
      </c>
      <c r="D219" s="302">
        <f>'Ind T6'!M275</f>
        <v>25.971999999447107</v>
      </c>
      <c r="E219" s="299" t="str">
        <f>CONCATENATE("(",ROUND((D219/$H221)*100,1),")")</f>
        <v>(8.1)</v>
      </c>
      <c r="F219" s="302">
        <f>'Ind T6'!N275</f>
        <v>46.660999999886116</v>
      </c>
      <c r="G219" s="299" t="str">
        <f>CONCATENATE("(",ROUND((F219/$H221)*100,1),")")</f>
        <v>(14.6)</v>
      </c>
      <c r="H219" s="302">
        <f>SUM(B219,D219,F219)</f>
        <v>241.05699999610661</v>
      </c>
      <c r="I219" s="299" t="str">
        <f>CONCATENATE("(",ROUND((H219/$H221)*100,1),")")</f>
        <v>(75.4)</v>
      </c>
      <c r="K219" s="302">
        <f>B224-B219</f>
        <v>10.684000000263069</v>
      </c>
      <c r="L219" s="302">
        <f>D224-D219</f>
        <v>2.2069999999479357</v>
      </c>
      <c r="M219" s="302">
        <f>F224-F219</f>
        <v>6.7120000024677253</v>
      </c>
      <c r="N219" s="302">
        <f>SUM(K219:M219)</f>
        <v>19.60300000267873</v>
      </c>
    </row>
    <row r="220" spans="1:14" x14ac:dyDescent="0.2">
      <c r="A220" s="282" t="s">
        <v>356</v>
      </c>
      <c r="B220" s="302">
        <f>'Ind T6'!L274</f>
        <v>47.272999999413059</v>
      </c>
      <c r="C220" s="299" t="str">
        <f>CONCATENATE("(",ROUND((B220/$H221)*100,1),")")</f>
        <v>(14.8)</v>
      </c>
      <c r="D220" s="302">
        <f>'Ind T6'!M274</f>
        <v>29.272999999795815</v>
      </c>
      <c r="E220" s="299" t="str">
        <f>CONCATENATE("(",ROUND((D220/$H221)*100,1),")")</f>
        <v>(9.2)</v>
      </c>
      <c r="F220" s="302">
        <f>'Ind T6'!N274</f>
        <v>2.201999999947363</v>
      </c>
      <c r="G220" s="299" t="str">
        <f>CONCATENATE("(",ROUND((F220/$H221)*100,1),")")</f>
        <v>(0.7)</v>
      </c>
      <c r="H220" s="302">
        <f t="shared" ref="H220" si="171">SUM(B220,D220,F220)</f>
        <v>78.747999999156235</v>
      </c>
      <c r="I220" s="299" t="str">
        <f>CONCATENATE("(",ROUND((H220/$H221)*100,1),")")</f>
        <v>(24.6)</v>
      </c>
      <c r="K220" s="302">
        <f t="shared" ref="K220:K221" si="172">B225-B220</f>
        <v>3.0690000010879714</v>
      </c>
      <c r="L220" s="302">
        <f t="shared" ref="L220:L221" si="173">D225-D220</f>
        <v>2.2839999999775138</v>
      </c>
      <c r="M220" s="302">
        <f t="shared" ref="M220:M221" si="174">F225-F220</f>
        <v>0.23799999998782662</v>
      </c>
      <c r="N220" s="302">
        <f t="shared" ref="N220:N221" si="175">SUM(K220:M220)</f>
        <v>5.5910000010533114</v>
      </c>
    </row>
    <row r="221" spans="1:14" x14ac:dyDescent="0.2">
      <c r="A221" s="282" t="s">
        <v>354</v>
      </c>
      <c r="B221" s="302">
        <f>SUM(B219:B220)</f>
        <v>215.69699999618643</v>
      </c>
      <c r="C221" s="299" t="str">
        <f>CONCATENATE("(",ROUND((B221/$H221)*100,1),")")</f>
        <v>(67.4)</v>
      </c>
      <c r="D221" s="302">
        <f>SUM(D219:D220)</f>
        <v>55.244999999242921</v>
      </c>
      <c r="E221" s="299" t="str">
        <f>CONCATENATE("(",ROUND((D221/$H221)*100,1),")")</f>
        <v>(17.3)</v>
      </c>
      <c r="F221" s="302">
        <f>SUM(F219:F220)</f>
        <v>48.862999999833477</v>
      </c>
      <c r="G221" s="299" t="str">
        <f>CONCATENATE("(",ROUND((F221/$H221)*100,1),")")</f>
        <v>(15.3)</v>
      </c>
      <c r="H221" s="302">
        <f>SUM(H219:H220)</f>
        <v>319.80499999526285</v>
      </c>
      <c r="I221" s="299" t="str">
        <f>CONCATENATE("(",ROUND((H221/$H221)*100,1),")")</f>
        <v>(100)</v>
      </c>
      <c r="K221" s="302">
        <f t="shared" si="172"/>
        <v>13.75300000135104</v>
      </c>
      <c r="L221" s="302">
        <f t="shared" si="173"/>
        <v>4.4909999999254495</v>
      </c>
      <c r="M221" s="302">
        <f t="shared" si="174"/>
        <v>6.9500000024555533</v>
      </c>
      <c r="N221" s="302">
        <f t="shared" si="175"/>
        <v>25.194000003732043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355</v>
      </c>
      <c r="B224" s="302">
        <f>'Ind T6'!Q275</f>
        <v>179.10799999703644</v>
      </c>
      <c r="C224" s="299" t="str">
        <f>CONCATENATE("(",ROUND((B224/$H226)*100,1),")")</f>
        <v>(51.9)</v>
      </c>
      <c r="D224" s="302">
        <f>'Ind T6'!R275</f>
        <v>28.178999999395042</v>
      </c>
      <c r="E224" s="299" t="str">
        <f>CONCATENATE("(",ROUND((D224/$H226)*100,1),")")</f>
        <v>(8.2)</v>
      </c>
      <c r="F224" s="302">
        <f>'Ind T6'!S275</f>
        <v>53.373000002353841</v>
      </c>
      <c r="G224" s="299" t="str">
        <f>CONCATENATE("(",ROUND((F224/$H226)*100,1),")")</f>
        <v>(15.5)</v>
      </c>
      <c r="H224" s="302">
        <f>SUM(B224,D224,F224)</f>
        <v>260.65999999878534</v>
      </c>
      <c r="I224" s="299" t="str">
        <f>CONCATENATE("(",ROUND((H224/$H226)*100,1),")")</f>
        <v>(75.6)</v>
      </c>
      <c r="K224" s="302">
        <f>B229-B224</f>
        <v>-5.930000000559545</v>
      </c>
      <c r="L224" s="302">
        <f>D229-D224</f>
        <v>0.63999999988040202</v>
      </c>
      <c r="M224" s="302">
        <f>F229-F224</f>
        <v>2.5689999988092609</v>
      </c>
      <c r="N224" s="302">
        <f>SUM(K224:M224)</f>
        <v>-2.7210000018698821</v>
      </c>
    </row>
    <row r="225" spans="1:14" x14ac:dyDescent="0.2">
      <c r="A225" s="282" t="s">
        <v>356</v>
      </c>
      <c r="B225" s="302">
        <f>'Ind T6'!Q274</f>
        <v>50.342000000501031</v>
      </c>
      <c r="C225" s="299" t="str">
        <f>CONCATENATE("(",ROUND((B225/$H226)*100,1),")")</f>
        <v>(14.6)</v>
      </c>
      <c r="D225" s="302">
        <f>'Ind T6'!R274</f>
        <v>31.556999999773328</v>
      </c>
      <c r="E225" s="299" t="str">
        <f>CONCATENATE("(",ROUND((D225/$H226)*100,1),")")</f>
        <v>(9.1)</v>
      </c>
      <c r="F225" s="302">
        <f>'Ind T6'!S274</f>
        <v>2.4399999999351896</v>
      </c>
      <c r="G225" s="299" t="str">
        <f>CONCATENATE("(",ROUND((F225/$H226)*100,1),")")</f>
        <v>(0.7)</v>
      </c>
      <c r="H225" s="302">
        <f t="shared" ref="H225" si="176">SUM(B225,D225,F225)</f>
        <v>84.339000000209552</v>
      </c>
      <c r="I225" s="299" t="str">
        <f>CONCATENATE("(",ROUND((H225/$H226)*100,1),")")</f>
        <v>(24.4)</v>
      </c>
      <c r="K225" s="302">
        <f t="shared" ref="K225:K226" si="177">B230-B225</f>
        <v>1.3739999992346554</v>
      </c>
      <c r="L225" s="302">
        <f t="shared" ref="L225:L226" si="178">D230-D225</f>
        <v>1.7409999997598753</v>
      </c>
      <c r="M225" s="302">
        <f t="shared" ref="M225:M226" si="179">F230-F225</f>
        <v>-1.9999999842688077E-3</v>
      </c>
      <c r="N225" s="302">
        <f t="shared" ref="N225:N226" si="180">SUM(K225:M225)</f>
        <v>3.1129999990102619</v>
      </c>
    </row>
    <row r="226" spans="1:14" x14ac:dyDescent="0.2">
      <c r="A226" s="282" t="s">
        <v>354</v>
      </c>
      <c r="B226" s="302">
        <f>SUM(B224:B225)</f>
        <v>229.44999999753747</v>
      </c>
      <c r="C226" s="299" t="str">
        <f>CONCATENATE("(",ROUND((B226/$H226)*100,1),")")</f>
        <v>(66.5)</v>
      </c>
      <c r="D226" s="302">
        <f>SUM(D224:D225)</f>
        <v>59.735999999168371</v>
      </c>
      <c r="E226" s="299" t="str">
        <f>CONCATENATE("(",ROUND((D226/$H226)*100,1),")")</f>
        <v>(17.3)</v>
      </c>
      <c r="F226" s="302">
        <f>SUM(F224:F225)</f>
        <v>55.81300000228903</v>
      </c>
      <c r="G226" s="299" t="str">
        <f>CONCATENATE("(",ROUND((F226/$H226)*100,1),")")</f>
        <v>(16.2)</v>
      </c>
      <c r="H226" s="302">
        <f>SUM(H224:H225)</f>
        <v>344.99899999899492</v>
      </c>
      <c r="I226" s="299" t="str">
        <f>CONCATENATE("(",ROUND((H226/$H226)*100,1),")")</f>
        <v>(100)</v>
      </c>
      <c r="K226" s="302">
        <f t="shared" si="177"/>
        <v>-4.5560000013248896</v>
      </c>
      <c r="L226" s="302">
        <f t="shared" si="178"/>
        <v>2.3809999996402809</v>
      </c>
      <c r="M226" s="302">
        <f t="shared" si="179"/>
        <v>2.5669999988249899</v>
      </c>
      <c r="N226" s="302">
        <f t="shared" si="180"/>
        <v>0.39199999714038114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355</v>
      </c>
      <c r="B229" s="302">
        <f>'Ind T6'!V275</f>
        <v>173.1779999964769</v>
      </c>
      <c r="C229" s="299" t="str">
        <f>CONCATENATE("(",ROUND((B229/$H231)*100,1),")")</f>
        <v>(50.1)</v>
      </c>
      <c r="D229" s="302">
        <f>'Ind T6'!W275</f>
        <v>28.818999999275444</v>
      </c>
      <c r="E229" s="299" t="str">
        <f>CONCATENATE("(",ROUND((D229/$H231)*100,1),")")</f>
        <v>(8.3)</v>
      </c>
      <c r="F229" s="302">
        <f>'Ind T6'!X275</f>
        <v>55.942000001163102</v>
      </c>
      <c r="G229" s="299" t="str">
        <f>CONCATENATE("(",ROUND((F229/$H231)*100,1),")")</f>
        <v>(16.2)</v>
      </c>
      <c r="H229" s="302">
        <f>SUM(B229,D229,F229)</f>
        <v>257.93899999691541</v>
      </c>
      <c r="I229" s="299" t="str">
        <f>CONCATENATE("(",ROUND((H229/$H231)*100,1),")")</f>
        <v>(74.7)</v>
      </c>
      <c r="K229" s="302">
        <f>B229-B219</f>
        <v>4.7539999997035238</v>
      </c>
      <c r="L229" s="302">
        <f>D229-D219</f>
        <v>2.8469999998283377</v>
      </c>
      <c r="M229" s="302">
        <f>F229-F219</f>
        <v>9.2810000012769862</v>
      </c>
      <c r="N229" s="302">
        <f>SUM(K229:M229)</f>
        <v>16.882000000808848</v>
      </c>
    </row>
    <row r="230" spans="1:14" x14ac:dyDescent="0.2">
      <c r="A230" s="282" t="s">
        <v>356</v>
      </c>
      <c r="B230" s="302">
        <f>'Ind T6'!V274</f>
        <v>51.715999999735686</v>
      </c>
      <c r="C230" s="299" t="str">
        <f>CONCATENATE("(",ROUND((B230/$H231)*100,1),")")</f>
        <v>(15)</v>
      </c>
      <c r="D230" s="302">
        <f>'Ind T6'!W274</f>
        <v>33.297999999533204</v>
      </c>
      <c r="E230" s="299" t="str">
        <f>CONCATENATE("(",ROUND((D230/$H231)*100,1),")")</f>
        <v>(9.6)</v>
      </c>
      <c r="F230" s="302">
        <f>'Ind T6'!X274</f>
        <v>2.4379999999509208</v>
      </c>
      <c r="G230" s="299" t="str">
        <f>CONCATENATE("(",ROUND((F230/$H231)*100,1),")")</f>
        <v>(0.7)</v>
      </c>
      <c r="H230" s="302">
        <f t="shared" ref="H230" si="181">SUM(B230,D230,F230)</f>
        <v>87.451999999219808</v>
      </c>
      <c r="I230" s="299" t="str">
        <f>CONCATENATE("(",ROUND((H230/$H231)*100,1),")")</f>
        <v>(25.3)</v>
      </c>
      <c r="K230" s="302">
        <f t="shared" ref="K230:K231" si="182">B230-B220</f>
        <v>4.4430000003226269</v>
      </c>
      <c r="L230" s="302">
        <f t="shared" ref="L230:L231" si="183">D230-D220</f>
        <v>4.0249999997373891</v>
      </c>
      <c r="M230" s="302">
        <f t="shared" ref="M230:M231" si="184">F230-F220</f>
        <v>0.23600000000355781</v>
      </c>
      <c r="N230" s="302">
        <f t="shared" ref="N230:N231" si="185">SUM(K230:M230)</f>
        <v>8.7040000000635729</v>
      </c>
    </row>
    <row r="231" spans="1:14" x14ac:dyDescent="0.2">
      <c r="A231" s="282" t="s">
        <v>354</v>
      </c>
      <c r="B231" s="302">
        <f>SUM(B229:B230)</f>
        <v>224.89399999621259</v>
      </c>
      <c r="C231" s="299" t="str">
        <f>CONCATENATE("(",ROUND((B231/$H231)*100,1),")")</f>
        <v>(65.1)</v>
      </c>
      <c r="D231" s="302">
        <f>SUM(D229:D230)</f>
        <v>62.116999998808652</v>
      </c>
      <c r="E231" s="299" t="str">
        <f>CONCATENATE("(",ROUND((D231/$H231)*100,1),")")</f>
        <v>(18)</v>
      </c>
      <c r="F231" s="302">
        <f>SUM(F229:F230)</f>
        <v>58.38000000111402</v>
      </c>
      <c r="G231" s="299" t="str">
        <f>CONCATENATE("(",ROUND((F231/$H231)*100,1),")")</f>
        <v>(16.9)</v>
      </c>
      <c r="H231" s="302">
        <f>SUM(H229:H230)</f>
        <v>345.39099999613524</v>
      </c>
      <c r="I231" s="299" t="str">
        <f>CONCATENATE("(",ROUND((H231/$H231)*100,1),")")</f>
        <v>(100)</v>
      </c>
      <c r="K231" s="302">
        <f t="shared" si="182"/>
        <v>9.1970000000261507</v>
      </c>
      <c r="L231" s="302">
        <f t="shared" si="183"/>
        <v>6.8719999995657304</v>
      </c>
      <c r="M231" s="302">
        <f t="shared" si="184"/>
        <v>9.5170000012805431</v>
      </c>
      <c r="N231" s="302">
        <f t="shared" si="185"/>
        <v>25.586000000872424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379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377</v>
      </c>
    </row>
    <row r="238" spans="1:14" x14ac:dyDescent="0.2">
      <c r="A238" s="181" t="s">
        <v>378</v>
      </c>
      <c r="B238" s="369" t="s">
        <v>376</v>
      </c>
      <c r="C238" s="369"/>
      <c r="D238" s="369" t="s">
        <v>375</v>
      </c>
      <c r="E238" s="369"/>
      <c r="F238" s="369" t="s">
        <v>374</v>
      </c>
      <c r="G238" s="369"/>
      <c r="H238" s="369" t="s">
        <v>32</v>
      </c>
      <c r="I238" s="369"/>
      <c r="J238" s="181"/>
      <c r="K238" s="297" t="s">
        <v>339</v>
      </c>
      <c r="L238" s="297" t="s">
        <v>341</v>
      </c>
      <c r="M238" s="297" t="s">
        <v>337</v>
      </c>
      <c r="N238" s="297" t="s">
        <v>32</v>
      </c>
    </row>
    <row r="239" spans="1:14" x14ac:dyDescent="0.2">
      <c r="A239" s="292">
        <f>$A$8</f>
        <v>2020</v>
      </c>
      <c r="B239" s="287" t="s">
        <v>60</v>
      </c>
      <c r="C239" s="19" t="s">
        <v>373</v>
      </c>
      <c r="D239" s="287" t="s">
        <v>60</v>
      </c>
      <c r="E239" s="19" t="s">
        <v>373</v>
      </c>
      <c r="F239" s="287" t="s">
        <v>60</v>
      </c>
      <c r="G239" s="19" t="s">
        <v>373</v>
      </c>
      <c r="H239" s="287" t="s">
        <v>60</v>
      </c>
      <c r="I239" s="19" t="s">
        <v>373</v>
      </c>
      <c r="J239" s="181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355</v>
      </c>
      <c r="B240" s="302">
        <f>'Ind T6'!L295</f>
        <v>121.58999999779471</v>
      </c>
      <c r="C240" s="299" t="str">
        <f>CONCATENATE("(",ROUND((B240/$H242)*100,1),")")</f>
        <v>(28.4)</v>
      </c>
      <c r="D240" s="302">
        <f>'Ind T6'!M295</f>
        <v>94.550999998048084</v>
      </c>
      <c r="E240" s="299" t="str">
        <f>CONCATENATE("(",ROUND((D240/$H242)*100,1),")")</f>
        <v>(22.1)</v>
      </c>
      <c r="F240" s="302">
        <f>'Ind T6'!N295</f>
        <v>4.9340000000127242</v>
      </c>
      <c r="G240" s="299" t="str">
        <f>CONCATENATE("(",ROUND((F240/$H242)*100,1),")")</f>
        <v>(1.2)</v>
      </c>
      <c r="H240" s="302">
        <f>SUM(B240,D240,F240)</f>
        <v>221.07499999585551</v>
      </c>
      <c r="I240" s="299" t="str">
        <f>CONCATENATE("(",ROUND((H240/$H242)*100,1),")")</f>
        <v>(51.7)</v>
      </c>
      <c r="K240" s="302">
        <f>B245-B240</f>
        <v>9.0760000007018959</v>
      </c>
      <c r="L240" s="302">
        <f>D245-D240</f>
        <v>4.602000000742791</v>
      </c>
      <c r="M240" s="302">
        <f>F245-F240</f>
        <v>0.44900000010531027</v>
      </c>
      <c r="N240" s="302">
        <f>SUM(K240:M240)</f>
        <v>14.127000001549998</v>
      </c>
    </row>
    <row r="241" spans="1:14" x14ac:dyDescent="0.2">
      <c r="A241" s="282" t="s">
        <v>356</v>
      </c>
      <c r="B241" s="302">
        <f>'Ind T6'!L294</f>
        <v>89.793999998131738</v>
      </c>
      <c r="C241" s="299" t="str">
        <f>CONCATENATE("(",ROUND((B241/$H242)*100,1),")")</f>
        <v>(21)</v>
      </c>
      <c r="D241" s="302">
        <f>'Ind T6'!M294</f>
        <v>110.65300000081957</v>
      </c>
      <c r="E241" s="299" t="str">
        <f>CONCATENATE("(",ROUND((D241/$H242)*100,1),")")</f>
        <v>(25.9)</v>
      </c>
      <c r="F241" s="302">
        <f>'Ind T6'!N294</f>
        <v>6.4669999997826473</v>
      </c>
      <c r="G241" s="299" t="str">
        <f>CONCATENATE("(",ROUND((F241/$H242)*100,1),")")</f>
        <v>(1.5)</v>
      </c>
      <c r="H241" s="302">
        <f t="shared" ref="H241" si="186">SUM(B241,D241,F241)</f>
        <v>206.91399999873394</v>
      </c>
      <c r="I241" s="299" t="str">
        <f>CONCATENATE("(",ROUND((H241/$H242)*100,1),")")</f>
        <v>(48.3)</v>
      </c>
      <c r="K241" s="302">
        <f t="shared" ref="K241:K242" si="187">B246-B241</f>
        <v>6.6130000025483469</v>
      </c>
      <c r="L241" s="302">
        <f t="shared" ref="L241:L242" si="188">D246-D241</f>
        <v>5.722000001602197</v>
      </c>
      <c r="M241" s="302">
        <f t="shared" ref="M241:M242" si="189">F246-F241</f>
        <v>0.62800000006141588</v>
      </c>
      <c r="N241" s="302">
        <f t="shared" ref="N241:N242" si="190">SUM(K241:M241)</f>
        <v>12.96300000421196</v>
      </c>
    </row>
    <row r="242" spans="1:14" x14ac:dyDescent="0.2">
      <c r="A242" s="282" t="s">
        <v>354</v>
      </c>
      <c r="B242" s="302">
        <f>SUM(B240:B241)</f>
        <v>211.38399999592644</v>
      </c>
      <c r="C242" s="299" t="str">
        <f>CONCATENATE("(",ROUND((B242/$H242)*100,1),")")</f>
        <v>(49.4)</v>
      </c>
      <c r="D242" s="302">
        <f>SUM(D240:D241)</f>
        <v>205.20399999886766</v>
      </c>
      <c r="E242" s="299" t="str">
        <f>CONCATENATE("(",ROUND((D242/$H242)*100,1),")")</f>
        <v>(47.9)</v>
      </c>
      <c r="F242" s="302">
        <f>SUM(F240:F241)</f>
        <v>11.400999999795371</v>
      </c>
      <c r="G242" s="299" t="str">
        <f>CONCATENATE("(",ROUND((F242/$H242)*100,1),")")</f>
        <v>(2.7)</v>
      </c>
      <c r="H242" s="302">
        <f>SUM(H240:H241)</f>
        <v>427.98899999458945</v>
      </c>
      <c r="I242" s="299" t="str">
        <f>CONCATENATE("(",ROUND((H242/$H242)*100,1),")")</f>
        <v>(100)</v>
      </c>
      <c r="K242" s="302">
        <f t="shared" si="187"/>
        <v>15.689000003250243</v>
      </c>
      <c r="L242" s="302">
        <f t="shared" si="188"/>
        <v>10.324000002345002</v>
      </c>
      <c r="M242" s="302">
        <f t="shared" si="189"/>
        <v>1.077000000166727</v>
      </c>
      <c r="N242" s="302">
        <f t="shared" si="190"/>
        <v>27.090000005761972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355</v>
      </c>
      <c r="B245" s="302">
        <f>'Ind T6'!Q295</f>
        <v>130.6659999984966</v>
      </c>
      <c r="C245" s="299" t="str">
        <f>CONCATENATE("(",ROUND((B245/$H247)*100,1),")")</f>
        <v>(28.7)</v>
      </c>
      <c r="D245" s="302">
        <f>'Ind T6'!R295</f>
        <v>99.152999998790875</v>
      </c>
      <c r="E245" s="299" t="str">
        <f>CONCATENATE("(",ROUND((D245/$H247)*100,1),")")</f>
        <v>(21.8)</v>
      </c>
      <c r="F245" s="302">
        <f>'Ind T6'!S295</f>
        <v>5.3830000001180345</v>
      </c>
      <c r="G245" s="299" t="str">
        <f>CONCATENATE("(",ROUND((F245/$H247)*100,1),")")</f>
        <v>(1.2)</v>
      </c>
      <c r="H245" s="302">
        <f>SUM(B245,D245,F245)</f>
        <v>235.20199999740552</v>
      </c>
      <c r="I245" s="299" t="str">
        <f>CONCATENATE("(",ROUND((H245/$H247)*100,1),")")</f>
        <v>(51.7)</v>
      </c>
      <c r="K245" s="302">
        <f>B250-B245</f>
        <v>23.395999999224955</v>
      </c>
      <c r="L245" s="302">
        <f>D250-D245</f>
        <v>17.025000001331748</v>
      </c>
      <c r="M245" s="302">
        <f>F250-F245</f>
        <v>0.90700000005190784</v>
      </c>
      <c r="N245" s="302">
        <f>SUM(K245:M245)</f>
        <v>41.328000000608611</v>
      </c>
    </row>
    <row r="246" spans="1:14" x14ac:dyDescent="0.2">
      <c r="A246" s="282" t="s">
        <v>356</v>
      </c>
      <c r="B246" s="302">
        <f>'Ind T6'!Q294</f>
        <v>96.407000000680085</v>
      </c>
      <c r="C246" s="299" t="str">
        <f>CONCATENATE("(",ROUND((B246/$H247)*100,1),")")</f>
        <v>(21.2)</v>
      </c>
      <c r="D246" s="302">
        <f>'Ind T6'!R294</f>
        <v>116.37500000242177</v>
      </c>
      <c r="E246" s="299" t="str">
        <f>CONCATENATE("(",ROUND((D246/$H247)*100,1),")")</f>
        <v>(25.6)</v>
      </c>
      <c r="F246" s="302">
        <f>'Ind T6'!S294</f>
        <v>7.0949999998440632</v>
      </c>
      <c r="G246" s="299" t="str">
        <f>CONCATENATE("(",ROUND((F246/$H247)*100,1),")")</f>
        <v>(1.6)</v>
      </c>
      <c r="H246" s="302">
        <f t="shared" ref="H246" si="191">SUM(B246,D246,F246)</f>
        <v>219.87700000294592</v>
      </c>
      <c r="I246" s="299" t="str">
        <f>CONCATENATE("(",ROUND((H246/$H247)*100,1),")")</f>
        <v>(48.3)</v>
      </c>
      <c r="K246" s="302">
        <f t="shared" ref="K246:K247" si="192">B251-B246</f>
        <v>16.216999998623592</v>
      </c>
      <c r="L246" s="302">
        <f t="shared" ref="L246:L247" si="193">D251-D246</f>
        <v>19.54699999622521</v>
      </c>
      <c r="M246" s="302">
        <f t="shared" ref="M246:M247" si="194">F251-F246</f>
        <v>1.1820000000785509</v>
      </c>
      <c r="N246" s="302">
        <f t="shared" ref="N246:N247" si="195">SUM(K246:M246)</f>
        <v>36.945999994927355</v>
      </c>
    </row>
    <row r="247" spans="1:14" x14ac:dyDescent="0.2">
      <c r="A247" s="282" t="s">
        <v>354</v>
      </c>
      <c r="B247" s="302">
        <f>SUM(B245:B246)</f>
        <v>227.07299999917669</v>
      </c>
      <c r="C247" s="299" t="str">
        <f>CONCATENATE("(",ROUND((B247/$H247)*100,1),")")</f>
        <v>(49.9)</v>
      </c>
      <c r="D247" s="302">
        <f>SUM(D245:D246)</f>
        <v>215.52800000121266</v>
      </c>
      <c r="E247" s="299" t="str">
        <f>CONCATENATE("(",ROUND((D247/$H247)*100,1),")")</f>
        <v>(47.4)</v>
      </c>
      <c r="F247" s="302">
        <f>SUM(F245:F246)</f>
        <v>12.477999999962098</v>
      </c>
      <c r="G247" s="299" t="str">
        <f>CONCATENATE("(",ROUND((F247/$H247)*100,1),")")</f>
        <v>(2.7)</v>
      </c>
      <c r="H247" s="302">
        <f>SUM(H245:H246)</f>
        <v>455.07900000035147</v>
      </c>
      <c r="I247" s="299" t="str">
        <f>CONCATENATE("(",ROUND((H247/$H247)*100,1),")")</f>
        <v>(100)</v>
      </c>
      <c r="K247" s="302">
        <f t="shared" si="192"/>
        <v>39.612999997848561</v>
      </c>
      <c r="L247" s="302">
        <f t="shared" si="193"/>
        <v>36.571999997556929</v>
      </c>
      <c r="M247" s="302">
        <f t="shared" si="194"/>
        <v>2.0890000001304578</v>
      </c>
      <c r="N247" s="302">
        <f t="shared" si="195"/>
        <v>78.273999995535945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355</v>
      </c>
      <c r="B250" s="302">
        <f>'Ind T6'!V295</f>
        <v>154.06199999772156</v>
      </c>
      <c r="C250" s="299" t="str">
        <f>CONCATENATE("(",ROUND((B250/$H252)*100,1),")")</f>
        <v>(28.9)</v>
      </c>
      <c r="D250" s="302">
        <f>'Ind T6'!W295</f>
        <v>116.17800000012262</v>
      </c>
      <c r="E250" s="299" t="str">
        <f>CONCATENATE("(",ROUND((D250/$H252)*100,1),")")</f>
        <v>(21.8)</v>
      </c>
      <c r="F250" s="302">
        <f>'Ind T6'!X295</f>
        <v>6.2900000001699423</v>
      </c>
      <c r="G250" s="299" t="str">
        <f>CONCATENATE("(",ROUND((F250/$H252)*100,1),")")</f>
        <v>(1.2)</v>
      </c>
      <c r="H250" s="302">
        <f>SUM(B250,D250,F250)</f>
        <v>276.52999999801409</v>
      </c>
      <c r="I250" s="299" t="str">
        <f>CONCATENATE("(",ROUND((H250/$H252)*100,1),")")</f>
        <v>(51.8)</v>
      </c>
      <c r="K250" s="302">
        <f>B250-B240</f>
        <v>32.471999999926851</v>
      </c>
      <c r="L250" s="302">
        <f>D250-D240</f>
        <v>21.627000002074539</v>
      </c>
      <c r="M250" s="302">
        <f>F250-F240</f>
        <v>1.3560000001572181</v>
      </c>
      <c r="N250" s="302">
        <f>SUM(K250:M250)</f>
        <v>55.455000002158606</v>
      </c>
    </row>
    <row r="251" spans="1:14" x14ac:dyDescent="0.2">
      <c r="A251" s="282" t="s">
        <v>356</v>
      </c>
      <c r="B251" s="302">
        <f>'Ind T6'!V294</f>
        <v>112.62399999930368</v>
      </c>
      <c r="C251" s="299" t="str">
        <f>CONCATENATE("(",ROUND((B251/$H252)*100,1),")")</f>
        <v>(21.1)</v>
      </c>
      <c r="D251" s="302">
        <f>'Ind T6'!W294</f>
        <v>135.92199999864698</v>
      </c>
      <c r="E251" s="299" t="str">
        <f>CONCATENATE("(",ROUND((D251/$H252)*100,1),")")</f>
        <v>(25.5)</v>
      </c>
      <c r="F251" s="302">
        <f>'Ind T6'!X294</f>
        <v>8.276999999922614</v>
      </c>
      <c r="G251" s="299" t="str">
        <f>CONCATENATE("(",ROUND((F251/$H252)*100,1),")")</f>
        <v>(1.6)</v>
      </c>
      <c r="H251" s="302">
        <f t="shared" ref="H251" si="196">SUM(B251,D251,F251)</f>
        <v>256.8229999978733</v>
      </c>
      <c r="I251" s="299" t="str">
        <f>CONCATENATE("(",ROUND((H251/$H252)*100,1),")")</f>
        <v>(48.2)</v>
      </c>
      <c r="K251" s="302">
        <f t="shared" ref="K251:K252" si="197">B251-B241</f>
        <v>22.830000001171939</v>
      </c>
      <c r="L251" s="302">
        <f t="shared" ref="L251:L252" si="198">D251-D241</f>
        <v>25.268999997827407</v>
      </c>
      <c r="M251" s="302">
        <f t="shared" ref="M251:M252" si="199">F251-F241</f>
        <v>1.8100000001399668</v>
      </c>
      <c r="N251" s="302">
        <f t="shared" ref="N251:N252" si="200">SUM(K251:M251)</f>
        <v>49.908999999139311</v>
      </c>
    </row>
    <row r="252" spans="1:14" x14ac:dyDescent="0.2">
      <c r="A252" s="282" t="s">
        <v>354</v>
      </c>
      <c r="B252" s="302">
        <f>SUM(B250:B251)</f>
        <v>266.68599999702525</v>
      </c>
      <c r="C252" s="299" t="str">
        <f>CONCATENATE("(",ROUND((B252/$H252)*100,1),")")</f>
        <v>(50)</v>
      </c>
      <c r="D252" s="302">
        <f>SUM(D250:D251)</f>
        <v>252.09999999876959</v>
      </c>
      <c r="E252" s="299" t="str">
        <f>CONCATENATE("(",ROUND((D252/$H252)*100,1),")")</f>
        <v>(47.3)</v>
      </c>
      <c r="F252" s="302">
        <f>SUM(F250:F251)</f>
        <v>14.567000000092555</v>
      </c>
      <c r="G252" s="299" t="str">
        <f>CONCATENATE("(",ROUND((F252/$H252)*100,1),")")</f>
        <v>(2.7)</v>
      </c>
      <c r="H252" s="302">
        <f>SUM(H250:H251)</f>
        <v>533.35299999588733</v>
      </c>
      <c r="I252" s="299" t="str">
        <f>CONCATENATE("(",ROUND((H252/$H252)*100,1),")")</f>
        <v>(100)</v>
      </c>
      <c r="K252" s="302">
        <f t="shared" si="197"/>
        <v>55.302000001098804</v>
      </c>
      <c r="L252" s="302">
        <f t="shared" si="198"/>
        <v>46.895999999901932</v>
      </c>
      <c r="M252" s="302">
        <f t="shared" si="199"/>
        <v>3.1660000002971849</v>
      </c>
      <c r="N252" s="302">
        <f t="shared" si="200"/>
        <v>105.36400000129792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1"/>
      <c r="E256" s="181"/>
      <c r="G256" s="181"/>
      <c r="I256" s="181"/>
    </row>
    <row r="257" spans="1:14" x14ac:dyDescent="0.2">
      <c r="A257" s="288"/>
      <c r="B257" s="289" t="s">
        <v>379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377</v>
      </c>
    </row>
    <row r="259" spans="1:14" x14ac:dyDescent="0.2">
      <c r="A259" s="181" t="s">
        <v>378</v>
      </c>
      <c r="B259" s="369" t="s">
        <v>376</v>
      </c>
      <c r="C259" s="369"/>
      <c r="D259" s="369" t="s">
        <v>375</v>
      </c>
      <c r="E259" s="369"/>
      <c r="F259" s="369" t="s">
        <v>374</v>
      </c>
      <c r="G259" s="369"/>
      <c r="H259" s="369" t="s">
        <v>32</v>
      </c>
      <c r="I259" s="369"/>
      <c r="J259" s="181"/>
      <c r="K259" s="297" t="s">
        <v>339</v>
      </c>
      <c r="L259" s="297" t="s">
        <v>341</v>
      </c>
      <c r="M259" s="297" t="s">
        <v>337</v>
      </c>
      <c r="N259" s="297" t="s">
        <v>32</v>
      </c>
    </row>
    <row r="260" spans="1:14" x14ac:dyDescent="0.2">
      <c r="A260" s="292">
        <f>$A$8</f>
        <v>2020</v>
      </c>
      <c r="B260" s="287" t="s">
        <v>60</v>
      </c>
      <c r="C260" s="19" t="s">
        <v>373</v>
      </c>
      <c r="D260" s="287" t="s">
        <v>60</v>
      </c>
      <c r="E260" s="19" t="s">
        <v>373</v>
      </c>
      <c r="F260" s="287" t="s">
        <v>60</v>
      </c>
      <c r="G260" s="19" t="s">
        <v>373</v>
      </c>
      <c r="H260" s="287" t="s">
        <v>60</v>
      </c>
      <c r="I260" s="19" t="s">
        <v>373</v>
      </c>
      <c r="J260" s="181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355</v>
      </c>
      <c r="B261" s="302">
        <f>'Ind T6'!L320</f>
        <v>65.379000000267936</v>
      </c>
      <c r="C261" s="299" t="str">
        <f>CONCATENATE("(",ROUND((B261/$H263)*100,1),")")</f>
        <v>(36.8)</v>
      </c>
      <c r="D261" s="302">
        <f>'Ind T6'!M320</f>
        <v>6.8029999999930038</v>
      </c>
      <c r="E261" s="299" t="str">
        <f>CONCATENATE("(",ROUND((D261/$H263)*100,1),")")</f>
        <v>(3.8)</v>
      </c>
      <c r="F261" s="302">
        <f>'Ind T6'!N320</f>
        <v>24.676000001117682</v>
      </c>
      <c r="G261" s="299" t="str">
        <f>CONCATENATE("(",ROUND((F261/$H263)*100,1),")")</f>
        <v>(13.9)</v>
      </c>
      <c r="H261" s="302">
        <f>SUM(B261,D261,F261)</f>
        <v>96.858000001378628</v>
      </c>
      <c r="I261" s="299" t="str">
        <f>CONCATENATE("(",ROUND((H261/$H263)*100,1),")")</f>
        <v>(54.5)</v>
      </c>
      <c r="K261" s="302">
        <f>B266-B261</f>
        <v>2.7240000001315821</v>
      </c>
      <c r="L261" s="302">
        <f>D266-D261</f>
        <v>0.66399999999740444</v>
      </c>
      <c r="M261" s="302">
        <f>F266-F261</f>
        <v>1.3360000012453774</v>
      </c>
      <c r="N261" s="302">
        <f>SUM(K261:M261)</f>
        <v>4.7240000013743639</v>
      </c>
    </row>
    <row r="262" spans="1:14" x14ac:dyDescent="0.2">
      <c r="A262" s="282" t="s">
        <v>356</v>
      </c>
      <c r="B262" s="302">
        <f>'Ind T6'!L319</f>
        <v>57.079000000045461</v>
      </c>
      <c r="C262" s="299" t="str">
        <f>CONCATENATE("(",ROUND((B262/$H263)*100,1),")")</f>
        <v>(32.1)</v>
      </c>
      <c r="D262" s="302">
        <f>'Ind T6'!M319</f>
        <v>11.655999999916384</v>
      </c>
      <c r="E262" s="299" t="str">
        <f>CONCATENATE("(",ROUND((D262/$H263)*100,1),")")</f>
        <v>(6.6)</v>
      </c>
      <c r="F262" s="302">
        <f>'Ind T6'!N319</f>
        <v>12.056999999874616</v>
      </c>
      <c r="G262" s="299" t="str">
        <f>CONCATENATE("(",ROUND((F262/$H263)*100,1),")")</f>
        <v>(6.8)</v>
      </c>
      <c r="H262" s="302">
        <f t="shared" ref="H262" si="201">SUM(B262,D262,F262)</f>
        <v>80.791999999836463</v>
      </c>
      <c r="I262" s="299" t="str">
        <f>CONCATENATE("(",ROUND((H262/$H263)*100,1),")")</f>
        <v>(45.5)</v>
      </c>
      <c r="K262" s="302">
        <f t="shared" ref="K262:K263" si="202">B267-B262</f>
        <v>2.6360000010900748</v>
      </c>
      <c r="L262" s="302">
        <f t="shared" ref="L262:L263" si="203">D267-D262</f>
        <v>0.71999999995685648</v>
      </c>
      <c r="M262" s="302">
        <f t="shared" ref="M262:M263" si="204">F267-F262</f>
        <v>0.43600000028652452</v>
      </c>
      <c r="N262" s="302">
        <f t="shared" ref="N262:N263" si="205">SUM(K262:M262)</f>
        <v>3.7920000013334558</v>
      </c>
    </row>
    <row r="263" spans="1:14" x14ac:dyDescent="0.2">
      <c r="A263" s="282" t="s">
        <v>354</v>
      </c>
      <c r="B263" s="302">
        <f>SUM(B261:B262)</f>
        <v>122.4580000003134</v>
      </c>
      <c r="C263" s="299" t="str">
        <f>CONCATENATE("(",ROUND((B263/$H263)*100,1),")")</f>
        <v>(68.9)</v>
      </c>
      <c r="D263" s="302">
        <f>SUM(D261:D262)</f>
        <v>18.458999999909388</v>
      </c>
      <c r="E263" s="299" t="str">
        <f>CONCATENATE("(",ROUND((D263/$H263)*100,1),")")</f>
        <v>(10.4)</v>
      </c>
      <c r="F263" s="302">
        <f>SUM(F261:F262)</f>
        <v>36.733000000992298</v>
      </c>
      <c r="G263" s="299" t="str">
        <f>CONCATENATE("(",ROUND((F263/$H263)*100,1),")")</f>
        <v>(20.7)</v>
      </c>
      <c r="H263" s="302">
        <f>SUM(H261:H262)</f>
        <v>177.65000000121509</v>
      </c>
      <c r="I263" s="299" t="str">
        <f>CONCATENATE("(",ROUND((H263/$H263)*100,1),")")</f>
        <v>(100)</v>
      </c>
      <c r="K263" s="302">
        <f t="shared" si="202"/>
        <v>5.3600000012216498</v>
      </c>
      <c r="L263" s="302">
        <f t="shared" si="203"/>
        <v>1.3839999999542627</v>
      </c>
      <c r="M263" s="302">
        <f t="shared" si="204"/>
        <v>1.7720000015319002</v>
      </c>
      <c r="N263" s="302">
        <f t="shared" si="205"/>
        <v>8.5160000027078127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355</v>
      </c>
      <c r="B266" s="302">
        <f>'Ind T6'!Q320</f>
        <v>68.103000000399518</v>
      </c>
      <c r="C266" s="299" t="str">
        <f>CONCATENATE("(",ROUND((B266/$H268)*100,1),")")</f>
        <v>(36.6)</v>
      </c>
      <c r="D266" s="302">
        <f>'Ind T6'!R320</f>
        <v>7.4669999999904082</v>
      </c>
      <c r="E266" s="299" t="str">
        <f>CONCATENATE("(",ROUND((D266/$H268)*100,1),")")</f>
        <v>(4)</v>
      </c>
      <c r="F266" s="302">
        <f>'Ind T6'!S320</f>
        <v>26.01200000236306</v>
      </c>
      <c r="G266" s="299" t="str">
        <f>CONCATENATE("(",ROUND((F266/$H268)*100,1),")")</f>
        <v>(14)</v>
      </c>
      <c r="H266" s="302">
        <f>SUM(B266,D266,F266)</f>
        <v>101.58200000275298</v>
      </c>
      <c r="I266" s="299" t="str">
        <f>CONCATENATE("(",ROUND((H266/$H268)*100,1),")")</f>
        <v>(54.6)</v>
      </c>
      <c r="K266" s="302">
        <f>B271-B266</f>
        <v>0.80500000019738138</v>
      </c>
      <c r="L266" s="302">
        <f>D271-D266</f>
        <v>0.67500000000092975</v>
      </c>
      <c r="M266" s="302">
        <f>F271-F266</f>
        <v>0.84499999955246352</v>
      </c>
      <c r="N266" s="302">
        <f>SUM(K266:M266)</f>
        <v>2.3249999997507746</v>
      </c>
    </row>
    <row r="267" spans="1:14" x14ac:dyDescent="0.2">
      <c r="A267" s="282" t="s">
        <v>356</v>
      </c>
      <c r="B267" s="302">
        <f>'Ind T6'!Q319</f>
        <v>59.715000001135536</v>
      </c>
      <c r="C267" s="299" t="str">
        <f>CONCATENATE("(",ROUND((B267/$H268)*100,1),")")</f>
        <v>(32.1)</v>
      </c>
      <c r="D267" s="302">
        <f>'Ind T6'!R319</f>
        <v>12.37599999987324</v>
      </c>
      <c r="E267" s="299" t="str">
        <f>CONCATENATE("(",ROUND((D267/$H268)*100,1),")")</f>
        <v>(6.6)</v>
      </c>
      <c r="F267" s="302">
        <f>'Ind T6'!S319</f>
        <v>12.493000000161141</v>
      </c>
      <c r="G267" s="299" t="str">
        <f>CONCATENATE("(",ROUND((F267/$H268)*100,1),")")</f>
        <v>(6.7)</v>
      </c>
      <c r="H267" s="302">
        <f t="shared" ref="H267" si="206">SUM(B267,D267,F267)</f>
        <v>84.584000001169926</v>
      </c>
      <c r="I267" s="299" t="str">
        <f>CONCATENATE("(",ROUND((H267/$H268)*100,1),")")</f>
        <v>(45.4)</v>
      </c>
      <c r="K267" s="302">
        <f t="shared" ref="K267:K268" si="207">B272-B267</f>
        <v>1.8609999989787696</v>
      </c>
      <c r="L267" s="302">
        <f t="shared" ref="L267:L268" si="208">D272-D267</f>
        <v>0.31300000006713802</v>
      </c>
      <c r="M267" s="302">
        <f t="shared" ref="M267:M268" si="209">F272-F267</f>
        <v>-0.27000000012048808</v>
      </c>
      <c r="N267" s="302">
        <f t="shared" ref="N267:N268" si="210">SUM(K267:M267)</f>
        <v>1.9039999989254195</v>
      </c>
    </row>
    <row r="268" spans="1:14" x14ac:dyDescent="0.2">
      <c r="A268" s="282" t="s">
        <v>354</v>
      </c>
      <c r="B268" s="302">
        <f>SUM(B266:B267)</f>
        <v>127.81800000153505</v>
      </c>
      <c r="C268" s="299" t="str">
        <f>CONCATENATE("(",ROUND((B268/$H268)*100,1),")")</f>
        <v>(68.7)</v>
      </c>
      <c r="D268" s="302">
        <f>SUM(D266:D267)</f>
        <v>19.84299999986365</v>
      </c>
      <c r="E268" s="299" t="str">
        <f>CONCATENATE("(",ROUND((D268/$H268)*100,1),")")</f>
        <v>(10.7)</v>
      </c>
      <c r="F268" s="302">
        <f>SUM(F266:F267)</f>
        <v>38.505000002524199</v>
      </c>
      <c r="G268" s="299" t="str">
        <f>CONCATENATE("(",ROUND((F268/$H268)*100,1),")")</f>
        <v>(20.7)</v>
      </c>
      <c r="H268" s="302">
        <f>SUM(H266:H267)</f>
        <v>186.1660000039229</v>
      </c>
      <c r="I268" s="299" t="str">
        <f>CONCATENATE("(",ROUND((H268/$H268)*100,1),")")</f>
        <v>(100)</v>
      </c>
      <c r="K268" s="302">
        <f t="shared" si="207"/>
        <v>2.6659999991761509</v>
      </c>
      <c r="L268" s="302">
        <f t="shared" si="208"/>
        <v>0.98800000006806599</v>
      </c>
      <c r="M268" s="302">
        <f t="shared" si="209"/>
        <v>0.57499999943198077</v>
      </c>
      <c r="N268" s="302">
        <f t="shared" si="210"/>
        <v>4.2289999986761977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355</v>
      </c>
      <c r="B271" s="302">
        <f>'Ind T6'!V320</f>
        <v>68.9080000005969</v>
      </c>
      <c r="C271" s="299" t="str">
        <f>CONCATENATE("(",ROUND((B271/$H273)*100,1),")")</f>
        <v>(36.2)</v>
      </c>
      <c r="D271" s="302">
        <f>'Ind T6'!W320</f>
        <v>8.1419999999913379</v>
      </c>
      <c r="E271" s="299" t="str">
        <f>CONCATENATE("(",ROUND((D271/$H273)*100,1),")")</f>
        <v>(4.3)</v>
      </c>
      <c r="F271" s="302">
        <f>'Ind T6'!X320</f>
        <v>26.857000001915523</v>
      </c>
      <c r="G271" s="299" t="str">
        <f>CONCATENATE("(",ROUND((F271/$H273)*100,1),")")</f>
        <v>(14.1)</v>
      </c>
      <c r="H271" s="302">
        <f>SUM(B271,D271,F271)</f>
        <v>103.90700000250376</v>
      </c>
      <c r="I271" s="299" t="str">
        <f>CONCATENATE("(",ROUND((H271/$H273)*100,1),")")</f>
        <v>(54.6)</v>
      </c>
      <c r="K271" s="302">
        <f>B271-B261</f>
        <v>3.5290000003289634</v>
      </c>
      <c r="L271" s="302">
        <f>D271-D261</f>
        <v>1.3389999999983342</v>
      </c>
      <c r="M271" s="302">
        <f>F271-F261</f>
        <v>2.181000000797841</v>
      </c>
      <c r="N271" s="302">
        <f>SUM(K271:M271)</f>
        <v>7.0490000011251386</v>
      </c>
    </row>
    <row r="272" spans="1:14" x14ac:dyDescent="0.2">
      <c r="A272" s="282" t="s">
        <v>356</v>
      </c>
      <c r="B272" s="302">
        <f>'Ind T6'!V319</f>
        <v>61.576000000114306</v>
      </c>
      <c r="C272" s="299" t="str">
        <f>CONCATENATE("(",ROUND((B272/$H273)*100,1),")")</f>
        <v>(32.3)</v>
      </c>
      <c r="D272" s="302">
        <f>'Ind T6'!W319</f>
        <v>12.688999999940378</v>
      </c>
      <c r="E272" s="299" t="str">
        <f>CONCATENATE("(",ROUND((D272/$H273)*100,1),")")</f>
        <v>(6.7)</v>
      </c>
      <c r="F272" s="302">
        <f>'Ind T6'!X319</f>
        <v>12.223000000040653</v>
      </c>
      <c r="G272" s="299" t="str">
        <f>CONCATENATE("(",ROUND((F272/$H273)*100,1),")")</f>
        <v>(6.4)</v>
      </c>
      <c r="H272" s="302">
        <f t="shared" ref="H272" si="211">SUM(B272,D272,F272)</f>
        <v>86.48800000009534</v>
      </c>
      <c r="I272" s="299" t="str">
        <f>CONCATENATE("(",ROUND((H272/$H273)*100,1),")")</f>
        <v>(45.4)</v>
      </c>
      <c r="K272" s="302">
        <f t="shared" ref="K272:K273" si="212">B272-B262</f>
        <v>4.4970000000688444</v>
      </c>
      <c r="L272" s="302">
        <f t="shared" ref="L272:L273" si="213">D272-D262</f>
        <v>1.0330000000239945</v>
      </c>
      <c r="M272" s="302">
        <f t="shared" ref="M272:M273" si="214">F272-F262</f>
        <v>0.16600000016603644</v>
      </c>
      <c r="N272" s="302">
        <f t="shared" ref="N272:N273" si="215">SUM(K272:M272)</f>
        <v>5.6960000002588753</v>
      </c>
    </row>
    <row r="273" spans="1:14" x14ac:dyDescent="0.2">
      <c r="A273" s="282" t="s">
        <v>354</v>
      </c>
      <c r="B273" s="302">
        <f>SUM(B271:B272)</f>
        <v>130.48400000071121</v>
      </c>
      <c r="C273" s="299" t="str">
        <f>CONCATENATE("(",ROUND((B273/$H273)*100,1),")")</f>
        <v>(68.5)</v>
      </c>
      <c r="D273" s="302">
        <f>SUM(D271:D272)</f>
        <v>20.830999999931716</v>
      </c>
      <c r="E273" s="299" t="str">
        <f>CONCATENATE("(",ROUND((D273/$H273)*100,1),")")</f>
        <v>(10.9)</v>
      </c>
      <c r="F273" s="302">
        <f>SUM(F271:F272)</f>
        <v>39.080000001956179</v>
      </c>
      <c r="G273" s="299" t="str">
        <f>CONCATENATE("(",ROUND((F273/$H273)*100,1),")")</f>
        <v>(20.5)</v>
      </c>
      <c r="H273" s="302">
        <f>SUM(H271:H272)</f>
        <v>190.39500000259909</v>
      </c>
      <c r="I273" s="299" t="str">
        <f>CONCATENATE("(",ROUND((H273/$H273)*100,1),")")</f>
        <v>(100)</v>
      </c>
      <c r="K273" s="302">
        <f t="shared" si="212"/>
        <v>8.0260000003978007</v>
      </c>
      <c r="L273" s="302">
        <f t="shared" si="213"/>
        <v>2.3720000000223287</v>
      </c>
      <c r="M273" s="302">
        <f t="shared" si="214"/>
        <v>2.347000000963881</v>
      </c>
      <c r="N273" s="302">
        <f t="shared" si="215"/>
        <v>12.74500000138401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379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377</v>
      </c>
    </row>
    <row r="280" spans="1:14" x14ac:dyDescent="0.2">
      <c r="A280" s="181" t="s">
        <v>378</v>
      </c>
      <c r="B280" s="369" t="s">
        <v>376</v>
      </c>
      <c r="C280" s="369"/>
      <c r="D280" s="369" t="s">
        <v>375</v>
      </c>
      <c r="E280" s="369"/>
      <c r="F280" s="369" t="s">
        <v>374</v>
      </c>
      <c r="G280" s="369"/>
      <c r="H280" s="369" t="s">
        <v>32</v>
      </c>
      <c r="I280" s="369"/>
      <c r="J280" s="181"/>
      <c r="K280" s="297" t="s">
        <v>339</v>
      </c>
      <c r="L280" s="297" t="s">
        <v>341</v>
      </c>
      <c r="M280" s="297" t="s">
        <v>337</v>
      </c>
      <c r="N280" s="297" t="s">
        <v>32</v>
      </c>
    </row>
    <row r="281" spans="1:14" x14ac:dyDescent="0.2">
      <c r="A281" s="292">
        <f>$A$8</f>
        <v>2020</v>
      </c>
      <c r="B281" s="287" t="s">
        <v>60</v>
      </c>
      <c r="C281" s="19" t="s">
        <v>373</v>
      </c>
      <c r="D281" s="287" t="s">
        <v>60</v>
      </c>
      <c r="E281" s="19" t="s">
        <v>373</v>
      </c>
      <c r="F281" s="287" t="s">
        <v>60</v>
      </c>
      <c r="G281" s="19" t="s">
        <v>373</v>
      </c>
      <c r="H281" s="287" t="s">
        <v>60</v>
      </c>
      <c r="I281" s="19" t="s">
        <v>373</v>
      </c>
      <c r="J281" s="181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355</v>
      </c>
      <c r="B282" s="302">
        <f>'Ind T6'!L345</f>
        <v>195.21600000215329</v>
      </c>
      <c r="C282" s="299" t="str">
        <f>CONCATENATE("(",ROUND((B282/$H284)*100,1),")")</f>
        <v>(58.7)</v>
      </c>
      <c r="D282" s="302">
        <f>'Ind T6'!M345</f>
        <v>12.299000000072875</v>
      </c>
      <c r="E282" s="299" t="str">
        <f>CONCATENATE("(",ROUND((D282/$H284)*100,1),")")</f>
        <v>(3.7)</v>
      </c>
      <c r="F282" s="302">
        <f>'Ind T6'!N345</f>
        <v>19.884000000623672</v>
      </c>
      <c r="G282" s="299" t="str">
        <f>CONCATENATE("(",ROUND((F282/$H284)*100,1),")")</f>
        <v>(6)</v>
      </c>
      <c r="H282" s="302">
        <f>SUM(B282,D282,F282)</f>
        <v>227.39900000284985</v>
      </c>
      <c r="I282" s="299" t="str">
        <f>CONCATENATE("(",ROUND((H282/$H284)*100,1),")")</f>
        <v>(68.3)</v>
      </c>
      <c r="K282" s="302">
        <f>B287-B282</f>
        <v>13.889000000717971</v>
      </c>
      <c r="L282" s="302">
        <f>D287-D282</f>
        <v>1.0739999999626821</v>
      </c>
      <c r="M282" s="302">
        <f>F287-F282</f>
        <v>2.0650000006321356</v>
      </c>
      <c r="N282" s="302">
        <f>SUM(K282:M282)</f>
        <v>17.02800000131279</v>
      </c>
    </row>
    <row r="283" spans="1:14" x14ac:dyDescent="0.2">
      <c r="A283" s="282" t="s">
        <v>356</v>
      </c>
      <c r="B283" s="302">
        <f>'Ind T6'!L344</f>
        <v>90.245999999592044</v>
      </c>
      <c r="C283" s="299" t="str">
        <f>CONCATENATE("(",ROUND((B283/$H284)*100,1),")")</f>
        <v>(27.1)</v>
      </c>
      <c r="D283" s="302">
        <f>'Ind T6'!M344</f>
        <v>11.677999999983887</v>
      </c>
      <c r="E283" s="299" t="str">
        <f>CONCATENATE("(",ROUND((D283/$H284)*100,1),")")</f>
        <v>(3.5)</v>
      </c>
      <c r="F283" s="302">
        <f>'Ind T6'!N344</f>
        <v>3.4139999999569066</v>
      </c>
      <c r="G283" s="299" t="str">
        <f>CONCATENATE("(",ROUND((F283/$H284)*100,1),")")</f>
        <v>(1)</v>
      </c>
      <c r="H283" s="302">
        <f t="shared" ref="H283" si="216">SUM(B283,D283,F283)</f>
        <v>105.33799999953283</v>
      </c>
      <c r="I283" s="299" t="str">
        <f>CONCATENATE("(",ROUND((H283/$H284)*100,1),")")</f>
        <v>(31.7)</v>
      </c>
      <c r="K283" s="302">
        <f t="shared" ref="K283:K284" si="217">B288-B283</f>
        <v>9.4030000024843332</v>
      </c>
      <c r="L283" s="302">
        <f t="shared" ref="L283:L284" si="218">D288-D283</f>
        <v>0.74900000001608369</v>
      </c>
      <c r="M283" s="302">
        <f t="shared" ref="M283:M284" si="219">F288-F283</f>
        <v>0.327000000045929</v>
      </c>
      <c r="N283" s="302">
        <f t="shared" ref="N283:N284" si="220">SUM(K283:M283)</f>
        <v>10.479000002546346</v>
      </c>
    </row>
    <row r="284" spans="1:14" x14ac:dyDescent="0.2">
      <c r="A284" s="282" t="s">
        <v>354</v>
      </c>
      <c r="B284" s="302">
        <f>SUM(B282:B283)</f>
        <v>285.46200000174531</v>
      </c>
      <c r="C284" s="299" t="str">
        <f>CONCATENATE("(",ROUND((B284/$H284)*100,1),")")</f>
        <v>(85.8)</v>
      </c>
      <c r="D284" s="302">
        <f>SUM(D282:D283)</f>
        <v>23.977000000056762</v>
      </c>
      <c r="E284" s="299" t="str">
        <f>CONCATENATE("(",ROUND((D284/$H284)*100,1),")")</f>
        <v>(7.2)</v>
      </c>
      <c r="F284" s="302">
        <f>SUM(F282:F283)</f>
        <v>23.298000000580579</v>
      </c>
      <c r="G284" s="299" t="str">
        <f>CONCATENATE("(",ROUND((F284/$H284)*100,1),")")</f>
        <v>(7)</v>
      </c>
      <c r="H284" s="302">
        <f>SUM(H282:H283)</f>
        <v>332.73700000238267</v>
      </c>
      <c r="I284" s="299" t="str">
        <f>CONCATENATE("(",ROUND((H284/$H284)*100,1),")")</f>
        <v>(100)</v>
      </c>
      <c r="K284" s="302">
        <f t="shared" si="217"/>
        <v>23.292000003202361</v>
      </c>
      <c r="L284" s="302">
        <f t="shared" si="218"/>
        <v>1.8229999999787658</v>
      </c>
      <c r="M284" s="302">
        <f t="shared" si="219"/>
        <v>2.3920000006780633</v>
      </c>
      <c r="N284" s="302">
        <f t="shared" si="220"/>
        <v>27.50700000385919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355</v>
      </c>
      <c r="B287" s="302">
        <f>'Ind T6'!Q345</f>
        <v>209.10500000287126</v>
      </c>
      <c r="C287" s="299" t="str">
        <f>CONCATENATE("(",ROUND((B287/$H289)*100,1),")")</f>
        <v>(58)</v>
      </c>
      <c r="D287" s="302">
        <f>'Ind T6'!R345</f>
        <v>13.373000000035557</v>
      </c>
      <c r="E287" s="299" t="str">
        <f>CONCATENATE("(",ROUND((D287/$H289)*100,1),")")</f>
        <v>(3.7)</v>
      </c>
      <c r="F287" s="302">
        <f>'Ind T6'!S345</f>
        <v>21.949000001255808</v>
      </c>
      <c r="G287" s="299" t="str">
        <f>CONCATENATE("(",ROUND((F287/$H289)*100,1),")")</f>
        <v>(6.1)</v>
      </c>
      <c r="H287" s="302">
        <f>SUM(B287,D287,F287)</f>
        <v>244.42700000416261</v>
      </c>
      <c r="I287" s="299" t="str">
        <f>CONCATENATE("(",ROUND((H287/$H289)*100,1),")")</f>
        <v>(67.9)</v>
      </c>
      <c r="K287" s="302">
        <f>B292-B287</f>
        <v>15.313000000620633</v>
      </c>
      <c r="L287" s="302">
        <f>D292-D287</f>
        <v>1.2509999999794132</v>
      </c>
      <c r="M287" s="302">
        <f>F292-F287</f>
        <v>2.3949999998176281</v>
      </c>
      <c r="N287" s="302">
        <f>SUM(K287:M287)</f>
        <v>18.959000000417674</v>
      </c>
    </row>
    <row r="288" spans="1:14" x14ac:dyDescent="0.2">
      <c r="A288" s="282" t="s">
        <v>356</v>
      </c>
      <c r="B288" s="302">
        <f>'Ind T6'!Q344</f>
        <v>99.649000002076377</v>
      </c>
      <c r="C288" s="299" t="str">
        <f>CONCATENATE("(",ROUND((B288/$H289)*100,1),")")</f>
        <v>(27.7)</v>
      </c>
      <c r="D288" s="302">
        <f>'Ind T6'!R344</f>
        <v>12.426999999999971</v>
      </c>
      <c r="E288" s="299" t="str">
        <f>CONCATENATE("(",ROUND((D288/$H289)*100,1),")")</f>
        <v>(3.4)</v>
      </c>
      <c r="F288" s="302">
        <f>'Ind T6'!S344</f>
        <v>3.7410000000028356</v>
      </c>
      <c r="G288" s="299" t="str">
        <f>CONCATENATE("(",ROUND((F288/$H289)*100,1),")")</f>
        <v>(1)</v>
      </c>
      <c r="H288" s="302">
        <f t="shared" ref="H288" si="221">SUM(B288,D288,F288)</f>
        <v>115.81700000207918</v>
      </c>
      <c r="I288" s="299" t="str">
        <f>CONCATENATE("(",ROUND((H288/$H289)*100,1),")")</f>
        <v>(32.1)</v>
      </c>
      <c r="K288" s="302">
        <f t="shared" ref="K288:K289" si="222">B293-B288</f>
        <v>13.112999997724259</v>
      </c>
      <c r="L288" s="302">
        <f t="shared" ref="L288:L289" si="223">D293-D288</f>
        <v>0.59600000000083497</v>
      </c>
      <c r="M288" s="302">
        <f t="shared" ref="M288:M289" si="224">F293-F288</f>
        <v>0.33299999998491181</v>
      </c>
      <c r="N288" s="302">
        <f t="shared" ref="N288:N289" si="225">SUM(K288:M288)</f>
        <v>14.041999997710006</v>
      </c>
    </row>
    <row r="289" spans="1:14" x14ac:dyDescent="0.2">
      <c r="A289" s="282" t="s">
        <v>354</v>
      </c>
      <c r="B289" s="302">
        <f>SUM(B287:B288)</f>
        <v>308.75400000494767</v>
      </c>
      <c r="C289" s="299" t="str">
        <f>CONCATENATE("(",ROUND((B289/$H289)*100,1),")")</f>
        <v>(85.7)</v>
      </c>
      <c r="D289" s="302">
        <f>SUM(D287:D288)</f>
        <v>25.800000000035528</v>
      </c>
      <c r="E289" s="299" t="str">
        <f>CONCATENATE("(",ROUND((D289/$H289)*100,1),")")</f>
        <v>(7.2)</v>
      </c>
      <c r="F289" s="302">
        <f>SUM(F287:F288)</f>
        <v>25.690000001258642</v>
      </c>
      <c r="G289" s="299" t="str">
        <f>CONCATENATE("(",ROUND((F289/$H289)*100,1),")")</f>
        <v>(7.1)</v>
      </c>
      <c r="H289" s="302">
        <f>SUM(H287:H288)</f>
        <v>360.24400000624178</v>
      </c>
      <c r="I289" s="299" t="str">
        <f>CONCATENATE("(",ROUND((H289/$H289)*100,1),")")</f>
        <v>(100)</v>
      </c>
      <c r="K289" s="302">
        <f t="shared" si="222"/>
        <v>28.425999998344878</v>
      </c>
      <c r="L289" s="302">
        <f t="shared" si="223"/>
        <v>1.8469999999802482</v>
      </c>
      <c r="M289" s="302">
        <f t="shared" si="224"/>
        <v>2.7279999998025417</v>
      </c>
      <c r="N289" s="302">
        <f t="shared" si="225"/>
        <v>33.000999998127668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355</v>
      </c>
      <c r="B292" s="302">
        <f>'Ind T6'!V345</f>
        <v>224.4180000034919</v>
      </c>
      <c r="C292" s="299" t="str">
        <f>CONCATENATE("(",ROUND((B292/$H294)*100,1),")")</f>
        <v>(57.1)</v>
      </c>
      <c r="D292" s="302">
        <f>'Ind T6'!W345</f>
        <v>14.62400000001497</v>
      </c>
      <c r="E292" s="299" t="str">
        <f>CONCATENATE("(",ROUND((D292/$H294)*100,1),")")</f>
        <v>(3.7)</v>
      </c>
      <c r="F292" s="302">
        <f>'Ind T6'!X345</f>
        <v>24.344000001073436</v>
      </c>
      <c r="G292" s="299" t="str">
        <f>CONCATENATE("(",ROUND((F292/$H294)*100,1),")")</f>
        <v>(6.2)</v>
      </c>
      <c r="H292" s="302">
        <f>SUM(B292,D292,F292)</f>
        <v>263.3860000045803</v>
      </c>
      <c r="I292" s="299" t="str">
        <f>CONCATENATE("(",ROUND((H292/$H294)*100,1),")")</f>
        <v>(67)</v>
      </c>
      <c r="K292" s="302">
        <f>B292-B282</f>
        <v>29.202000001338604</v>
      </c>
      <c r="L292" s="302">
        <f>D292-D282</f>
        <v>2.3249999999420954</v>
      </c>
      <c r="M292" s="302">
        <f>F292-F282</f>
        <v>4.4600000004497637</v>
      </c>
      <c r="N292" s="302">
        <f>SUM(K292:M292)</f>
        <v>35.987000001730465</v>
      </c>
    </row>
    <row r="293" spans="1:14" x14ac:dyDescent="0.2">
      <c r="A293" s="282" t="s">
        <v>356</v>
      </c>
      <c r="B293" s="302">
        <f>'Ind T6'!V344</f>
        <v>112.76199999980064</v>
      </c>
      <c r="C293" s="299" t="str">
        <f>CONCATENATE("(",ROUND((B293/$H294)*100,1),")")</f>
        <v>(28.7)</v>
      </c>
      <c r="D293" s="302">
        <f>'Ind T6'!W344</f>
        <v>13.023000000000806</v>
      </c>
      <c r="E293" s="299" t="str">
        <f>CONCATENATE("(",ROUND((D293/$H294)*100,1),")")</f>
        <v>(3.3)</v>
      </c>
      <c r="F293" s="302">
        <f>'Ind T6'!X344</f>
        <v>4.0739999999877474</v>
      </c>
      <c r="G293" s="299" t="str">
        <f>CONCATENATE("(",ROUND((F293/$H294)*100,1),")")</f>
        <v>(1)</v>
      </c>
      <c r="H293" s="302">
        <f t="shared" ref="H293" si="226">SUM(B293,D293,F293)</f>
        <v>129.85899999978918</v>
      </c>
      <c r="I293" s="299" t="str">
        <f>CONCATENATE("(",ROUND((H293/$H294)*100,1),")")</f>
        <v>(33)</v>
      </c>
      <c r="K293" s="302">
        <f t="shared" ref="K293:K294" si="227">B293-B283</f>
        <v>22.516000000208592</v>
      </c>
      <c r="L293" s="302">
        <f t="shared" ref="L293:L294" si="228">D293-D283</f>
        <v>1.3450000000169187</v>
      </c>
      <c r="M293" s="302">
        <f t="shared" ref="M293:M294" si="229">F293-F283</f>
        <v>0.66000000003084081</v>
      </c>
      <c r="N293" s="302">
        <f t="shared" ref="N293:N294" si="230">SUM(K293:M293)</f>
        <v>24.52100000025635</v>
      </c>
    </row>
    <row r="294" spans="1:14" x14ac:dyDescent="0.2">
      <c r="A294" s="282" t="s">
        <v>354</v>
      </c>
      <c r="B294" s="302">
        <f>SUM(B292:B293)</f>
        <v>337.18000000329255</v>
      </c>
      <c r="C294" s="299" t="str">
        <f>CONCATENATE("(",ROUND((B294/$H294)*100,1),")")</f>
        <v>(85.7)</v>
      </c>
      <c r="D294" s="302">
        <f>SUM(D292:D293)</f>
        <v>27.647000000015776</v>
      </c>
      <c r="E294" s="299" t="str">
        <f>CONCATENATE("(",ROUND((D294/$H294)*100,1),")")</f>
        <v>(7)</v>
      </c>
      <c r="F294" s="302">
        <f>SUM(F292:F293)</f>
        <v>28.418000001061184</v>
      </c>
      <c r="G294" s="299" t="str">
        <f>CONCATENATE("(",ROUND((F294/$H294)*100,1),")")</f>
        <v>(7.2)</v>
      </c>
      <c r="H294" s="302">
        <f>SUM(H292:H293)</f>
        <v>393.24500000436944</v>
      </c>
      <c r="I294" s="299" t="str">
        <f>CONCATENATE("(",ROUND((H294/$H294)*100,1),")")</f>
        <v>(100)</v>
      </c>
      <c r="K294" s="302">
        <f t="shared" si="227"/>
        <v>51.718000001547239</v>
      </c>
      <c r="L294" s="302">
        <f t="shared" si="228"/>
        <v>3.669999999959014</v>
      </c>
      <c r="M294" s="302">
        <f t="shared" si="229"/>
        <v>5.120000000480605</v>
      </c>
      <c r="N294" s="302">
        <f t="shared" si="230"/>
        <v>60.508000001986858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379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377</v>
      </c>
    </row>
    <row r="301" spans="1:14" x14ac:dyDescent="0.2">
      <c r="A301" s="181" t="s">
        <v>378</v>
      </c>
      <c r="B301" s="369" t="s">
        <v>376</v>
      </c>
      <c r="C301" s="369"/>
      <c r="D301" s="369" t="s">
        <v>375</v>
      </c>
      <c r="E301" s="369"/>
      <c r="F301" s="369" t="s">
        <v>374</v>
      </c>
      <c r="G301" s="369"/>
      <c r="H301" s="369" t="s">
        <v>32</v>
      </c>
      <c r="I301" s="369"/>
      <c r="J301" s="181"/>
      <c r="K301" s="297" t="s">
        <v>339</v>
      </c>
      <c r="L301" s="297" t="s">
        <v>341</v>
      </c>
      <c r="M301" s="297" t="s">
        <v>337</v>
      </c>
      <c r="N301" s="297" t="s">
        <v>32</v>
      </c>
    </row>
    <row r="302" spans="1:14" x14ac:dyDescent="0.2">
      <c r="A302" s="292">
        <f>$A$8</f>
        <v>2020</v>
      </c>
      <c r="B302" s="287" t="s">
        <v>60</v>
      </c>
      <c r="C302" s="19" t="s">
        <v>373</v>
      </c>
      <c r="D302" s="287" t="s">
        <v>60</v>
      </c>
      <c r="E302" s="19" t="s">
        <v>373</v>
      </c>
      <c r="F302" s="287" t="s">
        <v>60</v>
      </c>
      <c r="G302" s="19" t="s">
        <v>373</v>
      </c>
      <c r="H302" s="287" t="s">
        <v>60</v>
      </c>
      <c r="I302" s="19" t="s">
        <v>373</v>
      </c>
      <c r="J302" s="181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355</v>
      </c>
      <c r="B303" s="302">
        <f>'Ind T6'!L370</f>
        <v>218.75500000205369</v>
      </c>
      <c r="C303" s="299" t="str">
        <f>CONCATENATE("(",ROUND((B303/$H305)*100,1),")")</f>
        <v>(54.2)</v>
      </c>
      <c r="D303" s="302">
        <f>'Ind T6'!M370</f>
        <v>7.1419999999510413</v>
      </c>
      <c r="E303" s="299" t="str">
        <f>CONCATENATE("(",ROUND((D303/$H305)*100,1),")")</f>
        <v>(1.8)</v>
      </c>
      <c r="F303" s="302">
        <f>'Ind T6'!N370</f>
        <v>15.861000000480978</v>
      </c>
      <c r="G303" s="299" t="str">
        <f>CONCATENATE("(",ROUND((F303/$H305)*100,1),")")</f>
        <v>(3.9)</v>
      </c>
      <c r="H303" s="302">
        <f>SUM(B303,D303,F303)</f>
        <v>241.75800000248572</v>
      </c>
      <c r="I303" s="299" t="str">
        <f>CONCATENATE("(",ROUND((H303/$H305)*100,1),")")</f>
        <v>(59.9)</v>
      </c>
      <c r="K303" s="302">
        <f>B308-B303</f>
        <v>3.3760000013353988</v>
      </c>
      <c r="L303" s="302">
        <f>D308-D303</f>
        <v>0.40899999996026892</v>
      </c>
      <c r="M303" s="302">
        <f>F308-F303</f>
        <v>1.0540000005912162</v>
      </c>
      <c r="N303" s="302">
        <f>SUM(K303:M303)</f>
        <v>4.839000001886884</v>
      </c>
    </row>
    <row r="304" spans="1:14" x14ac:dyDescent="0.2">
      <c r="A304" s="282" t="s">
        <v>356</v>
      </c>
      <c r="B304" s="302">
        <f>'Ind T6'!L369</f>
        <v>130.93999999942355</v>
      </c>
      <c r="C304" s="299" t="str">
        <f>CONCATENATE("(",ROUND((B304/$H305)*100,1),")")</f>
        <v>(32.4)</v>
      </c>
      <c r="D304" s="302">
        <f>'Ind T6'!M369</f>
        <v>28.234999999966515</v>
      </c>
      <c r="E304" s="299" t="str">
        <f>CONCATENATE("(",ROUND((D304/$H305)*100,1),")")</f>
        <v>(7)</v>
      </c>
      <c r="F304" s="302">
        <f>'Ind T6'!N369</f>
        <v>2.9519999999428634</v>
      </c>
      <c r="G304" s="299" t="str">
        <f>CONCATENATE("(",ROUND((F304/$H305)*100,1),")")</f>
        <v>(0.7)</v>
      </c>
      <c r="H304" s="302">
        <f t="shared" ref="H304" si="231">SUM(B304,D304,F304)</f>
        <v>162.12699999933292</v>
      </c>
      <c r="I304" s="299" t="str">
        <f>CONCATENATE("(",ROUND((H304/$H305)*100,1),")")</f>
        <v>(40.1)</v>
      </c>
      <c r="K304" s="302">
        <f t="shared" ref="K304:K305" si="232">B309-B304</f>
        <v>1.460000004911592</v>
      </c>
      <c r="L304" s="302">
        <f t="shared" ref="L304:L305" si="233">D309-D304</f>
        <v>1.1000000221873307E-2</v>
      </c>
      <c r="M304" s="302">
        <f t="shared" ref="M304:M305" si="234">F309-F304</f>
        <v>0.16900000000731819</v>
      </c>
      <c r="N304" s="302">
        <f t="shared" ref="N304:N305" si="235">SUM(K304:M304)</f>
        <v>1.6400000051407835</v>
      </c>
    </row>
    <row r="305" spans="1:14" x14ac:dyDescent="0.2">
      <c r="A305" s="282" t="s">
        <v>354</v>
      </c>
      <c r="B305" s="302">
        <f>SUM(B303:B304)</f>
        <v>349.69500000147724</v>
      </c>
      <c r="C305" s="299" t="str">
        <f>CONCATENATE("(",ROUND((B305/$H305)*100,1),")")</f>
        <v>(86.6)</v>
      </c>
      <c r="D305" s="302">
        <f>SUM(D303:D304)</f>
        <v>35.376999999917558</v>
      </c>
      <c r="E305" s="299" t="str">
        <f>CONCATENATE("(",ROUND((D305/$H305)*100,1),")")</f>
        <v>(8.8)</v>
      </c>
      <c r="F305" s="302">
        <f>SUM(F303:F304)</f>
        <v>18.813000000423841</v>
      </c>
      <c r="G305" s="299" t="str">
        <f>CONCATENATE("(",ROUND((F305/$H305)*100,1),")")</f>
        <v>(4.7)</v>
      </c>
      <c r="H305" s="302">
        <f>SUM(H303:H304)</f>
        <v>403.88500000181864</v>
      </c>
      <c r="I305" s="299" t="str">
        <f>CONCATENATE("(",ROUND((H305/$H305)*100,1),")")</f>
        <v>(100)</v>
      </c>
      <c r="K305" s="302">
        <f t="shared" si="232"/>
        <v>4.8360000062469908</v>
      </c>
      <c r="L305" s="302">
        <f t="shared" si="233"/>
        <v>0.42000000018214223</v>
      </c>
      <c r="M305" s="302">
        <f t="shared" si="234"/>
        <v>1.2230000005985353</v>
      </c>
      <c r="N305" s="302">
        <f t="shared" si="235"/>
        <v>6.4790000070276683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355</v>
      </c>
      <c r="B308" s="302">
        <f>'Ind T6'!Q370</f>
        <v>222.13100000338909</v>
      </c>
      <c r="C308" s="299" t="str">
        <f>CONCATENATE("(",ROUND((B308/$H310)*100,1),")")</f>
        <v>(54.1)</v>
      </c>
      <c r="D308" s="302">
        <f>'Ind T6'!R370</f>
        <v>7.5509999999113102</v>
      </c>
      <c r="E308" s="299" t="str">
        <f>CONCATENATE("(",ROUND((D308/$H310)*100,1),")")</f>
        <v>(1.8)</v>
      </c>
      <c r="F308" s="302">
        <f>'Ind T6'!S370</f>
        <v>16.915000001072194</v>
      </c>
      <c r="G308" s="299" t="str">
        <f>CONCATENATE("(",ROUND((F308/$H310)*100,1),")")</f>
        <v>(4.1)</v>
      </c>
      <c r="H308" s="302">
        <f>SUM(B308,D308,F308)</f>
        <v>246.5970000043726</v>
      </c>
      <c r="I308" s="299" t="str">
        <f>CONCATENATE("(",ROUND((H308/$H310)*100,1),")")</f>
        <v>(60.1)</v>
      </c>
      <c r="K308" s="302">
        <f>B313-B308</f>
        <v>2.2160000007848453</v>
      </c>
      <c r="L308" s="302">
        <f>D313-D308</f>
        <v>0.59599999991513641</v>
      </c>
      <c r="M308" s="302">
        <f>F313-F308</f>
        <v>0.85699999985183695</v>
      </c>
      <c r="N308" s="302">
        <f>SUM(K308:M308)</f>
        <v>3.6690000005518186</v>
      </c>
    </row>
    <row r="309" spans="1:14" x14ac:dyDescent="0.2">
      <c r="A309" s="282" t="s">
        <v>356</v>
      </c>
      <c r="B309" s="302">
        <f>'Ind T6'!Q369</f>
        <v>132.40000000433514</v>
      </c>
      <c r="C309" s="299" t="str">
        <f>CONCATENATE("(",ROUND((B309/$H310)*100,1),")")</f>
        <v>(32.3)</v>
      </c>
      <c r="D309" s="302">
        <f>'Ind T6'!R369</f>
        <v>28.246000000188388</v>
      </c>
      <c r="E309" s="299" t="str">
        <f>CONCATENATE("(",ROUND((D309/$H310)*100,1),")")</f>
        <v>(6.9)</v>
      </c>
      <c r="F309" s="302">
        <f>'Ind T6'!S369</f>
        <v>3.1209999999501816</v>
      </c>
      <c r="G309" s="299" t="str">
        <f>CONCATENATE("(",ROUND((F309/$H310)*100,1),")")</f>
        <v>(0.8)</v>
      </c>
      <c r="H309" s="302">
        <f t="shared" ref="H309" si="236">SUM(B309,D309,F309)</f>
        <v>163.76700000447372</v>
      </c>
      <c r="I309" s="299" t="str">
        <f>CONCATENATE("(",ROUND((H309/$H310)*100,1),")")</f>
        <v>(39.9)</v>
      </c>
      <c r="K309" s="302">
        <f t="shared" ref="K309:K310" si="237">B314-B309</f>
        <v>0.88499999608254143</v>
      </c>
      <c r="L309" s="302">
        <f t="shared" ref="L309:L310" si="238">D314-D309</f>
        <v>-7.3000000208097049E-2</v>
      </c>
      <c r="M309" s="302">
        <f t="shared" ref="M309:M310" si="239">F314-F309</f>
        <v>7.9000000020793326E-2</v>
      </c>
      <c r="N309" s="302">
        <f t="shared" ref="N309:N310" si="240">SUM(K309:M309)</f>
        <v>0.89099999589523771</v>
      </c>
    </row>
    <row r="310" spans="1:14" x14ac:dyDescent="0.2">
      <c r="A310" s="282" t="s">
        <v>354</v>
      </c>
      <c r="B310" s="302">
        <f>SUM(B308:B309)</f>
        <v>354.53100000772423</v>
      </c>
      <c r="C310" s="299" t="str">
        <f>CONCATENATE("(",ROUND((B310/$H310)*100,1),")")</f>
        <v>(86.4)</v>
      </c>
      <c r="D310" s="302">
        <f>SUM(D308:D309)</f>
        <v>35.7970000000997</v>
      </c>
      <c r="E310" s="299" t="str">
        <f>CONCATENATE("(",ROUND((D310/$H310)*100,1),")")</f>
        <v>(8.7)</v>
      </c>
      <c r="F310" s="302">
        <f>SUM(F308:F309)</f>
        <v>20.036000001022376</v>
      </c>
      <c r="G310" s="299" t="str">
        <f>CONCATENATE("(",ROUND((F310/$H310)*100,1),")")</f>
        <v>(4.9)</v>
      </c>
      <c r="H310" s="302">
        <f>SUM(H308:H309)</f>
        <v>410.36400000884635</v>
      </c>
      <c r="I310" s="299" t="str">
        <f>CONCATENATE("(",ROUND((H310/$H310)*100,1),")")</f>
        <v>(100)</v>
      </c>
      <c r="K310" s="302">
        <f t="shared" si="237"/>
        <v>3.1009999968674151</v>
      </c>
      <c r="L310" s="302">
        <f t="shared" si="238"/>
        <v>0.52299999970703936</v>
      </c>
      <c r="M310" s="302">
        <f t="shared" si="239"/>
        <v>0.93599999987262805</v>
      </c>
      <c r="N310" s="302">
        <f t="shared" si="240"/>
        <v>4.5599999964470825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355</v>
      </c>
      <c r="B313" s="302">
        <f>'Ind T6'!V370</f>
        <v>224.34700000417394</v>
      </c>
      <c r="C313" s="299" t="str">
        <f>CONCATENATE("(",ROUND((B313/$H315)*100,1),")")</f>
        <v>(54.1)</v>
      </c>
      <c r="D313" s="302">
        <f>'Ind T6'!W370</f>
        <v>8.1469999998264466</v>
      </c>
      <c r="E313" s="299" t="str">
        <f>CONCATENATE("(",ROUND((D313/$H315)*100,1),")")</f>
        <v>(2)</v>
      </c>
      <c r="F313" s="302">
        <f>'Ind T6'!X370</f>
        <v>17.772000000924031</v>
      </c>
      <c r="G313" s="299" t="str">
        <f>CONCATENATE("(",ROUND((F313/$H315)*100,1),")")</f>
        <v>(4.3)</v>
      </c>
      <c r="H313" s="302">
        <f>SUM(B313,D313,F313)</f>
        <v>250.26600000492442</v>
      </c>
      <c r="I313" s="299" t="str">
        <f>CONCATENATE("(",ROUND((H313/$H315)*100,1),")")</f>
        <v>(60.3)</v>
      </c>
      <c r="K313" s="302">
        <f>B313-B303</f>
        <v>5.5920000021202441</v>
      </c>
      <c r="L313" s="302">
        <f>D313-D303</f>
        <v>1.0049999998754053</v>
      </c>
      <c r="M313" s="302">
        <f>F313-F303</f>
        <v>1.9110000004430532</v>
      </c>
      <c r="N313" s="302">
        <f>SUM(K313:M313)</f>
        <v>8.5080000024387026</v>
      </c>
    </row>
    <row r="314" spans="1:14" x14ac:dyDescent="0.2">
      <c r="A314" s="282" t="s">
        <v>356</v>
      </c>
      <c r="B314" s="302">
        <f>'Ind T6'!V369</f>
        <v>133.28500000041768</v>
      </c>
      <c r="C314" s="299" t="str">
        <f>CONCATENATE("(",ROUND((B314/$H315)*100,1),")")</f>
        <v>(32.1)</v>
      </c>
      <c r="D314" s="302">
        <f>'Ind T6'!W369</f>
        <v>28.172999999980291</v>
      </c>
      <c r="E314" s="299" t="str">
        <f>CONCATENATE("(",ROUND((D314/$H315)*100,1),")")</f>
        <v>(6.8)</v>
      </c>
      <c r="F314" s="302">
        <f>'Ind T6'!X369</f>
        <v>3.199999999970975</v>
      </c>
      <c r="G314" s="299" t="str">
        <f>CONCATENATE("(",ROUND((F314/$H315)*100,1),")")</f>
        <v>(0.8)</v>
      </c>
      <c r="H314" s="302">
        <f t="shared" ref="H314" si="241">SUM(B314,D314,F314)</f>
        <v>164.65800000036896</v>
      </c>
      <c r="I314" s="299" t="str">
        <f>CONCATENATE("(",ROUND((H314/$H315)*100,1),")")</f>
        <v>(39.7)</v>
      </c>
      <c r="K314" s="302">
        <f t="shared" ref="K314:K315" si="242">B314-B304</f>
        <v>2.3450000009941334</v>
      </c>
      <c r="L314" s="302">
        <f t="shared" ref="L314:L315" si="243">D314-D304</f>
        <v>-6.1999999986223742E-2</v>
      </c>
      <c r="M314" s="302">
        <f t="shared" ref="M314:M315" si="244">F314-F304</f>
        <v>0.24800000002811151</v>
      </c>
      <c r="N314" s="302">
        <f t="shared" ref="N314:N315" si="245">SUM(K314:M314)</f>
        <v>2.5310000010360212</v>
      </c>
    </row>
    <row r="315" spans="1:14" x14ac:dyDescent="0.2">
      <c r="A315" s="282" t="s">
        <v>354</v>
      </c>
      <c r="B315" s="302">
        <f>SUM(B313:B314)</f>
        <v>357.63200000459165</v>
      </c>
      <c r="C315" s="299" t="str">
        <f>CONCATENATE("(",ROUND((B315/$H315)*100,1),")")</f>
        <v>(86.2)</v>
      </c>
      <c r="D315" s="302">
        <f>SUM(D313:D314)</f>
        <v>36.31999999980674</v>
      </c>
      <c r="E315" s="299" t="str">
        <f>CONCATENATE("(",ROUND((D315/$H315)*100,1),")")</f>
        <v>(8.8)</v>
      </c>
      <c r="F315" s="302">
        <f>SUM(F313:F314)</f>
        <v>20.972000000895004</v>
      </c>
      <c r="G315" s="299" t="str">
        <f>CONCATENATE("(",ROUND((F315/$H315)*100,1),")")</f>
        <v>(5.1)</v>
      </c>
      <c r="H315" s="302">
        <f>SUM(H313:H314)</f>
        <v>414.92400000529335</v>
      </c>
      <c r="I315" s="299" t="str">
        <f>CONCATENATE("(",ROUND((H315/$H315)*100,1),")")</f>
        <v>(100)</v>
      </c>
      <c r="K315" s="302">
        <f t="shared" si="242"/>
        <v>7.9370000031144059</v>
      </c>
      <c r="L315" s="302">
        <f t="shared" si="243"/>
        <v>0.94299999988918159</v>
      </c>
      <c r="M315" s="302">
        <f t="shared" si="244"/>
        <v>2.1590000004711634</v>
      </c>
      <c r="N315" s="302">
        <f t="shared" si="245"/>
        <v>11.039000003474751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379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377</v>
      </c>
    </row>
    <row r="322" spans="1:14" x14ac:dyDescent="0.2">
      <c r="A322" s="181" t="s">
        <v>378</v>
      </c>
      <c r="B322" s="369" t="s">
        <v>376</v>
      </c>
      <c r="C322" s="369"/>
      <c r="D322" s="369" t="s">
        <v>375</v>
      </c>
      <c r="E322" s="369"/>
      <c r="F322" s="369" t="s">
        <v>374</v>
      </c>
      <c r="G322" s="369"/>
      <c r="H322" s="369" t="s">
        <v>32</v>
      </c>
      <c r="I322" s="369"/>
      <c r="J322" s="181"/>
      <c r="K322" s="297" t="s">
        <v>339</v>
      </c>
      <c r="L322" s="297" t="s">
        <v>341</v>
      </c>
      <c r="M322" s="297" t="s">
        <v>337</v>
      </c>
      <c r="N322" s="297" t="s">
        <v>32</v>
      </c>
    </row>
    <row r="323" spans="1:14" x14ac:dyDescent="0.2">
      <c r="A323" s="292">
        <f>$A$8</f>
        <v>2020</v>
      </c>
      <c r="B323" s="287" t="s">
        <v>60</v>
      </c>
      <c r="C323" s="19" t="s">
        <v>373</v>
      </c>
      <c r="D323" s="287" t="s">
        <v>60</v>
      </c>
      <c r="E323" s="19" t="s">
        <v>373</v>
      </c>
      <c r="F323" s="287" t="s">
        <v>60</v>
      </c>
      <c r="G323" s="19" t="s">
        <v>373</v>
      </c>
      <c r="H323" s="287" t="s">
        <v>60</v>
      </c>
      <c r="I323" s="19" t="s">
        <v>373</v>
      </c>
      <c r="J323" s="181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355</v>
      </c>
      <c r="B324" s="302">
        <f>'Ind T6'!L380</f>
        <v>69.717000000431909</v>
      </c>
      <c r="C324" s="299" t="str">
        <f>CONCATENATE("(",ROUND((B324/$H326)*100,1),")")</f>
        <v>(43.4)</v>
      </c>
      <c r="D324" s="302">
        <f>'Ind T6'!M380</f>
        <v>9.6810000000617311</v>
      </c>
      <c r="E324" s="299" t="str">
        <f>CONCATENATE("(",ROUND((D324/$H326)*100,1),")")</f>
        <v>(6)</v>
      </c>
      <c r="F324" s="302">
        <f>'Ind T6'!N380</f>
        <v>5.3710000000308638</v>
      </c>
      <c r="G324" s="299" t="str">
        <f>CONCATENATE("(",ROUND((F324/$H326)*100,1),")")</f>
        <v>(3.3)</v>
      </c>
      <c r="H324" s="302">
        <f>SUM(B324,D324,F324)</f>
        <v>84.7690000005245</v>
      </c>
      <c r="I324" s="299" t="str">
        <f>CONCATENATE("(",ROUND((H324/$H326)*100,1),")")</f>
        <v>(52.7)</v>
      </c>
      <c r="K324" s="302">
        <f>B329-B324</f>
        <v>-3.9659999997752209</v>
      </c>
      <c r="L324" s="302">
        <f>D329-D324</f>
        <v>-0.52600000001434211</v>
      </c>
      <c r="M324" s="302">
        <f>F329-F324</f>
        <v>-3.8999999949172803E-2</v>
      </c>
      <c r="N324" s="302">
        <f>SUM(K324:M324)</f>
        <v>-4.5309999997387358</v>
      </c>
    </row>
    <row r="325" spans="1:14" x14ac:dyDescent="0.2">
      <c r="A325" s="282" t="s">
        <v>356</v>
      </c>
      <c r="B325" s="302">
        <f>'Ind T6'!L379</f>
        <v>50.281999999681339</v>
      </c>
      <c r="C325" s="299" t="str">
        <f>CONCATENATE("(",ROUND((B325/$H326)*100,1),")")</f>
        <v>(31.3)</v>
      </c>
      <c r="D325" s="302">
        <f>'Ind T6'!M379</f>
        <v>21.907999999854685</v>
      </c>
      <c r="E325" s="299" t="str">
        <f>CONCATENATE("(",ROUND((D325/$H326)*100,1),")")</f>
        <v>(13.6)</v>
      </c>
      <c r="F325" s="302">
        <f>'Ind T6'!N379</f>
        <v>3.8179999999312257</v>
      </c>
      <c r="G325" s="299" t="str">
        <f>CONCATENATE("(",ROUND((F325/$H326)*100,1),")")</f>
        <v>(2.4)</v>
      </c>
      <c r="H325" s="302">
        <f t="shared" ref="H325" si="246">SUM(B325,D325,F325)</f>
        <v>76.007999999467259</v>
      </c>
      <c r="I325" s="299" t="str">
        <f>CONCATENATE("(",ROUND((H325/$H326)*100,1),")")</f>
        <v>(47.3)</v>
      </c>
      <c r="K325" s="302">
        <f t="shared" ref="K325:K326" si="247">B330-B325</f>
        <v>-1.1349999989439112</v>
      </c>
      <c r="L325" s="302">
        <f t="shared" ref="L325:L326" si="248">D330-D325</f>
        <v>-2.1310000000503884</v>
      </c>
      <c r="M325" s="302">
        <f t="shared" ref="M325:M326" si="249">F330-F325</f>
        <v>-0.16399999996759096</v>
      </c>
      <c r="N325" s="302">
        <f t="shared" ref="N325:N326" si="250">SUM(K325:M325)</f>
        <v>-3.4299999989618906</v>
      </c>
    </row>
    <row r="326" spans="1:14" x14ac:dyDescent="0.2">
      <c r="A326" s="282" t="s">
        <v>354</v>
      </c>
      <c r="B326" s="302">
        <f>SUM(B324:B325)</f>
        <v>119.99900000011326</v>
      </c>
      <c r="C326" s="299" t="str">
        <f>CONCATENATE("(",ROUND((B326/$H326)*100,1),")")</f>
        <v>(74.6)</v>
      </c>
      <c r="D326" s="302">
        <f>SUM(D324:D325)</f>
        <v>31.588999999916417</v>
      </c>
      <c r="E326" s="299" t="str">
        <f>CONCATENATE("(",ROUND((D326/$H326)*100,1),")")</f>
        <v>(19.6)</v>
      </c>
      <c r="F326" s="302">
        <f>SUM(F324:F325)</f>
        <v>9.188999999962089</v>
      </c>
      <c r="G326" s="299" t="str">
        <f>CONCATENATE("(",ROUND((F326/$H326)*100,1),")")</f>
        <v>(5.7)</v>
      </c>
      <c r="H326" s="302">
        <f>SUM(H324:H325)</f>
        <v>160.77699999999174</v>
      </c>
      <c r="I326" s="299" t="str">
        <f>CONCATENATE("(",ROUND((H326/$H326)*100,1),")")</f>
        <v>(100)</v>
      </c>
      <c r="K326" s="302">
        <f t="shared" si="247"/>
        <v>-5.1009999987191463</v>
      </c>
      <c r="L326" s="302">
        <f t="shared" si="248"/>
        <v>-2.657000000064734</v>
      </c>
      <c r="M326" s="302">
        <f t="shared" si="249"/>
        <v>-0.20299999991676287</v>
      </c>
      <c r="N326" s="302">
        <f t="shared" si="250"/>
        <v>-7.9609999987006432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355</v>
      </c>
      <c r="B329" s="302">
        <f>'Ind T6'!Q380</f>
        <v>65.751000000656688</v>
      </c>
      <c r="C329" s="299" t="str">
        <f>CONCATENATE("(",ROUND((B329/$H331)*100,1),")")</f>
        <v>(43)</v>
      </c>
      <c r="D329" s="302">
        <f>'Ind T6'!R380</f>
        <v>9.155000000047389</v>
      </c>
      <c r="E329" s="299" t="str">
        <f>CONCATENATE("(",ROUND((D329/$H331)*100,1),")")</f>
        <v>(6)</v>
      </c>
      <c r="F329" s="302">
        <f>'Ind T6'!S380</f>
        <v>5.3320000000816909</v>
      </c>
      <c r="G329" s="299" t="str">
        <f>CONCATENATE("(",ROUND((F329/$H331)*100,1),")")</f>
        <v>(3.5)</v>
      </c>
      <c r="H329" s="302">
        <f>SUM(B329,D329,F329)</f>
        <v>80.238000000785775</v>
      </c>
      <c r="I329" s="299" t="str">
        <f>CONCATENATE("(",ROUND((H329/$H331)*100,1),")")</f>
        <v>(52.5)</v>
      </c>
      <c r="K329" s="302">
        <f>B334-B329</f>
        <v>2.3350000002167803</v>
      </c>
      <c r="L329" s="302">
        <f>D334-D329</f>
        <v>0.49800000001695111</v>
      </c>
      <c r="M329" s="302">
        <f>F334-F329</f>
        <v>0.66699999998285886</v>
      </c>
      <c r="N329" s="302">
        <f>SUM(K329:M329)</f>
        <v>3.5000000002165903</v>
      </c>
    </row>
    <row r="330" spans="1:14" x14ac:dyDescent="0.2">
      <c r="A330" s="282" t="s">
        <v>356</v>
      </c>
      <c r="B330" s="302">
        <f>'Ind T6'!Q379</f>
        <v>49.147000000737428</v>
      </c>
      <c r="C330" s="299" t="str">
        <f>CONCATENATE("(",ROUND((B330/$H331)*100,1),")")</f>
        <v>(32.2)</v>
      </c>
      <c r="D330" s="302">
        <f>'Ind T6'!R379</f>
        <v>19.776999999804296</v>
      </c>
      <c r="E330" s="299" t="str">
        <f>CONCATENATE("(",ROUND((D330/$H331)*100,1),")")</f>
        <v>(12.9)</v>
      </c>
      <c r="F330" s="302">
        <f>'Ind T6'!S379</f>
        <v>3.6539999999636348</v>
      </c>
      <c r="G330" s="299" t="str">
        <f>CONCATENATE("(",ROUND((F330/$H331)*100,1),")")</f>
        <v>(2.4)</v>
      </c>
      <c r="H330" s="302">
        <f t="shared" ref="H330" si="251">SUM(B330,D330,F330)</f>
        <v>72.578000000505355</v>
      </c>
      <c r="I330" s="299" t="str">
        <f>CONCATENATE("(",ROUND((H330/$H331)*100,1),")")</f>
        <v>(47.5)</v>
      </c>
      <c r="K330" s="302">
        <f t="shared" ref="K330:K331" si="252">B335-B330</f>
        <v>5.3679999991595935</v>
      </c>
      <c r="L330" s="302">
        <f t="shared" ref="L330:L331" si="253">D335-D330</f>
        <v>-1.0229999999467125</v>
      </c>
      <c r="M330" s="302">
        <f t="shared" ref="M330:M331" si="254">F335-F330</f>
        <v>0.159000000002401</v>
      </c>
      <c r="N330" s="302">
        <f t="shared" ref="N330:N331" si="255">SUM(K330:M330)</f>
        <v>4.5039999992152815</v>
      </c>
    </row>
    <row r="331" spans="1:14" x14ac:dyDescent="0.2">
      <c r="A331" s="282" t="s">
        <v>354</v>
      </c>
      <c r="B331" s="302">
        <f>SUM(B329:B330)</f>
        <v>114.89800000139411</v>
      </c>
      <c r="C331" s="299" t="str">
        <f>CONCATENATE("(",ROUND((B331/$H331)*100,1),")")</f>
        <v>(75.2)</v>
      </c>
      <c r="D331" s="302">
        <f>SUM(D329:D330)</f>
        <v>28.931999999851683</v>
      </c>
      <c r="E331" s="299" t="str">
        <f>CONCATENATE("(",ROUND((D331/$H331)*100,1),")")</f>
        <v>(18.9)</v>
      </c>
      <c r="F331" s="302">
        <f>SUM(F329:F330)</f>
        <v>8.9860000000453262</v>
      </c>
      <c r="G331" s="299" t="str">
        <f>CONCATENATE("(",ROUND((F331/$H331)*100,1),")")</f>
        <v>(5.9)</v>
      </c>
      <c r="H331" s="302">
        <f>SUM(H329:H330)</f>
        <v>152.81600000129112</v>
      </c>
      <c r="I331" s="299" t="str">
        <f>CONCATENATE("(",ROUND((H331/$H331)*100,1),")")</f>
        <v>(100)</v>
      </c>
      <c r="K331" s="302">
        <f t="shared" si="252"/>
        <v>7.7029999993763738</v>
      </c>
      <c r="L331" s="302">
        <f t="shared" si="253"/>
        <v>-0.52499999992976143</v>
      </c>
      <c r="M331" s="302">
        <f t="shared" si="254"/>
        <v>0.8259999999852603</v>
      </c>
      <c r="N331" s="302">
        <f t="shared" si="255"/>
        <v>8.0039999994318727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355</v>
      </c>
      <c r="B334" s="302">
        <f>'Ind T6'!V380</f>
        <v>68.086000000873469</v>
      </c>
      <c r="C334" s="299" t="str">
        <f>CONCATENATE("(",ROUND((B334/$H336)*100,1),")")</f>
        <v>(42.3)</v>
      </c>
      <c r="D334" s="302">
        <f>'Ind T6'!W380</f>
        <v>9.6530000000643401</v>
      </c>
      <c r="E334" s="299" t="str">
        <f>CONCATENATE("(",ROUND((D334/$H336)*100,1),")")</f>
        <v>(6)</v>
      </c>
      <c r="F334" s="302">
        <f>'Ind T6'!X380</f>
        <v>5.9990000000645498</v>
      </c>
      <c r="G334" s="299" t="str">
        <f>CONCATENATE("(",ROUND((F334/$H336)*100,1),")")</f>
        <v>(3.7)</v>
      </c>
      <c r="H334" s="302">
        <f>SUM(B334,D334,F334)</f>
        <v>83.738000001002362</v>
      </c>
      <c r="I334" s="299" t="str">
        <f>CONCATENATE("(",ROUND((H334/$H336)*100,1),")")</f>
        <v>(52.1)</v>
      </c>
      <c r="K334" s="302">
        <f>B334-B324</f>
        <v>-1.6309999995584405</v>
      </c>
      <c r="L334" s="302">
        <f>D334-D324</f>
        <v>-2.7999999997391001E-2</v>
      </c>
      <c r="M334" s="302">
        <f>F334-F324</f>
        <v>0.62800000003368606</v>
      </c>
      <c r="N334" s="302">
        <f>SUM(K334:M334)</f>
        <v>-1.0309999995221455</v>
      </c>
    </row>
    <row r="335" spans="1:14" x14ac:dyDescent="0.2">
      <c r="A335" s="282" t="s">
        <v>356</v>
      </c>
      <c r="B335" s="302">
        <f>'Ind T6'!V379</f>
        <v>54.514999999897022</v>
      </c>
      <c r="C335" s="299" t="str">
        <f>CONCATENATE("(",ROUND((B335/$H336)*100,1),")")</f>
        <v>(33.9)</v>
      </c>
      <c r="D335" s="302">
        <f>'Ind T6'!W379</f>
        <v>18.753999999857584</v>
      </c>
      <c r="E335" s="299" t="str">
        <f>CONCATENATE("(",ROUND((D335/$H336)*100,1),")")</f>
        <v>(11.7)</v>
      </c>
      <c r="F335" s="302">
        <f>'Ind T6'!X379</f>
        <v>3.8129999999660358</v>
      </c>
      <c r="G335" s="299" t="str">
        <f>CONCATENATE("(",ROUND((F335/$H336)*100,1),")")</f>
        <v>(2.4)</v>
      </c>
      <c r="H335" s="302">
        <f>SUM(B335,D335,F335)</f>
        <v>77.081999999720651</v>
      </c>
      <c r="I335" s="299" t="str">
        <f>CONCATENATE("(",ROUND((H335/$H336)*100,1),")")</f>
        <v>(47.9)</v>
      </c>
      <c r="K335" s="302">
        <f t="shared" ref="K335:K336" si="256">B335-B325</f>
        <v>4.2330000002156822</v>
      </c>
      <c r="L335" s="302">
        <f t="shared" ref="L335:L336" si="257">D335-D325</f>
        <v>-3.1539999999971009</v>
      </c>
      <c r="M335" s="302">
        <f t="shared" ref="M335:M336" si="258">F335-F325</f>
        <v>-4.9999999651899607E-3</v>
      </c>
      <c r="N335" s="302">
        <f t="shared" ref="N335:N336" si="259">SUM(K335:M335)</f>
        <v>1.0740000002533914</v>
      </c>
    </row>
    <row r="336" spans="1:14" x14ac:dyDescent="0.2">
      <c r="A336" s="282" t="s">
        <v>354</v>
      </c>
      <c r="B336" s="302">
        <f>SUM(B334:B335)</f>
        <v>122.60100000077048</v>
      </c>
      <c r="C336" s="299" t="str">
        <f>CONCATENATE("(",ROUND((B336/$H336)*100,1),")")</f>
        <v>(76.2)</v>
      </c>
      <c r="D336" s="302">
        <f>SUM(D334:D335)</f>
        <v>28.406999999921922</v>
      </c>
      <c r="E336" s="299" t="str">
        <f>CONCATENATE("(",ROUND((D336/$H336)*100,1),")")</f>
        <v>(17.7)</v>
      </c>
      <c r="F336" s="302">
        <f>SUM(F334:F335)</f>
        <v>9.8120000000305865</v>
      </c>
      <c r="G336" s="299" t="str">
        <f>CONCATENATE("(",ROUND((F336/$H336)*100,1),")")</f>
        <v>(6.1)</v>
      </c>
      <c r="H336" s="302">
        <f>SUM(H334:H335)</f>
        <v>160.82000000072301</v>
      </c>
      <c r="I336" s="299" t="str">
        <f>CONCATENATE("(",ROUND((H336/$H336)*100,1),")")</f>
        <v>(100)</v>
      </c>
      <c r="K336" s="302">
        <f t="shared" si="256"/>
        <v>2.6020000006572275</v>
      </c>
      <c r="L336" s="302">
        <f t="shared" si="257"/>
        <v>-3.1819999999944955</v>
      </c>
      <c r="M336" s="302">
        <f t="shared" si="258"/>
        <v>0.62300000006849743</v>
      </c>
      <c r="N336" s="302">
        <f t="shared" si="259"/>
        <v>4.3000000731229449E-2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379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377</v>
      </c>
    </row>
    <row r="343" spans="1:14" x14ac:dyDescent="0.2">
      <c r="A343" s="181" t="s">
        <v>378</v>
      </c>
      <c r="B343" s="369" t="s">
        <v>376</v>
      </c>
      <c r="C343" s="369"/>
      <c r="D343" s="369" t="s">
        <v>375</v>
      </c>
      <c r="E343" s="369"/>
      <c r="F343" s="369" t="s">
        <v>374</v>
      </c>
      <c r="G343" s="369"/>
      <c r="H343" s="369" t="s">
        <v>32</v>
      </c>
      <c r="I343" s="369"/>
      <c r="J343" s="181"/>
      <c r="K343" s="297" t="s">
        <v>339</v>
      </c>
      <c r="L343" s="297" t="s">
        <v>341</v>
      </c>
      <c r="M343" s="297" t="s">
        <v>337</v>
      </c>
      <c r="N343" s="297" t="s">
        <v>32</v>
      </c>
    </row>
    <row r="344" spans="1:14" x14ac:dyDescent="0.2">
      <c r="A344" s="292">
        <f>$A$8</f>
        <v>2020</v>
      </c>
      <c r="B344" s="287" t="s">
        <v>60</v>
      </c>
      <c r="C344" s="19" t="s">
        <v>373</v>
      </c>
      <c r="D344" s="287" t="s">
        <v>60</v>
      </c>
      <c r="E344" s="19" t="s">
        <v>373</v>
      </c>
      <c r="F344" s="287" t="s">
        <v>60</v>
      </c>
      <c r="G344" s="19" t="s">
        <v>373</v>
      </c>
      <c r="H344" s="287" t="s">
        <v>60</v>
      </c>
      <c r="I344" s="19" t="s">
        <v>373</v>
      </c>
      <c r="J344" s="181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355</v>
      </c>
      <c r="B345" s="302">
        <f>'Ind T6'!L425</f>
        <v>302.28800000453339</v>
      </c>
      <c r="C345" s="299" t="str">
        <f>CONCATENATE("(",ROUND((B345/$H347)*100,1),")")</f>
        <v>(38.9)</v>
      </c>
      <c r="D345" s="302">
        <f>'Ind T6'!M425</f>
        <v>32.004000000362609</v>
      </c>
      <c r="E345" s="299" t="str">
        <f>CONCATENATE("(",ROUND((D345/$H347)*100,1),")")</f>
        <v>(4.1)</v>
      </c>
      <c r="F345" s="302">
        <f>'Ind T6'!N425</f>
        <v>68.255000003143735</v>
      </c>
      <c r="G345" s="299" t="str">
        <f>CONCATENATE("(",ROUND((F345/$H347)*100,1),")")</f>
        <v>(8.8)</v>
      </c>
      <c r="H345" s="302">
        <f>SUM(B345,D345,F345)</f>
        <v>402.54700000803973</v>
      </c>
      <c r="I345" s="299" t="str">
        <f>CONCATENATE("(",ROUND((H345/$H347)*100,1),")")</f>
        <v>(51.7)</v>
      </c>
      <c r="K345" s="302">
        <f>B350-B345</f>
        <v>12.742000001071233</v>
      </c>
      <c r="L345" s="302">
        <f>D350-D345</f>
        <v>2.4519999998749356</v>
      </c>
      <c r="M345" s="302">
        <f>F350-F345</f>
        <v>4.1870000031618417</v>
      </c>
      <c r="N345" s="302">
        <f>SUM(K345:M345)</f>
        <v>19.38100000410801</v>
      </c>
    </row>
    <row r="346" spans="1:14" x14ac:dyDescent="0.2">
      <c r="A346" s="282" t="s">
        <v>356</v>
      </c>
      <c r="B346" s="302">
        <f>'Ind T6'!L424</f>
        <v>246.56300000049035</v>
      </c>
      <c r="C346" s="299" t="str">
        <f>CONCATENATE("(",ROUND((B346/$H347)*100,1),")")</f>
        <v>(31.7)</v>
      </c>
      <c r="D346" s="302">
        <f>'Ind T6'!M424</f>
        <v>84.541000000027722</v>
      </c>
      <c r="E346" s="299" t="str">
        <f>CONCATENATE("(",ROUND((D346/$H347)*100,1),")")</f>
        <v>(10.9)</v>
      </c>
      <c r="F346" s="302">
        <f>'Ind T6'!N424</f>
        <v>44.313999999844185</v>
      </c>
      <c r="G346" s="299" t="str">
        <f>CONCATENATE("(",ROUND((F346/$H347)*100,1),")")</f>
        <v>(5.7)</v>
      </c>
      <c r="H346" s="302">
        <f t="shared" ref="H346" si="260">SUM(B346,D346,F346)</f>
        <v>375.41800000036221</v>
      </c>
      <c r="I346" s="299" t="str">
        <f>CONCATENATE("(",ROUND((H346/$H347)*100,1),")")</f>
        <v>(48.3)</v>
      </c>
      <c r="K346" s="302">
        <f t="shared" ref="K346:K347" si="261">B351-B346</f>
        <v>16.317000009370446</v>
      </c>
      <c r="L346" s="302">
        <f t="shared" ref="L346:L347" si="262">D351-D346</f>
        <v>5.7820000004775096</v>
      </c>
      <c r="M346" s="302">
        <f t="shared" ref="M346:M347" si="263">F351-F346</f>
        <v>4.0360000007152266</v>
      </c>
      <c r="N346" s="302">
        <f t="shared" ref="N346:N347" si="264">SUM(K346:M346)</f>
        <v>26.135000010563182</v>
      </c>
    </row>
    <row r="347" spans="1:14" x14ac:dyDescent="0.2">
      <c r="A347" s="282" t="s">
        <v>354</v>
      </c>
      <c r="B347" s="302">
        <f>SUM(B345:B346)</f>
        <v>548.85100000502371</v>
      </c>
      <c r="C347" s="299" t="str">
        <f>CONCATENATE("(",ROUND((B347/$H347)*100,1),")")</f>
        <v>(70.5)</v>
      </c>
      <c r="D347" s="302">
        <f>SUM(D345:D346)</f>
        <v>116.54500000039033</v>
      </c>
      <c r="E347" s="299" t="str">
        <f>CONCATENATE("(",ROUND((D347/$H347)*100,1),")")</f>
        <v>(15)</v>
      </c>
      <c r="F347" s="302">
        <f>SUM(F345:F346)</f>
        <v>112.56900000298792</v>
      </c>
      <c r="G347" s="299" t="str">
        <f>CONCATENATE("(",ROUND((F347/$H347)*100,1),")")</f>
        <v>(14.5)</v>
      </c>
      <c r="H347" s="302">
        <f>SUM(H345:H346)</f>
        <v>777.96500000840194</v>
      </c>
      <c r="I347" s="299" t="str">
        <f>CONCATENATE("(",ROUND((H347/$H347)*100,1),")")</f>
        <v>(100)</v>
      </c>
      <c r="K347" s="302">
        <f t="shared" si="261"/>
        <v>29.05900001044165</v>
      </c>
      <c r="L347" s="302">
        <f t="shared" si="262"/>
        <v>8.2340000003524381</v>
      </c>
      <c r="M347" s="302">
        <f t="shared" si="263"/>
        <v>8.2230000038770612</v>
      </c>
      <c r="N347" s="302">
        <f t="shared" si="264"/>
        <v>45.51600001467115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355</v>
      </c>
      <c r="B350" s="302">
        <f>'Ind T6'!Q425</f>
        <v>315.03000000560462</v>
      </c>
      <c r="C350" s="299" t="str">
        <f>CONCATENATE("(",ROUND((B350/$H352)*100,1),")")</f>
        <v>(38.3)</v>
      </c>
      <c r="D350" s="302">
        <f>'Ind T6'!R425</f>
        <v>34.456000000237545</v>
      </c>
      <c r="E350" s="299" t="str">
        <f>CONCATENATE("(",ROUND((D350/$H352)*100,1),")")</f>
        <v>(4.2)</v>
      </c>
      <c r="F350" s="302">
        <f>'Ind T6'!S425</f>
        <v>72.442000006305577</v>
      </c>
      <c r="G350" s="299" t="str">
        <f>CONCATENATE("(",ROUND((F350/$H352)*100,1),")")</f>
        <v>(8.8)</v>
      </c>
      <c r="H350" s="302">
        <f>SUM(B350,D350,F350)</f>
        <v>421.92800001214778</v>
      </c>
      <c r="I350" s="299" t="str">
        <f>CONCATENATE("(",ROUND((H350/$H352)*100,1),")")</f>
        <v>(51.2)</v>
      </c>
      <c r="K350" s="302">
        <f>B355-B350</f>
        <v>11.754000001032125</v>
      </c>
      <c r="L350" s="302">
        <f>D355-D350</f>
        <v>3.6050000000752931</v>
      </c>
      <c r="M350" s="302">
        <f>F355-F350</f>
        <v>4.4309999987641078</v>
      </c>
      <c r="N350" s="302">
        <f>SUM(K350:M350)</f>
        <v>19.789999999871526</v>
      </c>
    </row>
    <row r="351" spans="1:14" x14ac:dyDescent="0.2">
      <c r="A351" s="282" t="s">
        <v>356</v>
      </c>
      <c r="B351" s="302">
        <f>'Ind T6'!Q424</f>
        <v>262.88000000986079</v>
      </c>
      <c r="C351" s="299" t="str">
        <f>CONCATENATE("(",ROUND((B351/$H352)*100,1),")")</f>
        <v>(31.9)</v>
      </c>
      <c r="D351" s="302">
        <f>'Ind T6'!R424</f>
        <v>90.323000000505232</v>
      </c>
      <c r="E351" s="299" t="str">
        <f>CONCATENATE("(",ROUND((D351/$H352)*100,1),")")</f>
        <v>(11)</v>
      </c>
      <c r="F351" s="302">
        <f>'Ind T6'!S424</f>
        <v>48.350000000559412</v>
      </c>
      <c r="G351" s="299" t="str">
        <f>CONCATENATE("(",ROUND((F351/$H352)*100,1),")")</f>
        <v>(5.9)</v>
      </c>
      <c r="H351" s="302">
        <f t="shared" ref="H351" si="265">SUM(B351,D351,F351)</f>
        <v>401.55300001092547</v>
      </c>
      <c r="I351" s="299" t="str">
        <f>CONCATENATE("(",ROUND((H351/$H352)*100,1),")")</f>
        <v>(48.8)</v>
      </c>
      <c r="K351" s="302">
        <f t="shared" ref="K351:K352" si="266">B356-B351</f>
        <v>16.805999991330566</v>
      </c>
      <c r="L351" s="302">
        <f t="shared" ref="L351:L352" si="267">D356-D351</f>
        <v>6.9259999996879174</v>
      </c>
      <c r="M351" s="302">
        <f t="shared" ref="M351:M352" si="268">F356-F351</f>
        <v>4.9069999996081179</v>
      </c>
      <c r="N351" s="302">
        <f t="shared" ref="N351:N352" si="269">SUM(K351:M351)</f>
        <v>28.638999990626601</v>
      </c>
    </row>
    <row r="352" spans="1:14" x14ac:dyDescent="0.2">
      <c r="A352" s="282" t="s">
        <v>354</v>
      </c>
      <c r="B352" s="302">
        <f>SUM(B350:B351)</f>
        <v>577.91000001546536</v>
      </c>
      <c r="C352" s="299" t="str">
        <f>CONCATENATE("(",ROUND((B352/$H352)*100,1),")")</f>
        <v>(70.2)</v>
      </c>
      <c r="D352" s="302">
        <f>SUM(D350:D351)</f>
        <v>124.77900000074277</v>
      </c>
      <c r="E352" s="299" t="str">
        <f>CONCATENATE("(",ROUND((D352/$H352)*100,1),")")</f>
        <v>(15.2)</v>
      </c>
      <c r="F352" s="302">
        <f>SUM(F350:F351)</f>
        <v>120.79200000686498</v>
      </c>
      <c r="G352" s="299" t="str">
        <f>CONCATENATE("(",ROUND((F352/$H352)*100,1),")")</f>
        <v>(14.7)</v>
      </c>
      <c r="H352" s="302">
        <f>SUM(H350:H351)</f>
        <v>823.48100002307319</v>
      </c>
      <c r="I352" s="299" t="str">
        <f>CONCATENATE("(",ROUND((H352/$H352)*100,1),")")</f>
        <v>(100)</v>
      </c>
      <c r="K352" s="302">
        <f t="shared" si="266"/>
        <v>28.559999992362691</v>
      </c>
      <c r="L352" s="302">
        <f t="shared" si="267"/>
        <v>10.530999999763225</v>
      </c>
      <c r="M352" s="302">
        <f t="shared" si="268"/>
        <v>9.3379999983722257</v>
      </c>
      <c r="N352" s="302">
        <f t="shared" si="269"/>
        <v>48.428999990498141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355</v>
      </c>
      <c r="B355" s="302">
        <f>'Ind T6'!V425</f>
        <v>326.78400000663675</v>
      </c>
      <c r="C355" s="299" t="str">
        <f>CONCATENATE("(",ROUND((B355/$H357)*100,1),")")</f>
        <v>(37.5)</v>
      </c>
      <c r="D355" s="302">
        <f>'Ind T6'!W425</f>
        <v>38.061000000312838</v>
      </c>
      <c r="E355" s="299" t="str">
        <f>CONCATENATE("(",ROUND((D355/$H357)*100,1),")")</f>
        <v>(4.4)</v>
      </c>
      <c r="F355" s="302">
        <f>'Ind T6'!X425</f>
        <v>76.873000005069684</v>
      </c>
      <c r="G355" s="299" t="str">
        <f>CONCATENATE("(",ROUND((F355/$H357)*100,1),")")</f>
        <v>(8.8)</v>
      </c>
      <c r="H355" s="302">
        <f>SUM(B355,D355,F355)</f>
        <v>441.71800001201927</v>
      </c>
      <c r="I355" s="299" t="str">
        <f>CONCATENATE("(",ROUND((H355/$H357)*100,1),")")</f>
        <v>(50.7)</v>
      </c>
      <c r="K355" s="302">
        <f>B355-B345</f>
        <v>24.496000002103358</v>
      </c>
      <c r="L355" s="302">
        <f>D355-D345</f>
        <v>6.0569999999502286</v>
      </c>
      <c r="M355" s="302">
        <f>F355-F345</f>
        <v>8.6180000019259495</v>
      </c>
      <c r="N355" s="302">
        <f>SUM(K355:M355)</f>
        <v>39.171000003979536</v>
      </c>
    </row>
    <row r="356" spans="1:14" x14ac:dyDescent="0.2">
      <c r="A356" s="282" t="s">
        <v>356</v>
      </c>
      <c r="B356" s="302">
        <f>'Ind T6'!V424</f>
        <v>279.68600000119136</v>
      </c>
      <c r="C356" s="299" t="str">
        <f>CONCATENATE("(",ROUND((B356/$H357)*100,1),")")</f>
        <v>(32.1)</v>
      </c>
      <c r="D356" s="302">
        <f>'Ind T6'!W424</f>
        <v>97.249000000193149</v>
      </c>
      <c r="E356" s="299" t="str">
        <f>CONCATENATE("(",ROUND((D356/$H357)*100,1),")")</f>
        <v>(11.2)</v>
      </c>
      <c r="F356" s="302">
        <f>'Ind T6'!X424</f>
        <v>53.25700000016753</v>
      </c>
      <c r="G356" s="299" t="str">
        <f>CONCATENATE("(",ROUND((F356/$H357)*100,1),")")</f>
        <v>(6.1)</v>
      </c>
      <c r="H356" s="302">
        <f t="shared" ref="H356" si="270">SUM(B356,D356,F356)</f>
        <v>430.19200000155206</v>
      </c>
      <c r="I356" s="299" t="str">
        <f>CONCATENATE("(",ROUND((H356/$H357)*100,1),")")</f>
        <v>(49.3)</v>
      </c>
      <c r="K356" s="302">
        <f t="shared" ref="K356:K357" si="271">B356-B346</f>
        <v>33.123000000701012</v>
      </c>
      <c r="L356" s="302">
        <f t="shared" ref="L356:L357" si="272">D356-D346</f>
        <v>12.708000000165427</v>
      </c>
      <c r="M356" s="302">
        <f t="shared" ref="M356:M357" si="273">F356-F346</f>
        <v>8.9430000003233445</v>
      </c>
      <c r="N356" s="302">
        <f t="shared" ref="N356:N357" si="274">SUM(K356:M356)</f>
        <v>54.774000001189783</v>
      </c>
    </row>
    <row r="357" spans="1:14" x14ac:dyDescent="0.2">
      <c r="A357" s="282" t="s">
        <v>354</v>
      </c>
      <c r="B357" s="302">
        <f>SUM(B355:B356)</f>
        <v>606.47000000782805</v>
      </c>
      <c r="C357" s="299" t="str">
        <f>CONCATENATE("(",ROUND((B357/$H357)*100,1),")")</f>
        <v>(69.6)</v>
      </c>
      <c r="D357" s="302">
        <f>SUM(D355:D356)</f>
        <v>135.31000000050599</v>
      </c>
      <c r="E357" s="299" t="str">
        <f>CONCATENATE("(",ROUND((D357/$H357)*100,1),")")</f>
        <v>(15.5)</v>
      </c>
      <c r="F357" s="302">
        <f>SUM(F355:F356)</f>
        <v>130.13000000523721</v>
      </c>
      <c r="G357" s="299" t="str">
        <f>CONCATENATE("(",ROUND((F357/$H357)*100,1),")")</f>
        <v>(14.9)</v>
      </c>
      <c r="H357" s="302">
        <f>SUM(H355:H356)</f>
        <v>871.91000001357133</v>
      </c>
      <c r="I357" s="299" t="str">
        <f>CONCATENATE("(",ROUND((H357/$H357)*100,1),")")</f>
        <v>(100)</v>
      </c>
      <c r="K357" s="302">
        <f t="shared" si="271"/>
        <v>57.619000002804341</v>
      </c>
      <c r="L357" s="302">
        <f t="shared" si="272"/>
        <v>18.765000000115663</v>
      </c>
      <c r="M357" s="302">
        <f t="shared" si="273"/>
        <v>17.561000002249287</v>
      </c>
      <c r="N357" s="302">
        <f t="shared" si="274"/>
        <v>93.945000005169291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1"/>
      <c r="E361" s="181"/>
      <c r="G361" s="181"/>
      <c r="I361" s="181"/>
    </row>
    <row r="362" spans="1:14" x14ac:dyDescent="0.2">
      <c r="A362" s="288"/>
      <c r="B362" s="289" t="s">
        <v>379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377</v>
      </c>
    </row>
    <row r="364" spans="1:14" x14ac:dyDescent="0.2">
      <c r="A364" s="181" t="s">
        <v>378</v>
      </c>
      <c r="B364" s="369" t="s">
        <v>376</v>
      </c>
      <c r="C364" s="369"/>
      <c r="D364" s="369" t="s">
        <v>375</v>
      </c>
      <c r="E364" s="369"/>
      <c r="F364" s="369" t="s">
        <v>374</v>
      </c>
      <c r="G364" s="369"/>
      <c r="H364" s="369" t="s">
        <v>32</v>
      </c>
      <c r="I364" s="369"/>
      <c r="J364" s="181"/>
      <c r="K364" s="297" t="s">
        <v>339</v>
      </c>
      <c r="L364" s="297" t="s">
        <v>341</v>
      </c>
      <c r="M364" s="297" t="s">
        <v>337</v>
      </c>
      <c r="N364" s="297" t="s">
        <v>32</v>
      </c>
    </row>
    <row r="365" spans="1:14" x14ac:dyDescent="0.2">
      <c r="A365" s="292">
        <f>$A$8</f>
        <v>2020</v>
      </c>
      <c r="B365" s="287" t="s">
        <v>60</v>
      </c>
      <c r="C365" s="19" t="s">
        <v>373</v>
      </c>
      <c r="D365" s="287" t="s">
        <v>60</v>
      </c>
      <c r="E365" s="19" t="s">
        <v>373</v>
      </c>
      <c r="F365" s="287" t="s">
        <v>60</v>
      </c>
      <c r="G365" s="19" t="s">
        <v>373</v>
      </c>
      <c r="H365" s="287" t="s">
        <v>60</v>
      </c>
      <c r="I365" s="19" t="s">
        <v>373</v>
      </c>
      <c r="J365" s="181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355</v>
      </c>
      <c r="B366" s="302">
        <f>'Ind T6'!L465</f>
        <v>224.07699999922272</v>
      </c>
      <c r="C366" s="299" t="str">
        <f>CONCATENATE("(",ROUND((B366/$H368)*100,1),")")</f>
        <v>(38.4)</v>
      </c>
      <c r="D366" s="302">
        <f>'Ind T6'!M465</f>
        <v>84.713999999170326</v>
      </c>
      <c r="E366" s="299" t="str">
        <f>CONCATENATE("(",ROUND((D366/$H368)*100,1),")")</f>
        <v>(14.5)</v>
      </c>
      <c r="F366" s="302">
        <f>'Ind T6'!N465</f>
        <v>17.031000000456757</v>
      </c>
      <c r="G366" s="299" t="str">
        <f>CONCATENATE("(",ROUND((F366/$H368)*100,1),")")</f>
        <v>(2.9)</v>
      </c>
      <c r="H366" s="302">
        <f>SUM(B366,D366,F366)</f>
        <v>325.82199999884978</v>
      </c>
      <c r="I366" s="299" t="str">
        <f>CONCATENATE("(",ROUND((H366/$H368)*100,1),")")</f>
        <v>(55.9)</v>
      </c>
      <c r="K366" s="302">
        <f>B371-B366</f>
        <v>11.212999999719443</v>
      </c>
      <c r="L366" s="302">
        <f>D371-D366</f>
        <v>4.0539999998258907</v>
      </c>
      <c r="M366" s="302">
        <f>F371-F366</f>
        <v>0.57300000053361089</v>
      </c>
      <c r="N366" s="302">
        <f>SUM(K366:M366)</f>
        <v>15.840000000078945</v>
      </c>
    </row>
    <row r="367" spans="1:14" x14ac:dyDescent="0.2">
      <c r="A367" s="282" t="s">
        <v>356</v>
      </c>
      <c r="B367" s="302">
        <f>'Ind T6'!L464</f>
        <v>127.44799999912442</v>
      </c>
      <c r="C367" s="299" t="str">
        <f>CONCATENATE("(",ROUND((B367/$H368)*100,1),")")</f>
        <v>(21.9)</v>
      </c>
      <c r="D367" s="302">
        <f>'Ind T6'!M464</f>
        <v>104.58499999910755</v>
      </c>
      <c r="E367" s="299" t="str">
        <f>CONCATENATE("(",ROUND((D367/$H368)*100,1),")")</f>
        <v>(17.9)</v>
      </c>
      <c r="F367" s="302">
        <f>'Ind T6'!N464</f>
        <v>25.327999999231341</v>
      </c>
      <c r="G367" s="299" t="str">
        <f>CONCATENATE("(",ROUND((F367/$H368)*100,1),")")</f>
        <v>(4.3)</v>
      </c>
      <c r="H367" s="302">
        <f t="shared" ref="H367" si="275">SUM(B367,D367,F367)</f>
        <v>257.3609999974633</v>
      </c>
      <c r="I367" s="299" t="str">
        <f>CONCATENATE("(",ROUND((H367/$H368)*100,1),")")</f>
        <v>(44.1)</v>
      </c>
      <c r="K367" s="302">
        <f t="shared" ref="K367:K368" si="276">B372-B367</f>
        <v>8.785000001037389</v>
      </c>
      <c r="L367" s="302">
        <f t="shared" ref="L367:L368" si="277">D372-D367</f>
        <v>3.1699999995942676</v>
      </c>
      <c r="M367" s="302">
        <f t="shared" ref="M367:M368" si="278">F372-F367</f>
        <v>0.82400000034979115</v>
      </c>
      <c r="N367" s="302">
        <f t="shared" ref="N367:N368" si="279">SUM(K367:M367)</f>
        <v>12.779000000981448</v>
      </c>
    </row>
    <row r="368" spans="1:14" x14ac:dyDescent="0.2">
      <c r="A368" s="282" t="s">
        <v>354</v>
      </c>
      <c r="B368" s="302">
        <f>SUM(B366:B367)</f>
        <v>351.52499999834714</v>
      </c>
      <c r="C368" s="299" t="str">
        <f>CONCATENATE("(",ROUND((B368/$H368)*100,1),")")</f>
        <v>(60.3)</v>
      </c>
      <c r="D368" s="302">
        <f>SUM(D366:D367)</f>
        <v>189.29899999827788</v>
      </c>
      <c r="E368" s="299" t="str">
        <f>CONCATENATE("(",ROUND((D368/$H368)*100,1),")")</f>
        <v>(32.5)</v>
      </c>
      <c r="F368" s="302">
        <f>SUM(F366:F367)</f>
        <v>42.358999999688095</v>
      </c>
      <c r="G368" s="299" t="str">
        <f>CONCATENATE("(",ROUND((F368/$H368)*100,1),")")</f>
        <v>(7.3)</v>
      </c>
      <c r="H368" s="302">
        <f>SUM(H366:H367)</f>
        <v>583.18299999631313</v>
      </c>
      <c r="I368" s="299" t="str">
        <f>CONCATENATE("(",ROUND((H368/$H368)*100,1),")")</f>
        <v>(100)</v>
      </c>
      <c r="K368" s="302">
        <f t="shared" si="276"/>
        <v>19.998000000756804</v>
      </c>
      <c r="L368" s="302">
        <f t="shared" si="277"/>
        <v>7.2239999994201582</v>
      </c>
      <c r="M368" s="302">
        <f t="shared" si="278"/>
        <v>1.3970000008834091</v>
      </c>
      <c r="N368" s="302">
        <f t="shared" si="279"/>
        <v>28.619000001060371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355</v>
      </c>
      <c r="B371" s="302">
        <f>'Ind T6'!Q465</f>
        <v>235.28999999894216</v>
      </c>
      <c r="C371" s="299" t="str">
        <f>CONCATENATE("(",ROUND((B371/$H373)*100,1),")")</f>
        <v>(38.5)</v>
      </c>
      <c r="D371" s="302">
        <f>'Ind T6'!R465</f>
        <v>88.767999998996217</v>
      </c>
      <c r="E371" s="299" t="str">
        <f>CONCATENATE("(",ROUND((D371/$H373)*100,1),")")</f>
        <v>(14.5)</v>
      </c>
      <c r="F371" s="302">
        <f>'Ind T6'!S465</f>
        <v>17.604000000990368</v>
      </c>
      <c r="G371" s="299" t="str">
        <f>CONCATENATE("(",ROUND((F371/$H373)*100,1),")")</f>
        <v>(2.9)</v>
      </c>
      <c r="H371" s="302">
        <f>SUM(B371,D371,F371)</f>
        <v>341.66199999892876</v>
      </c>
      <c r="I371" s="299" t="str">
        <f>CONCATENATE("(",ROUND((H371/$H373)*100,1),")")</f>
        <v>(55.8)</v>
      </c>
      <c r="K371" s="302">
        <f>B376-B371</f>
        <v>12.548999999298985</v>
      </c>
      <c r="L371" s="302">
        <f>D376-D371</f>
        <v>3.8789999998141838</v>
      </c>
      <c r="M371" s="302">
        <f>F376-F371</f>
        <v>0.9979999998149971</v>
      </c>
      <c r="N371" s="302">
        <f>SUM(K371:M371)</f>
        <v>17.425999998928166</v>
      </c>
    </row>
    <row r="372" spans="1:14" x14ac:dyDescent="0.2">
      <c r="A372" s="282" t="s">
        <v>356</v>
      </c>
      <c r="B372" s="302">
        <f>'Ind T6'!Q464</f>
        <v>136.23300000016181</v>
      </c>
      <c r="C372" s="299" t="str">
        <f>CONCATENATE("(",ROUND((B372/$H373)*100,1),")")</f>
        <v>(22.3)</v>
      </c>
      <c r="D372" s="302">
        <f>'Ind T6'!R464</f>
        <v>107.75499999870182</v>
      </c>
      <c r="E372" s="299" t="str">
        <f>CONCATENATE("(",ROUND((D372/$H373)*100,1),")")</f>
        <v>(17.6)</v>
      </c>
      <c r="F372" s="302">
        <f>'Ind T6'!S464</f>
        <v>26.151999999581133</v>
      </c>
      <c r="G372" s="299" t="str">
        <f>CONCATENATE("(",ROUND((F372/$H373)*100,1),")")</f>
        <v>(4.3)</v>
      </c>
      <c r="H372" s="302">
        <f t="shared" ref="H372" si="280">SUM(B372,D372,F372)</f>
        <v>270.13999999844475</v>
      </c>
      <c r="I372" s="299" t="str">
        <f>CONCATENATE("(",ROUND((H372/$H373)*100,1),")")</f>
        <v>(44.2)</v>
      </c>
      <c r="K372" s="302">
        <f t="shared" ref="K372:K373" si="281">B377-B372</f>
        <v>10.462999999084474</v>
      </c>
      <c r="L372" s="302">
        <f t="shared" ref="L372:L373" si="282">D377-D372</f>
        <v>1.8670000013538441</v>
      </c>
      <c r="M372" s="302">
        <f t="shared" ref="M372:M373" si="283">F377-F372</f>
        <v>1.6420000002210813</v>
      </c>
      <c r="N372" s="302">
        <f t="shared" ref="N372:N373" si="284">SUM(K372:M372)</f>
        <v>13.972000000659399</v>
      </c>
    </row>
    <row r="373" spans="1:14" x14ac:dyDescent="0.2">
      <c r="A373" s="282" t="s">
        <v>354</v>
      </c>
      <c r="B373" s="302">
        <f>SUM(B371:B372)</f>
        <v>371.52299999910394</v>
      </c>
      <c r="C373" s="299" t="str">
        <f>CONCATENATE("(",ROUND((B373/$H373)*100,1),")")</f>
        <v>(60.7)</v>
      </c>
      <c r="D373" s="302">
        <f>SUM(D371:D372)</f>
        <v>196.52299999769804</v>
      </c>
      <c r="E373" s="299" t="str">
        <f>CONCATENATE("(",ROUND((D373/$H373)*100,1),")")</f>
        <v>(32.1)</v>
      </c>
      <c r="F373" s="302">
        <f>SUM(F371:F372)</f>
        <v>43.756000000571504</v>
      </c>
      <c r="G373" s="299" t="str">
        <f>CONCATENATE("(",ROUND((F373/$H373)*100,1),")")</f>
        <v>(7.2)</v>
      </c>
      <c r="H373" s="302">
        <f>SUM(H371:H372)</f>
        <v>611.80199999737351</v>
      </c>
      <c r="I373" s="299" t="str">
        <f>CONCATENATE("(",ROUND((H373/$H373)*100,1),")")</f>
        <v>(100)</v>
      </c>
      <c r="K373" s="302">
        <f t="shared" si="281"/>
        <v>23.011999998383487</v>
      </c>
      <c r="L373" s="302">
        <f t="shared" si="282"/>
        <v>5.7460000011680279</v>
      </c>
      <c r="M373" s="302">
        <f t="shared" si="283"/>
        <v>2.6400000000360748</v>
      </c>
      <c r="N373" s="302">
        <f t="shared" si="284"/>
        <v>31.39799999958759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355</v>
      </c>
      <c r="B376" s="302">
        <f>'Ind T6'!V465</f>
        <v>247.83899999824115</v>
      </c>
      <c r="C376" s="299" t="str">
        <f>CONCATENATE("(",ROUND((B376/$H378)*100,1),")")</f>
        <v>(38.5)</v>
      </c>
      <c r="D376" s="302">
        <f>'Ind T6'!W465</f>
        <v>92.646999998810401</v>
      </c>
      <c r="E376" s="299" t="str">
        <f>CONCATENATE("(",ROUND((D376/$H378)*100,1),")")</f>
        <v>(14.4)</v>
      </c>
      <c r="F376" s="302">
        <f>'Ind T6'!X465</f>
        <v>18.602000000805365</v>
      </c>
      <c r="G376" s="299" t="str">
        <f>CONCATENATE("(",ROUND((F376/$H378)*100,1),")")</f>
        <v>(2.9)</v>
      </c>
      <c r="H376" s="302">
        <f>SUM(B376,D376,F376)</f>
        <v>359.08799999785691</v>
      </c>
      <c r="I376" s="299" t="str">
        <f>CONCATENATE("(",ROUND((H376/$H378)*100,1),")")</f>
        <v>(55.8)</v>
      </c>
      <c r="K376" s="302">
        <f>B376-B366</f>
        <v>23.761999999018428</v>
      </c>
      <c r="L376" s="302">
        <f>D376-D366</f>
        <v>7.9329999996400744</v>
      </c>
      <c r="M376" s="302">
        <f>F376-F366</f>
        <v>1.571000000348608</v>
      </c>
      <c r="N376" s="302">
        <f>SUM(K376:M376)</f>
        <v>33.265999999007107</v>
      </c>
    </row>
    <row r="377" spans="1:14" x14ac:dyDescent="0.2">
      <c r="A377" s="282" t="s">
        <v>356</v>
      </c>
      <c r="B377" s="302">
        <f>'Ind T6'!V464</f>
        <v>146.69599999924628</v>
      </c>
      <c r="C377" s="299" t="str">
        <f>CONCATENATE("(",ROUND((B377/$H378)*100,1),")")</f>
        <v>(22.8)</v>
      </c>
      <c r="D377" s="302">
        <f>'Ind T6'!W464</f>
        <v>109.62200000005566</v>
      </c>
      <c r="E377" s="299" t="str">
        <f>CONCATENATE("(",ROUND((D377/$H378)*100,1),")")</f>
        <v>(17)</v>
      </c>
      <c r="F377" s="302">
        <f>'Ind T6'!X464</f>
        <v>27.793999999802214</v>
      </c>
      <c r="G377" s="299" t="str">
        <f>CONCATENATE("(",ROUND((F377/$H378)*100,1),")")</f>
        <v>(4.3)</v>
      </c>
      <c r="H377" s="302">
        <f t="shared" ref="H377" si="285">SUM(B377,D377,F377)</f>
        <v>284.11199999910417</v>
      </c>
      <c r="I377" s="299" t="str">
        <f>CONCATENATE("(",ROUND((H377/$H378)*100,1),")")</f>
        <v>(44.2)</v>
      </c>
      <c r="K377" s="302">
        <f t="shared" ref="K377:K378" si="286">B377-B367</f>
        <v>19.248000000121863</v>
      </c>
      <c r="L377" s="302">
        <f t="shared" ref="L377:L378" si="287">D377-D367</f>
        <v>5.0370000009481117</v>
      </c>
      <c r="M377" s="302">
        <f t="shared" ref="M377:M378" si="288">F377-F367</f>
        <v>2.4660000005708724</v>
      </c>
      <c r="N377" s="302">
        <f t="shared" ref="N377:N378" si="289">SUM(K377:M377)</f>
        <v>26.751000001640847</v>
      </c>
    </row>
    <row r="378" spans="1:14" x14ac:dyDescent="0.2">
      <c r="A378" s="282" t="s">
        <v>354</v>
      </c>
      <c r="B378" s="302">
        <f>SUM(B376:B377)</f>
        <v>394.53499999748743</v>
      </c>
      <c r="C378" s="299" t="str">
        <f>CONCATENATE("(",ROUND((B378/$H378)*100,1),")")</f>
        <v>(61.3)</v>
      </c>
      <c r="D378" s="302">
        <f>SUM(D376:D377)</f>
        <v>202.26899999886606</v>
      </c>
      <c r="E378" s="299" t="str">
        <f>CONCATENATE("(",ROUND((D378/$H378)*100,1),")")</f>
        <v>(31.4)</v>
      </c>
      <c r="F378" s="302">
        <f>SUM(F376:F377)</f>
        <v>46.396000000607579</v>
      </c>
      <c r="G378" s="299" t="str">
        <f>CONCATENATE("(",ROUND((F378/$H378)*100,1),")")</f>
        <v>(7.2)</v>
      </c>
      <c r="H378" s="302">
        <f>SUM(H376:H377)</f>
        <v>643.19999999696108</v>
      </c>
      <c r="I378" s="299" t="str">
        <f>CONCATENATE("(",ROUND((H378/$H378)*100,1),")")</f>
        <v>(100)</v>
      </c>
      <c r="K378" s="302">
        <f t="shared" si="286"/>
        <v>43.009999999140291</v>
      </c>
      <c r="L378" s="302">
        <f t="shared" si="287"/>
        <v>12.970000000588186</v>
      </c>
      <c r="M378" s="302">
        <f t="shared" si="288"/>
        <v>4.037000000919484</v>
      </c>
      <c r="N378" s="302">
        <f t="shared" si="289"/>
        <v>60.017000000647961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379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377</v>
      </c>
    </row>
    <row r="385" spans="1:14" x14ac:dyDescent="0.2">
      <c r="A385" s="181" t="s">
        <v>378</v>
      </c>
      <c r="B385" s="369" t="s">
        <v>376</v>
      </c>
      <c r="C385" s="369"/>
      <c r="D385" s="369" t="s">
        <v>375</v>
      </c>
      <c r="E385" s="369"/>
      <c r="F385" s="369" t="s">
        <v>374</v>
      </c>
      <c r="G385" s="369"/>
      <c r="H385" s="369" t="s">
        <v>32</v>
      </c>
      <c r="I385" s="369"/>
      <c r="J385" s="181"/>
      <c r="K385" s="297" t="s">
        <v>339</v>
      </c>
      <c r="L385" s="297" t="s">
        <v>341</v>
      </c>
      <c r="M385" s="297" t="s">
        <v>337</v>
      </c>
      <c r="N385" s="297" t="s">
        <v>32</v>
      </c>
    </row>
    <row r="386" spans="1:14" x14ac:dyDescent="0.2">
      <c r="A386" s="292">
        <f>$A$8</f>
        <v>2020</v>
      </c>
      <c r="B386" s="287" t="s">
        <v>60</v>
      </c>
      <c r="C386" s="19" t="s">
        <v>373</v>
      </c>
      <c r="D386" s="287" t="s">
        <v>60</v>
      </c>
      <c r="E386" s="19" t="s">
        <v>373</v>
      </c>
      <c r="F386" s="287" t="s">
        <v>60</v>
      </c>
      <c r="G386" s="19" t="s">
        <v>373</v>
      </c>
      <c r="H386" s="287" t="s">
        <v>60</v>
      </c>
      <c r="I386" s="19" t="s">
        <v>373</v>
      </c>
      <c r="J386" s="181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355</v>
      </c>
      <c r="B387" s="302">
        <f>'Ind T6'!L475</f>
        <v>105.65300000088767</v>
      </c>
      <c r="C387" s="299" t="str">
        <f>CONCATENATE("(",ROUND((B387/$H389)*100,1),")")</f>
        <v>(41.4)</v>
      </c>
      <c r="D387" s="302">
        <f>'Ind T6'!M475</f>
        <v>8.751000000067112</v>
      </c>
      <c r="E387" s="299" t="str">
        <f>CONCATENATE("(",ROUND((D387/$H389)*100,1),")")</f>
        <v>(3.4)</v>
      </c>
      <c r="F387" s="302">
        <f>'Ind T6'!N475</f>
        <v>6.2450000002564723</v>
      </c>
      <c r="G387" s="299" t="str">
        <f>CONCATENATE("(",ROUND((F387/$H389)*100,1),")")</f>
        <v>(2.4)</v>
      </c>
      <c r="H387" s="302">
        <f>SUM(B387,D387,F387)</f>
        <v>120.64900000121125</v>
      </c>
      <c r="I387" s="299" t="str">
        <f>CONCATENATE("(",ROUND((H387/$H389)*100,1),")")</f>
        <v>(47.3)</v>
      </c>
      <c r="K387" s="302">
        <f>B392-B387</f>
        <v>0.39900000020779203</v>
      </c>
      <c r="L387" s="302">
        <f>D392-D387</f>
        <v>0.69699999997829565</v>
      </c>
      <c r="M387" s="302">
        <f>F392-F387</f>
        <v>0.159000000228815</v>
      </c>
      <c r="N387" s="302">
        <f>SUM(K387:M387)</f>
        <v>1.2550000004149027</v>
      </c>
    </row>
    <row r="388" spans="1:14" x14ac:dyDescent="0.2">
      <c r="A388" s="282" t="s">
        <v>356</v>
      </c>
      <c r="B388" s="302">
        <f>'Ind T6'!L474</f>
        <v>88.15600000063931</v>
      </c>
      <c r="C388" s="299" t="str">
        <f>CONCATENATE("(",ROUND((B388/$H389)*100,1),")")</f>
        <v>(34.6)</v>
      </c>
      <c r="D388" s="302">
        <f>'Ind T6'!M474</f>
        <v>39.448999999850678</v>
      </c>
      <c r="E388" s="299" t="str">
        <f>CONCATENATE("(",ROUND((D388/$H389)*100,1),")")</f>
        <v>(15.5)</v>
      </c>
      <c r="F388" s="302">
        <f>'Ind T6'!N474</f>
        <v>6.7960000001735761</v>
      </c>
      <c r="G388" s="299" t="str">
        <f>CONCATENATE("(",ROUND((F388/$H389)*100,1),")")</f>
        <v>(2.7)</v>
      </c>
      <c r="H388" s="302">
        <f t="shared" ref="H388" si="290">SUM(B388,D388,F388)</f>
        <v>134.40100000066354</v>
      </c>
      <c r="I388" s="299" t="str">
        <f>CONCATENATE("(",ROUND((H388/$H389)*100,1),")")</f>
        <v>(52.7)</v>
      </c>
      <c r="K388" s="302">
        <f t="shared" ref="K388:K389" si="291">B393-B388</f>
        <v>2.1559999997450632</v>
      </c>
      <c r="L388" s="302">
        <f t="shared" ref="L388:L389" si="292">D393-D388</f>
        <v>1.0479999999924416</v>
      </c>
      <c r="M388" s="302">
        <f t="shared" ref="M388:M389" si="293">F393-F388</f>
        <v>0.17499999997729088</v>
      </c>
      <c r="N388" s="302">
        <f t="shared" ref="N388:N389" si="294">SUM(K388:M388)</f>
        <v>3.3789999997147957</v>
      </c>
    </row>
    <row r="389" spans="1:14" x14ac:dyDescent="0.2">
      <c r="A389" s="282" t="s">
        <v>354</v>
      </c>
      <c r="B389" s="302">
        <f>SUM(B387:B388)</f>
        <v>193.80900000152698</v>
      </c>
      <c r="C389" s="299" t="str">
        <f>CONCATENATE("(",ROUND((B389/$H389)*100,1),")")</f>
        <v>(76)</v>
      </c>
      <c r="D389" s="302">
        <f>SUM(D387:D388)</f>
        <v>48.199999999917793</v>
      </c>
      <c r="E389" s="299" t="str">
        <f>CONCATENATE("(",ROUND((D389/$H389)*100,1),")")</f>
        <v>(18.9)</v>
      </c>
      <c r="F389" s="302">
        <f>SUM(F387:F388)</f>
        <v>13.041000000430049</v>
      </c>
      <c r="G389" s="299" t="str">
        <f>CONCATENATE("(",ROUND((F389/$H389)*100,1),")")</f>
        <v>(5.1)</v>
      </c>
      <c r="H389" s="302">
        <f>SUM(H387:H388)</f>
        <v>255.05000000187479</v>
      </c>
      <c r="I389" s="299" t="str">
        <f>CONCATENATE("(",ROUND((H389/$H389)*100,1),")")</f>
        <v>(100)</v>
      </c>
      <c r="K389" s="302">
        <f t="shared" si="291"/>
        <v>2.5549999999528552</v>
      </c>
      <c r="L389" s="302">
        <f t="shared" si="292"/>
        <v>1.7449999999707302</v>
      </c>
      <c r="M389" s="302">
        <f t="shared" si="293"/>
        <v>0.33400000020610499</v>
      </c>
      <c r="N389" s="302">
        <f t="shared" si="294"/>
        <v>4.6340000001296904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355</v>
      </c>
      <c r="B392" s="302">
        <f>'Ind T6'!Q475</f>
        <v>106.05200000109546</v>
      </c>
      <c r="C392" s="299" t="str">
        <f>CONCATENATE("(",ROUND((B392/$H394)*100,1),")")</f>
        <v>(40.8)</v>
      </c>
      <c r="D392" s="302">
        <f>'Ind T6'!R475</f>
        <v>9.4480000000454076</v>
      </c>
      <c r="E392" s="299" t="str">
        <f>CONCATENATE("(",ROUND((D392/$H394)*100,1),")")</f>
        <v>(3.6)</v>
      </c>
      <c r="F392" s="302">
        <f>'Ind T6'!S475</f>
        <v>6.4040000004852873</v>
      </c>
      <c r="G392" s="299" t="str">
        <f>CONCATENATE("(",ROUND((F392/$H394)*100,1),")")</f>
        <v>(2.5)</v>
      </c>
      <c r="H392" s="302">
        <f>SUM(B392,D392,F392)</f>
        <v>121.90400000162616</v>
      </c>
      <c r="I392" s="299" t="str">
        <f>CONCATENATE("(",ROUND((H392/$H394)*100,1),")")</f>
        <v>(46.9)</v>
      </c>
      <c r="K392" s="302">
        <f>B397-B392</f>
        <v>-3.6519999993972192</v>
      </c>
      <c r="L392" s="302">
        <f>D397-D392</f>
        <v>1.0420000000085601</v>
      </c>
      <c r="M392" s="302">
        <f>F397-F392</f>
        <v>0.11099999987608111</v>
      </c>
      <c r="N392" s="302">
        <f>SUM(K392:M392)</f>
        <v>-2.498999999512578</v>
      </c>
    </row>
    <row r="393" spans="1:14" x14ac:dyDescent="0.2">
      <c r="A393" s="282" t="s">
        <v>356</v>
      </c>
      <c r="B393" s="302">
        <f>'Ind T6'!Q474</f>
        <v>90.312000000384373</v>
      </c>
      <c r="C393" s="299" t="str">
        <f>CONCATENATE("(",ROUND((B393/$H394)*100,1),")")</f>
        <v>(34.8)</v>
      </c>
      <c r="D393" s="302">
        <f>'Ind T6'!R474</f>
        <v>40.496999999843119</v>
      </c>
      <c r="E393" s="299" t="str">
        <f>CONCATENATE("(",ROUND((D393/$H394)*100,1),")")</f>
        <v>(15.6)</v>
      </c>
      <c r="F393" s="302">
        <f>'Ind T6'!S474</f>
        <v>6.971000000150867</v>
      </c>
      <c r="G393" s="299" t="str">
        <f>CONCATENATE("(",ROUND((F393/$H394)*100,1),")")</f>
        <v>(2.7)</v>
      </c>
      <c r="H393" s="302">
        <f t="shared" ref="H393" si="295">SUM(B393,D393,F393)</f>
        <v>137.78000000037835</v>
      </c>
      <c r="I393" s="299" t="str">
        <f>CONCATENATE("(",ROUND((H393/$H394)*100,1),")")</f>
        <v>(53.1)</v>
      </c>
      <c r="K393" s="302">
        <f t="shared" ref="K393:K394" si="296">B398-B393</f>
        <v>0.59199999995892938</v>
      </c>
      <c r="L393" s="302">
        <f t="shared" ref="L393:L394" si="297">D398-D393</f>
        <v>0.28300000016268001</v>
      </c>
      <c r="M393" s="302">
        <f t="shared" ref="M393:M394" si="298">F398-F393</f>
        <v>0.10399999988419939</v>
      </c>
      <c r="N393" s="302">
        <f t="shared" ref="N393:N394" si="299">SUM(K393:M393)</f>
        <v>0.97900000000580878</v>
      </c>
    </row>
    <row r="394" spans="1:14" x14ac:dyDescent="0.2">
      <c r="A394" s="282" t="s">
        <v>354</v>
      </c>
      <c r="B394" s="302">
        <f>SUM(B392:B393)</f>
        <v>196.36400000147984</v>
      </c>
      <c r="C394" s="299" t="str">
        <f>CONCATENATE("(",ROUND((B394/$H394)*100,1),")")</f>
        <v>(75.6)</v>
      </c>
      <c r="D394" s="302">
        <f>SUM(D392:D393)</f>
        <v>49.944999999888523</v>
      </c>
      <c r="E394" s="299" t="str">
        <f>CONCATENATE("(",ROUND((D394/$H394)*100,1),")")</f>
        <v>(19.2)</v>
      </c>
      <c r="F394" s="302">
        <f>SUM(F392:F393)</f>
        <v>13.375000000636154</v>
      </c>
      <c r="G394" s="299" t="str">
        <f>CONCATENATE("(",ROUND((F394/$H394)*100,1),")")</f>
        <v>(5.2)</v>
      </c>
      <c r="H394" s="302">
        <f>SUM(H392:H393)</f>
        <v>259.6840000020045</v>
      </c>
      <c r="I394" s="299" t="str">
        <f>CONCATENATE("(",ROUND((H394/$H394)*100,1),")")</f>
        <v>(100)</v>
      </c>
      <c r="K394" s="302">
        <f t="shared" si="296"/>
        <v>-3.0599999994382756</v>
      </c>
      <c r="L394" s="302">
        <f t="shared" si="297"/>
        <v>1.3250000001712436</v>
      </c>
      <c r="M394" s="302">
        <f t="shared" si="298"/>
        <v>0.2149999997602805</v>
      </c>
      <c r="N394" s="302">
        <f t="shared" si="299"/>
        <v>-1.5199999995067515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355</v>
      </c>
      <c r="B397" s="302">
        <f>'Ind T6'!V475</f>
        <v>102.40000000169825</v>
      </c>
      <c r="C397" s="299" t="str">
        <f>CONCATENATE("(",ROUND((B397/$H399)*100,1),")")</f>
        <v>(39.7)</v>
      </c>
      <c r="D397" s="302">
        <f>'Ind T6'!W475</f>
        <v>10.490000000053968</v>
      </c>
      <c r="E397" s="299" t="str">
        <f>CONCATENATE("(",ROUND((D397/$H399)*100,1),")")</f>
        <v>(4.1)</v>
      </c>
      <c r="F397" s="302">
        <f>'Ind T6'!X475</f>
        <v>6.5150000003613684</v>
      </c>
      <c r="G397" s="299" t="str">
        <f>CONCATENATE("(",ROUND((F397/$H399)*100,1),")")</f>
        <v>(2.5)</v>
      </c>
      <c r="H397" s="302">
        <f>SUM(B397,D397,F397)</f>
        <v>119.40500000211358</v>
      </c>
      <c r="I397" s="299" t="str">
        <f>CONCATENATE("(",ROUND((H397/$H399)*100,1),")")</f>
        <v>(46.3)</v>
      </c>
      <c r="K397" s="302">
        <f>B397-B387</f>
        <v>-3.2529999991894272</v>
      </c>
      <c r="L397" s="302">
        <f>D397-D387</f>
        <v>1.7389999999868557</v>
      </c>
      <c r="M397" s="302">
        <f>F397-F387</f>
        <v>0.27000000010489611</v>
      </c>
      <c r="N397" s="302">
        <f>SUM(K397:M397)</f>
        <v>-1.2439999990976753</v>
      </c>
    </row>
    <row r="398" spans="1:14" x14ac:dyDescent="0.2">
      <c r="A398" s="282" t="s">
        <v>356</v>
      </c>
      <c r="B398" s="302">
        <f>'Ind T6'!V474</f>
        <v>90.904000000343302</v>
      </c>
      <c r="C398" s="299" t="str">
        <f>CONCATENATE("(",ROUND((B398/$H399)*100,1),")")</f>
        <v>(35.2)</v>
      </c>
      <c r="D398" s="302">
        <f>'Ind T6'!W474</f>
        <v>40.780000000005799</v>
      </c>
      <c r="E398" s="299" t="str">
        <f>CONCATENATE("(",ROUND((D398/$H399)*100,1),")")</f>
        <v>(15.8)</v>
      </c>
      <c r="F398" s="302">
        <f>'Ind T6'!X474</f>
        <v>7.0750000000350663</v>
      </c>
      <c r="G398" s="299" t="str">
        <f>CONCATENATE("(",ROUND((F398/$H399)*100,1),")")</f>
        <v>(2.7)</v>
      </c>
      <c r="H398" s="302">
        <f t="shared" ref="H398" si="300">SUM(B398,D398,F398)</f>
        <v>138.75900000038416</v>
      </c>
      <c r="I398" s="299" t="str">
        <f>CONCATENATE("(",ROUND((H398/$H399)*100,1),")")</f>
        <v>(53.7)</v>
      </c>
      <c r="K398" s="302">
        <f t="shared" ref="K398:K399" si="301">B398-B388</f>
        <v>2.7479999997039926</v>
      </c>
      <c r="L398" s="302">
        <f t="shared" ref="L398:L399" si="302">D398-D388</f>
        <v>1.3310000001551217</v>
      </c>
      <c r="M398" s="302">
        <f t="shared" ref="M398:M399" si="303">F398-F388</f>
        <v>0.27899999986149027</v>
      </c>
      <c r="N398" s="302">
        <f t="shared" ref="N398:N399" si="304">SUM(K398:M398)</f>
        <v>4.3579999997206045</v>
      </c>
    </row>
    <row r="399" spans="1:14" x14ac:dyDescent="0.2">
      <c r="A399" s="282" t="s">
        <v>354</v>
      </c>
      <c r="B399" s="302">
        <f>SUM(B397:B398)</f>
        <v>193.30400000204156</v>
      </c>
      <c r="C399" s="299" t="str">
        <f>CONCATENATE("(",ROUND((B399/$H399)*100,1),")")</f>
        <v>(74.9)</v>
      </c>
      <c r="D399" s="302">
        <f>SUM(D397:D398)</f>
        <v>51.270000000059767</v>
      </c>
      <c r="E399" s="299" t="str">
        <f>CONCATENATE("(",ROUND((D399/$H399)*100,1),")")</f>
        <v>(19.9)</v>
      </c>
      <c r="F399" s="302">
        <f>SUM(F397:F398)</f>
        <v>13.590000000396435</v>
      </c>
      <c r="G399" s="299" t="str">
        <f>CONCATENATE("(",ROUND((F399/$H399)*100,1),")")</f>
        <v>(5.3)</v>
      </c>
      <c r="H399" s="302">
        <f>SUM(H397:H398)</f>
        <v>258.16400000249774</v>
      </c>
      <c r="I399" s="299" t="str">
        <f>CONCATENATE("(",ROUND((H399/$H399)*100,1),")")</f>
        <v>(100)</v>
      </c>
      <c r="K399" s="302">
        <f t="shared" si="301"/>
        <v>-0.5049999994854204</v>
      </c>
      <c r="L399" s="302">
        <f t="shared" si="302"/>
        <v>3.0700000001419738</v>
      </c>
      <c r="M399" s="302">
        <f t="shared" si="303"/>
        <v>0.54899999996638549</v>
      </c>
      <c r="N399" s="302">
        <f t="shared" si="304"/>
        <v>3.1140000006229389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379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377</v>
      </c>
    </row>
    <row r="406" spans="1:14" x14ac:dyDescent="0.2">
      <c r="A406" s="181" t="s">
        <v>378</v>
      </c>
      <c r="B406" s="369" t="s">
        <v>376</v>
      </c>
      <c r="C406" s="369"/>
      <c r="D406" s="369" t="s">
        <v>375</v>
      </c>
      <c r="E406" s="369"/>
      <c r="F406" s="369" t="s">
        <v>374</v>
      </c>
      <c r="G406" s="369"/>
      <c r="H406" s="369" t="s">
        <v>32</v>
      </c>
      <c r="I406" s="369"/>
      <c r="J406" s="181"/>
      <c r="K406" s="297" t="s">
        <v>339</v>
      </c>
      <c r="L406" s="297" t="s">
        <v>341</v>
      </c>
      <c r="M406" s="297" t="s">
        <v>337</v>
      </c>
      <c r="N406" s="297" t="s">
        <v>32</v>
      </c>
    </row>
    <row r="407" spans="1:14" x14ac:dyDescent="0.2">
      <c r="A407" s="292">
        <f>$A$8</f>
        <v>2020</v>
      </c>
      <c r="B407" s="287" t="s">
        <v>60</v>
      </c>
      <c r="C407" s="19" t="s">
        <v>373</v>
      </c>
      <c r="D407" s="287" t="s">
        <v>60</v>
      </c>
      <c r="E407" s="19" t="s">
        <v>373</v>
      </c>
      <c r="F407" s="287" t="s">
        <v>60</v>
      </c>
      <c r="G407" s="19" t="s">
        <v>373</v>
      </c>
      <c r="H407" s="287" t="s">
        <v>60</v>
      </c>
      <c r="I407" s="19" t="s">
        <v>373</v>
      </c>
      <c r="J407" s="181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355</v>
      </c>
      <c r="B408" s="302">
        <f>'Ind T6'!L485</f>
        <v>87.29500000762539</v>
      </c>
      <c r="C408" s="299" t="str">
        <f>CONCATENATE("(",ROUND((B408/$H410)*100,1),")")</f>
        <v>(20.4)</v>
      </c>
      <c r="D408" s="302">
        <f>'Ind T6'!M485</f>
        <v>30.98300000230369</v>
      </c>
      <c r="E408" s="299" t="str">
        <f>CONCATENATE("(",ROUND((D408/$H410)*100,1),")")</f>
        <v>(7.2)</v>
      </c>
      <c r="F408" s="302">
        <f>'Ind T6'!N485</f>
        <v>29.956000000991757</v>
      </c>
      <c r="G408" s="299" t="str">
        <f>CONCATENATE("(",ROUND((F408/$H410)*100,1),")")</f>
        <v>(7)</v>
      </c>
      <c r="H408" s="302">
        <f>SUM(B408,D408,F408)</f>
        <v>148.23400001092085</v>
      </c>
      <c r="I408" s="299" t="str">
        <f>CONCATENATE("(",ROUND((H408/$H410)*100,1),")")</f>
        <v>(34.6)</v>
      </c>
      <c r="K408" s="302">
        <f>B413-B408</f>
        <v>-3.8740000072750718</v>
      </c>
      <c r="L408" s="302">
        <f>D413-D408</f>
        <v>-0.58100000154897913</v>
      </c>
      <c r="M408" s="302">
        <f>F413-F408</f>
        <v>-0.38799999836903609</v>
      </c>
      <c r="N408" s="302">
        <f>SUM(K408:M408)</f>
        <v>-4.843000007193087</v>
      </c>
    </row>
    <row r="409" spans="1:14" x14ac:dyDescent="0.2">
      <c r="A409" s="282" t="s">
        <v>356</v>
      </c>
      <c r="B409" s="302">
        <f>'Ind T6'!L484</f>
        <v>127.41400000987879</v>
      </c>
      <c r="C409" s="299" t="str">
        <f>CONCATENATE("(",ROUND((B409/$H410)*100,1),")")</f>
        <v>(29.7)</v>
      </c>
      <c r="D409" s="302">
        <f>'Ind T6'!M484</f>
        <v>103.02499999455706</v>
      </c>
      <c r="E409" s="299" t="str">
        <f>CONCATENATE("(",ROUND((D409/$H410)*100,1),")")</f>
        <v>(24)</v>
      </c>
      <c r="F409" s="302">
        <f>'Ind T6'!N484</f>
        <v>50.255000000671863</v>
      </c>
      <c r="G409" s="299" t="str">
        <f>CONCATENATE("(",ROUND((F409/$H410)*100,1),")")</f>
        <v>(11.7)</v>
      </c>
      <c r="H409" s="302">
        <f t="shared" ref="H409" si="305">SUM(B409,D409,F409)</f>
        <v>280.69400000510774</v>
      </c>
      <c r="I409" s="299" t="str">
        <f>CONCATENATE("(",ROUND((H409/$H410)*100,1),")")</f>
        <v>(65.4)</v>
      </c>
      <c r="K409" s="302">
        <f t="shared" ref="K409:K410" si="306">B414-B409</f>
        <v>-1.3000000258572726</v>
      </c>
      <c r="L409" s="302">
        <f t="shared" ref="L409:L410" si="307">D414-D409</f>
        <v>-5.4160000049549524</v>
      </c>
      <c r="M409" s="302">
        <f t="shared" ref="M409:M410" si="308">F414-F409</f>
        <v>-1.0519999998777863</v>
      </c>
      <c r="N409" s="302">
        <f t="shared" ref="N409:N410" si="309">SUM(K409:M409)</f>
        <v>-7.7680000306900112</v>
      </c>
    </row>
    <row r="410" spans="1:14" x14ac:dyDescent="0.2">
      <c r="A410" s="282" t="s">
        <v>354</v>
      </c>
      <c r="B410" s="302">
        <f>SUM(B408:B409)</f>
        <v>214.7090000175042</v>
      </c>
      <c r="C410" s="299" t="str">
        <f>CONCATENATE("(",ROUND((B410/$H410)*100,1),")")</f>
        <v>(50.1)</v>
      </c>
      <c r="D410" s="302">
        <f>SUM(D408:D409)</f>
        <v>134.00799999686075</v>
      </c>
      <c r="E410" s="299" t="str">
        <f>CONCATENATE("(",ROUND((D410/$H410)*100,1),")")</f>
        <v>(31.2)</v>
      </c>
      <c r="F410" s="302">
        <f>SUM(F408:F409)</f>
        <v>80.211000001663621</v>
      </c>
      <c r="G410" s="299" t="str">
        <f>CONCATENATE("(",ROUND((F410/$H410)*100,1),")")</f>
        <v>(18.7)</v>
      </c>
      <c r="H410" s="302">
        <f>SUM(H408:H409)</f>
        <v>428.92800001602859</v>
      </c>
      <c r="I410" s="299" t="str">
        <f>CONCATENATE("(",ROUND((H410/$H410)*100,1),")")</f>
        <v>(100)</v>
      </c>
      <c r="K410" s="302">
        <f t="shared" si="306"/>
        <v>-5.1740000331323586</v>
      </c>
      <c r="L410" s="302">
        <f t="shared" si="307"/>
        <v>-5.9970000065039244</v>
      </c>
      <c r="M410" s="302">
        <f t="shared" si="308"/>
        <v>-1.4399999982468188</v>
      </c>
      <c r="N410" s="302">
        <f t="shared" si="309"/>
        <v>-12.611000037883102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355</v>
      </c>
      <c r="B413" s="302">
        <f>'Ind T6'!Q485</f>
        <v>83.421000000350318</v>
      </c>
      <c r="C413" s="299" t="str">
        <f>CONCATENATE("(",ROUND((B413/$H415)*100,1),")")</f>
        <v>(20)</v>
      </c>
      <c r="D413" s="302">
        <f>'Ind T6'!R485</f>
        <v>30.402000000754711</v>
      </c>
      <c r="E413" s="299" t="str">
        <f>CONCATENATE("(",ROUND((D413/$H415)*100,1),")")</f>
        <v>(7.3)</v>
      </c>
      <c r="F413" s="302">
        <f>'Ind T6'!S485</f>
        <v>29.568000002622721</v>
      </c>
      <c r="G413" s="299" t="str">
        <f>CONCATENATE("(",ROUND((F413/$H415)*100,1),")")</f>
        <v>(7.1)</v>
      </c>
      <c r="H413" s="302">
        <f>SUM(B413,D413,F413)</f>
        <v>143.39100000372775</v>
      </c>
      <c r="I413" s="299" t="str">
        <f>CONCATENATE("(",ROUND((H413/$H415)*100,1),")")</f>
        <v>(34.4)</v>
      </c>
      <c r="K413" s="302">
        <f>B418-B413</f>
        <v>-0.39299999794549478</v>
      </c>
      <c r="L413" s="302">
        <f>D418-D413</f>
        <v>1.3129999997845516</v>
      </c>
      <c r="M413" s="302">
        <f>F418-F413</f>
        <v>1.5499999996233207</v>
      </c>
      <c r="N413" s="302">
        <f>SUM(K413:M413)</f>
        <v>2.4700000014623775</v>
      </c>
    </row>
    <row r="414" spans="1:14" x14ac:dyDescent="0.2">
      <c r="A414" s="282" t="s">
        <v>356</v>
      </c>
      <c r="B414" s="302">
        <f>'Ind T6'!Q484</f>
        <v>126.11399998402152</v>
      </c>
      <c r="C414" s="299" t="str">
        <f>CONCATENATE("(",ROUND((B414/$H415)*100,1),")")</f>
        <v>(30.3)</v>
      </c>
      <c r="D414" s="302">
        <f>'Ind T6'!R484</f>
        <v>97.608999989602111</v>
      </c>
      <c r="E414" s="299" t="str">
        <f>CONCATENATE("(",ROUND((D414/$H415)*100,1),")")</f>
        <v>(23.4)</v>
      </c>
      <c r="F414" s="302">
        <f>'Ind T6'!S484</f>
        <v>49.203000000794077</v>
      </c>
      <c r="G414" s="299" t="str">
        <f>CONCATENATE("(",ROUND((F414/$H415)*100,1),")")</f>
        <v>(11.8)</v>
      </c>
      <c r="H414" s="302">
        <f t="shared" ref="H414" si="310">SUM(B414,D414,F414)</f>
        <v>272.92599997441772</v>
      </c>
      <c r="I414" s="299" t="str">
        <f>CONCATENATE("(",ROUND((H414/$H415)*100,1),")")</f>
        <v>(65.6)</v>
      </c>
      <c r="K414" s="302">
        <f t="shared" ref="K414:K415" si="311">B419-B414</f>
        <v>8.6320000201344271</v>
      </c>
      <c r="L414" s="302">
        <f t="shared" ref="L414:L415" si="312">D419-D414</f>
        <v>-2.2749999885198662</v>
      </c>
      <c r="M414" s="302">
        <f t="shared" ref="M414:M415" si="313">F419-F414</f>
        <v>1.1079999992964531</v>
      </c>
      <c r="N414" s="302">
        <f t="shared" ref="N414:N415" si="314">SUM(K414:M414)</f>
        <v>7.4650000309110141</v>
      </c>
    </row>
    <row r="415" spans="1:14" x14ac:dyDescent="0.2">
      <c r="A415" s="282" t="s">
        <v>354</v>
      </c>
      <c r="B415" s="302">
        <f>SUM(B413:B414)</f>
        <v>209.53499998437184</v>
      </c>
      <c r="C415" s="299" t="str">
        <f>CONCATENATE("(",ROUND((B415/$H415)*100,1),")")</f>
        <v>(50.3)</v>
      </c>
      <c r="D415" s="302">
        <f>SUM(D413:D414)</f>
        <v>128.01099999035682</v>
      </c>
      <c r="E415" s="299" t="str">
        <f>CONCATENATE("(",ROUND((D415/$H415)*100,1),")")</f>
        <v>(30.7)</v>
      </c>
      <c r="F415" s="302">
        <f>SUM(F413:F414)</f>
        <v>78.771000003416802</v>
      </c>
      <c r="G415" s="299" t="str">
        <f>CONCATENATE("(",ROUND((F415/$H415)*100,1),")")</f>
        <v>(18.9)</v>
      </c>
      <c r="H415" s="302">
        <f>SUM(H413:H414)</f>
        <v>416.31699997814547</v>
      </c>
      <c r="I415" s="299" t="str">
        <f>CONCATENATE("(",ROUND((H415/$H415)*100,1),")")</f>
        <v>(100)</v>
      </c>
      <c r="K415" s="302">
        <f t="shared" si="311"/>
        <v>8.2390000221889181</v>
      </c>
      <c r="L415" s="302">
        <f t="shared" si="312"/>
        <v>-0.96199998873531456</v>
      </c>
      <c r="M415" s="302">
        <f t="shared" si="313"/>
        <v>2.6579999989197773</v>
      </c>
      <c r="N415" s="302">
        <f t="shared" si="314"/>
        <v>9.9350000323733809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355</v>
      </c>
      <c r="B418" s="302">
        <f>'Ind T6'!V485</f>
        <v>83.028000002404823</v>
      </c>
      <c r="C418" s="299" t="str">
        <f>CONCATENATE("(",ROUND((B418/$H420)*100,1),")")</f>
        <v>(19.5)</v>
      </c>
      <c r="D418" s="302">
        <f>'Ind T6'!W485</f>
        <v>31.715000000539263</v>
      </c>
      <c r="E418" s="299" t="str">
        <f>CONCATENATE("(",ROUND((D418/$H420)*100,1),")")</f>
        <v>(7.4)</v>
      </c>
      <c r="F418" s="302">
        <f>'Ind T6'!X485</f>
        <v>31.118000002246042</v>
      </c>
      <c r="G418" s="299" t="str">
        <f>CONCATENATE("(",ROUND((F418/$H420)*100,1),")")</f>
        <v>(7.3)</v>
      </c>
      <c r="H418" s="302">
        <f>SUM(B418,D418,F418)</f>
        <v>145.86100000519014</v>
      </c>
      <c r="I418" s="299" t="str">
        <f>CONCATENATE("(",ROUND((H418/$H420)*100,1),")")</f>
        <v>(34.2)</v>
      </c>
      <c r="K418" s="302">
        <f>B418-B408</f>
        <v>-4.2670000052205665</v>
      </c>
      <c r="L418" s="302">
        <f>D418-D408</f>
        <v>0.73199999823557249</v>
      </c>
      <c r="M418" s="302">
        <f>F418-F408</f>
        <v>1.1620000012542846</v>
      </c>
      <c r="N418" s="302">
        <f>SUM(K418:M418)</f>
        <v>-2.3730000057307095</v>
      </c>
    </row>
    <row r="419" spans="1:14" x14ac:dyDescent="0.2">
      <c r="A419" s="282" t="s">
        <v>356</v>
      </c>
      <c r="B419" s="302">
        <f>'Ind T6'!V484</f>
        <v>134.74600000415595</v>
      </c>
      <c r="C419" s="299" t="str">
        <f>CONCATENATE("(",ROUND((B419/$H420)*100,1),")")</f>
        <v>(31.6)</v>
      </c>
      <c r="D419" s="302">
        <f>'Ind T6'!W484</f>
        <v>95.334000001082245</v>
      </c>
      <c r="E419" s="299" t="str">
        <f>CONCATENATE("(",ROUND((D419/$H420)*100,1),")")</f>
        <v>(22.4)</v>
      </c>
      <c r="F419" s="302">
        <f>'Ind T6'!X484</f>
        <v>50.31100000009053</v>
      </c>
      <c r="G419" s="299" t="str">
        <f>CONCATENATE("(",ROUND((F419/$H420)*100,1),")")</f>
        <v>(11.8)</v>
      </c>
      <c r="H419" s="302">
        <f t="shared" ref="H419" si="315">SUM(B419,D419,F419)</f>
        <v>280.39100000532869</v>
      </c>
      <c r="I419" s="299" t="str">
        <f>CONCATENATE("(",ROUND((H419/$H420)*100,1),")")</f>
        <v>(65.8)</v>
      </c>
      <c r="K419" s="302">
        <f t="shared" ref="K419:K420" si="316">B419-B409</f>
        <v>7.3319999942771545</v>
      </c>
      <c r="L419" s="302">
        <f t="shared" ref="L419:L420" si="317">D419-D409</f>
        <v>-7.6909999934748186</v>
      </c>
      <c r="M419" s="302">
        <f t="shared" ref="M419:M420" si="318">F419-F409</f>
        <v>5.5999999418666846E-2</v>
      </c>
      <c r="N419" s="302">
        <f t="shared" ref="N419:N420" si="319">SUM(K419:M419)</f>
        <v>-0.30299999977899716</v>
      </c>
    </row>
    <row r="420" spans="1:14" x14ac:dyDescent="0.2">
      <c r="A420" s="282" t="s">
        <v>354</v>
      </c>
      <c r="B420" s="302">
        <f>SUM(B418:B419)</f>
        <v>217.77400000656075</v>
      </c>
      <c r="C420" s="299" t="str">
        <f>CONCATENATE("(",ROUND((B420/$H420)*100,1),")")</f>
        <v>(51.1)</v>
      </c>
      <c r="D420" s="302">
        <f>SUM(D418:D419)</f>
        <v>127.04900000162151</v>
      </c>
      <c r="E420" s="299" t="str">
        <f>CONCATENATE("(",ROUND((D420/$H420)*100,1),")")</f>
        <v>(29.8)</v>
      </c>
      <c r="F420" s="302">
        <f>SUM(F418:F419)</f>
        <v>81.429000002336579</v>
      </c>
      <c r="G420" s="299" t="str">
        <f>CONCATENATE("(",ROUND((F420/$H420)*100,1),")")</f>
        <v>(19.1)</v>
      </c>
      <c r="H420" s="302">
        <f>SUM(H418:H419)</f>
        <v>426.25200001051883</v>
      </c>
      <c r="I420" s="299" t="str">
        <f>CONCATENATE("(",ROUND((H420/$H420)*100,1),")")</f>
        <v>(100)</v>
      </c>
      <c r="K420" s="302">
        <f t="shared" si="316"/>
        <v>3.0649999890565596</v>
      </c>
      <c r="L420" s="302">
        <f t="shared" si="317"/>
        <v>-6.958999995239239</v>
      </c>
      <c r="M420" s="302">
        <f t="shared" si="318"/>
        <v>1.2180000006729585</v>
      </c>
      <c r="N420" s="302">
        <f t="shared" si="319"/>
        <v>-2.6760000055097208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1"/>
      <c r="E424" s="181"/>
      <c r="G424" s="181"/>
      <c r="I424" s="181"/>
    </row>
    <row r="425" spans="1:14" x14ac:dyDescent="0.2">
      <c r="A425" s="288"/>
      <c r="B425" s="289" t="s">
        <v>379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377</v>
      </c>
    </row>
    <row r="427" spans="1:14" x14ac:dyDescent="0.2">
      <c r="A427" s="181" t="s">
        <v>378</v>
      </c>
      <c r="B427" s="369" t="s">
        <v>376</v>
      </c>
      <c r="C427" s="369"/>
      <c r="D427" s="369" t="s">
        <v>375</v>
      </c>
      <c r="E427" s="369"/>
      <c r="F427" s="369" t="s">
        <v>374</v>
      </c>
      <c r="G427" s="369"/>
      <c r="H427" s="369" t="s">
        <v>32</v>
      </c>
      <c r="I427" s="369"/>
      <c r="J427" s="181"/>
      <c r="K427" s="297" t="s">
        <v>339</v>
      </c>
      <c r="L427" s="297" t="s">
        <v>341</v>
      </c>
      <c r="M427" s="297" t="s">
        <v>337</v>
      </c>
      <c r="N427" s="297" t="s">
        <v>32</v>
      </c>
    </row>
    <row r="428" spans="1:14" x14ac:dyDescent="0.2">
      <c r="A428" s="292">
        <f>$A$8</f>
        <v>2020</v>
      </c>
      <c r="B428" s="287" t="s">
        <v>60</v>
      </c>
      <c r="C428" s="19" t="s">
        <v>373</v>
      </c>
      <c r="D428" s="287" t="s">
        <v>60</v>
      </c>
      <c r="E428" s="19" t="s">
        <v>373</v>
      </c>
      <c r="F428" s="287" t="s">
        <v>60</v>
      </c>
      <c r="G428" s="19" t="s">
        <v>373</v>
      </c>
      <c r="H428" s="287" t="s">
        <v>60</v>
      </c>
      <c r="I428" s="19" t="s">
        <v>373</v>
      </c>
      <c r="J428" s="181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355</v>
      </c>
      <c r="B429" s="302">
        <f>'Ind T6'!L510</f>
        <v>106.43900000158392</v>
      </c>
      <c r="C429" s="299" t="str">
        <f>CONCATENATE("(",ROUND((B429/$H431)*100,1),")")</f>
        <v>(18.2)</v>
      </c>
      <c r="D429" s="302">
        <f>'Ind T6'!M510</f>
        <v>29.708000000045438</v>
      </c>
      <c r="E429" s="299" t="str">
        <f>CONCATENATE("(",ROUND((D429/$H431)*100,1),")")</f>
        <v>(5.1)</v>
      </c>
      <c r="F429" s="302">
        <f>'Ind T6'!N510</f>
        <v>23.165000001580648</v>
      </c>
      <c r="G429" s="299" t="str">
        <f>CONCATENATE("(",ROUND((F429/$H431)*100,1),")")</f>
        <v>(4)</v>
      </c>
      <c r="H429" s="302">
        <f>SUM(B429,D429,F429)</f>
        <v>159.31200000320999</v>
      </c>
      <c r="I429" s="299" t="str">
        <f>CONCATENATE("(",ROUND((H429/$H431)*100,1),")")</f>
        <v>(27.2)</v>
      </c>
      <c r="K429" s="302">
        <f>B434-B429</f>
        <v>4.121999999636202</v>
      </c>
      <c r="L429" s="302">
        <f>D434-D429</f>
        <v>1.4519999998999999</v>
      </c>
      <c r="M429" s="302">
        <f>F434-F429</f>
        <v>6.8000001339242999E-2</v>
      </c>
      <c r="N429" s="302">
        <f>SUM(K429:M429)</f>
        <v>5.642000000875445</v>
      </c>
    </row>
    <row r="430" spans="1:14" x14ac:dyDescent="0.2">
      <c r="A430" s="282" t="s">
        <v>356</v>
      </c>
      <c r="B430" s="302">
        <f>'Ind T6'!L509</f>
        <v>264.21200000012107</v>
      </c>
      <c r="C430" s="299" t="str">
        <f>CONCATENATE("(",ROUND((B430/$H431)*100,1),")")</f>
        <v>(45.1)</v>
      </c>
      <c r="D430" s="302">
        <f>'Ind T6'!M509</f>
        <v>132.17499999743899</v>
      </c>
      <c r="E430" s="299" t="str">
        <f>CONCATENATE("(",ROUND((D430/$H431)*100,1),")")</f>
        <v>(22.6)</v>
      </c>
      <c r="F430" s="302">
        <f>'Ind T6'!N509</f>
        <v>29.778000002517544</v>
      </c>
      <c r="G430" s="299" t="str">
        <f>CONCATENATE("(",ROUND((F430/$H431)*100,1),")")</f>
        <v>(5.1)</v>
      </c>
      <c r="H430" s="302">
        <f t="shared" ref="H430" si="320">SUM(B430,D430,F430)</f>
        <v>426.16500000007761</v>
      </c>
      <c r="I430" s="299" t="str">
        <f>CONCATENATE("(",ROUND((H430/$H431)*100,1),")")</f>
        <v>(72.8)</v>
      </c>
      <c r="K430" s="302">
        <f t="shared" ref="K430:K431" si="321">B435-B430</f>
        <v>15.211999999360557</v>
      </c>
      <c r="L430" s="302">
        <f t="shared" ref="L430:L431" si="322">D435-D430</f>
        <v>-6.5000001974965471E-2</v>
      </c>
      <c r="M430" s="302">
        <f t="shared" ref="M430:M431" si="323">F435-F430</f>
        <v>2.5379999976937171</v>
      </c>
      <c r="N430" s="302">
        <f t="shared" ref="N430:N431" si="324">SUM(K430:M430)</f>
        <v>17.684999995079309</v>
      </c>
    </row>
    <row r="431" spans="1:14" x14ac:dyDescent="0.2">
      <c r="A431" s="282" t="s">
        <v>354</v>
      </c>
      <c r="B431" s="302">
        <f>SUM(B429:B430)</f>
        <v>370.65100000170497</v>
      </c>
      <c r="C431" s="299" t="str">
        <f>CONCATENATE("(",ROUND((B431/$H431)*100,1),")")</f>
        <v>(63.3)</v>
      </c>
      <c r="D431" s="302">
        <f>SUM(D429:D430)</f>
        <v>161.88299999748443</v>
      </c>
      <c r="E431" s="299" t="str">
        <f>CONCATENATE("(",ROUND((D431/$H431)*100,1),")")</f>
        <v>(27.6)</v>
      </c>
      <c r="F431" s="302">
        <f>SUM(F429:F430)</f>
        <v>52.943000004098195</v>
      </c>
      <c r="G431" s="299" t="str">
        <f>CONCATENATE("(",ROUND((F431/$H431)*100,1),")")</f>
        <v>(9)</v>
      </c>
      <c r="H431" s="302">
        <f>SUM(H429:H430)</f>
        <v>585.47700000328757</v>
      </c>
      <c r="I431" s="299" t="str">
        <f>CONCATENATE("(",ROUND((H431/$H431)*100,1),")")</f>
        <v>(100)</v>
      </c>
      <c r="K431" s="302">
        <f t="shared" si="321"/>
        <v>19.333999998996774</v>
      </c>
      <c r="L431" s="302">
        <f t="shared" si="322"/>
        <v>1.3869999979250167</v>
      </c>
      <c r="M431" s="302">
        <f t="shared" si="323"/>
        <v>2.6059999990329601</v>
      </c>
      <c r="N431" s="302">
        <f t="shared" si="324"/>
        <v>23.32699999595475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355</v>
      </c>
      <c r="B434" s="302">
        <f>'Ind T6'!Q510</f>
        <v>110.56100000122012</v>
      </c>
      <c r="C434" s="299" t="str">
        <f>CONCATENATE("(",ROUND((B434/$H436)*100,1),")")</f>
        <v>(18.2)</v>
      </c>
      <c r="D434" s="302">
        <f>'Ind T6'!R510</f>
        <v>31.159999999945438</v>
      </c>
      <c r="E434" s="299" t="str">
        <f>CONCATENATE("(",ROUND((D434/$H436)*100,1),")")</f>
        <v>(5.1)</v>
      </c>
      <c r="F434" s="302">
        <f>'Ind T6'!S510</f>
        <v>23.233000002919891</v>
      </c>
      <c r="G434" s="299" t="str">
        <f>CONCATENATE("(",ROUND((F434/$H436)*100,1),")")</f>
        <v>(3.8)</v>
      </c>
      <c r="H434" s="302">
        <f>SUM(B434,D434,F434)</f>
        <v>164.95400000408543</v>
      </c>
      <c r="I434" s="299" t="str">
        <f>CONCATENATE("(",ROUND((H434/$H436)*100,1),")")</f>
        <v>(27.1)</v>
      </c>
      <c r="K434" s="302">
        <f>B439-B434</f>
        <v>1.5310000003366611</v>
      </c>
      <c r="L434" s="302">
        <f>D439-D434</f>
        <v>1.2220000000352833</v>
      </c>
      <c r="M434" s="302">
        <f>F439-F434</f>
        <v>-1.7320000009459982</v>
      </c>
      <c r="N434" s="302">
        <f>SUM(K434:M434)</f>
        <v>1.0209999994259462</v>
      </c>
    </row>
    <row r="435" spans="1:14" x14ac:dyDescent="0.2">
      <c r="A435" s="282" t="s">
        <v>356</v>
      </c>
      <c r="B435" s="302">
        <f>'Ind T6'!Q509</f>
        <v>279.42399999948162</v>
      </c>
      <c r="C435" s="299" t="str">
        <f>CONCATENATE("(",ROUND((B435/$H436)*100,1),")")</f>
        <v>(45.9)</v>
      </c>
      <c r="D435" s="302">
        <f>'Ind T6'!R509</f>
        <v>132.10999999546402</v>
      </c>
      <c r="E435" s="299" t="str">
        <f>CONCATENATE("(",ROUND((D435/$H436)*100,1),")")</f>
        <v>(21.7)</v>
      </c>
      <c r="F435" s="302">
        <f>'Ind T6'!S509</f>
        <v>32.316000000211261</v>
      </c>
      <c r="G435" s="299" t="str">
        <f>CONCATENATE("(",ROUND((F435/$H436)*100,1),")")</f>
        <v>(5.3)</v>
      </c>
      <c r="H435" s="302">
        <f t="shared" ref="H435" si="325">SUM(B435,D435,F435)</f>
        <v>443.84999999515691</v>
      </c>
      <c r="I435" s="299" t="str">
        <f>CONCATENATE("(",ROUND((H435/$H436)*100,1),")")</f>
        <v>(72.9)</v>
      </c>
      <c r="K435" s="302">
        <f t="shared" ref="K435:K436" si="326">B440-B435</f>
        <v>13.777999999849669</v>
      </c>
      <c r="L435" s="302">
        <f t="shared" ref="L435:L436" si="327">D440-D435</f>
        <v>-8.1289999955750574</v>
      </c>
      <c r="M435" s="302">
        <f t="shared" ref="M435:M436" si="328">F440-F435</f>
        <v>2.8969999996805811</v>
      </c>
      <c r="N435" s="302">
        <f t="shared" ref="N435:N436" si="329">SUM(K435:M435)</f>
        <v>8.5460000039551929</v>
      </c>
    </row>
    <row r="436" spans="1:14" x14ac:dyDescent="0.2">
      <c r="A436" s="282" t="s">
        <v>354</v>
      </c>
      <c r="B436" s="302">
        <f>SUM(B434:B435)</f>
        <v>389.98500000070175</v>
      </c>
      <c r="C436" s="299" t="str">
        <f>CONCATENATE("(",ROUND((B436/$H436)*100,1),")")</f>
        <v>(64.1)</v>
      </c>
      <c r="D436" s="302">
        <f>SUM(D434:D435)</f>
        <v>163.26999999540945</v>
      </c>
      <c r="E436" s="299" t="str">
        <f>CONCATENATE("(",ROUND((D436/$H436)*100,1),")")</f>
        <v>(26.8)</v>
      </c>
      <c r="F436" s="302">
        <f>SUM(F434:F435)</f>
        <v>55.549000003131155</v>
      </c>
      <c r="G436" s="299" t="str">
        <f>CONCATENATE("(",ROUND((F436/$H436)*100,1),")")</f>
        <v>(9.1)</v>
      </c>
      <c r="H436" s="302">
        <f>SUM(H434:H435)</f>
        <v>608.80399999924236</v>
      </c>
      <c r="I436" s="299" t="str">
        <f>CONCATENATE("(",ROUND((H436/$H436)*100,1),")")</f>
        <v>(100)</v>
      </c>
      <c r="K436" s="302">
        <f t="shared" si="326"/>
        <v>15.309000000186359</v>
      </c>
      <c r="L436" s="302">
        <f t="shared" si="327"/>
        <v>-6.9069999955397634</v>
      </c>
      <c r="M436" s="302">
        <f t="shared" si="328"/>
        <v>1.1649999987345794</v>
      </c>
      <c r="N436" s="302">
        <f t="shared" si="329"/>
        <v>9.5670000033811746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355</v>
      </c>
      <c r="B439" s="302">
        <f>'Ind T6'!V510</f>
        <v>112.09200000155678</v>
      </c>
      <c r="C439" s="299" t="str">
        <f>CONCATENATE("(",ROUND((B439/$H441)*100,1),")")</f>
        <v>(18.1)</v>
      </c>
      <c r="D439" s="302">
        <f>'Ind T6'!W510</f>
        <v>32.381999999980721</v>
      </c>
      <c r="E439" s="299" t="str">
        <f>CONCATENATE("(",ROUND((D439/$H441)*100,1),")")</f>
        <v>(5.2)</v>
      </c>
      <c r="F439" s="302">
        <f>'Ind T6'!X510</f>
        <v>21.501000001973892</v>
      </c>
      <c r="G439" s="299" t="str">
        <f>CONCATENATE("(",ROUND((F439/$H441)*100,1),")")</f>
        <v>(3.5)</v>
      </c>
      <c r="H439" s="302">
        <f>SUM(B439,D439,F439)</f>
        <v>165.97500000351138</v>
      </c>
      <c r="I439" s="299" t="str">
        <f>CONCATENATE("(",ROUND((H439/$H441)*100,1),")")</f>
        <v>(26.8)</v>
      </c>
      <c r="K439" s="302">
        <f>B439-B429</f>
        <v>5.6529999999728631</v>
      </c>
      <c r="L439" s="302">
        <f>D439-D429</f>
        <v>2.6739999999352833</v>
      </c>
      <c r="M439" s="302">
        <f>F439-F429</f>
        <v>-1.6639999996067552</v>
      </c>
      <c r="N439" s="302">
        <f>SUM(K439:M439)</f>
        <v>6.6630000003013912</v>
      </c>
    </row>
    <row r="440" spans="1:14" x14ac:dyDescent="0.2">
      <c r="A440" s="282" t="s">
        <v>356</v>
      </c>
      <c r="B440" s="302">
        <f>'Ind T6'!V509</f>
        <v>293.20199999933129</v>
      </c>
      <c r="C440" s="299" t="str">
        <f>CONCATENATE("(",ROUND((B440/$H441)*100,1),")")</f>
        <v>(47.4)</v>
      </c>
      <c r="D440" s="302">
        <f>'Ind T6'!W509</f>
        <v>123.98099999988897</v>
      </c>
      <c r="E440" s="299" t="str">
        <f>CONCATENATE("(",ROUND((D440/$H441)*100,1),")")</f>
        <v>(20)</v>
      </c>
      <c r="F440" s="302">
        <f>'Ind T6'!X509</f>
        <v>35.212999999891842</v>
      </c>
      <c r="G440" s="299" t="str">
        <f>CONCATENATE("(",ROUND((F440/$H441)*100,1),")")</f>
        <v>(5.7)</v>
      </c>
      <c r="H440" s="302">
        <f t="shared" ref="H440" si="330">SUM(B440,D440,F440)</f>
        <v>452.39599999911212</v>
      </c>
      <c r="I440" s="299" t="str">
        <f>CONCATENATE("(",ROUND((H440/$H441)*100,1),")")</f>
        <v>(73.2)</v>
      </c>
      <c r="K440" s="302">
        <f t="shared" ref="K440:K441" si="331">B440-B430</f>
        <v>28.989999999210227</v>
      </c>
      <c r="L440" s="302">
        <f t="shared" ref="L440:L441" si="332">D440-D430</f>
        <v>-8.1939999975500228</v>
      </c>
      <c r="M440" s="302">
        <f t="shared" ref="M440:M441" si="333">F440-F430</f>
        <v>5.4349999973742982</v>
      </c>
      <c r="N440" s="302">
        <f t="shared" ref="N440:N441" si="334">SUM(K440:M440)</f>
        <v>26.230999999034502</v>
      </c>
    </row>
    <row r="441" spans="1:14" x14ac:dyDescent="0.2">
      <c r="A441" s="282" t="s">
        <v>354</v>
      </c>
      <c r="B441" s="302">
        <f>SUM(B439:B440)</f>
        <v>405.2940000008881</v>
      </c>
      <c r="C441" s="299" t="str">
        <f>CONCATENATE("(",ROUND((B441/$H441)*100,1),")")</f>
        <v>(65.5)</v>
      </c>
      <c r="D441" s="302">
        <f>SUM(D439:D440)</f>
        <v>156.36299999986969</v>
      </c>
      <c r="E441" s="299" t="str">
        <f>CONCATENATE("(",ROUND((D441/$H441)*100,1),")")</f>
        <v>(25.3)</v>
      </c>
      <c r="F441" s="302">
        <f>SUM(F439:F440)</f>
        <v>56.714000001865735</v>
      </c>
      <c r="G441" s="299" t="str">
        <f>CONCATENATE("(",ROUND((F441/$H441)*100,1),")")</f>
        <v>(9.2)</v>
      </c>
      <c r="H441" s="302">
        <f>SUM(H439:H440)</f>
        <v>618.37100000262353</v>
      </c>
      <c r="I441" s="299" t="str">
        <f>CONCATENATE("(",ROUND((H441/$H441)*100,1),")")</f>
        <v>(100)</v>
      </c>
      <c r="K441" s="302">
        <f t="shared" si="331"/>
        <v>34.642999999183132</v>
      </c>
      <c r="L441" s="302">
        <f t="shared" si="332"/>
        <v>-5.5199999976147467</v>
      </c>
      <c r="M441" s="302">
        <f t="shared" si="333"/>
        <v>3.7709999977675395</v>
      </c>
      <c r="N441" s="302">
        <f t="shared" si="334"/>
        <v>32.893999999335925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379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377</v>
      </c>
    </row>
    <row r="448" spans="1:14" x14ac:dyDescent="0.2">
      <c r="A448" s="181" t="s">
        <v>378</v>
      </c>
      <c r="B448" s="369" t="s">
        <v>376</v>
      </c>
      <c r="C448" s="369"/>
      <c r="D448" s="369" t="s">
        <v>375</v>
      </c>
      <c r="E448" s="369"/>
      <c r="F448" s="369" t="s">
        <v>374</v>
      </c>
      <c r="G448" s="369"/>
      <c r="H448" s="369" t="s">
        <v>32</v>
      </c>
      <c r="I448" s="369"/>
      <c r="J448" s="181"/>
      <c r="K448" s="297" t="s">
        <v>339</v>
      </c>
      <c r="L448" s="297" t="s">
        <v>341</v>
      </c>
      <c r="M448" s="297" t="s">
        <v>337</v>
      </c>
      <c r="N448" s="297" t="s">
        <v>32</v>
      </c>
    </row>
    <row r="449" spans="1:14" x14ac:dyDescent="0.2">
      <c r="A449" s="292">
        <f>$A$8</f>
        <v>2020</v>
      </c>
      <c r="B449" s="287" t="s">
        <v>60</v>
      </c>
      <c r="C449" s="19" t="s">
        <v>373</v>
      </c>
      <c r="D449" s="287" t="s">
        <v>60</v>
      </c>
      <c r="E449" s="19" t="s">
        <v>373</v>
      </c>
      <c r="F449" s="287" t="s">
        <v>337</v>
      </c>
      <c r="G449" s="19" t="s">
        <v>373</v>
      </c>
      <c r="H449" s="287" t="s">
        <v>60</v>
      </c>
      <c r="I449" s="19" t="s">
        <v>373</v>
      </c>
      <c r="J449" s="181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355</v>
      </c>
      <c r="B450" s="302">
        <f>'Ind T6'!L540</f>
        <v>35.522000000143272</v>
      </c>
      <c r="C450" s="299" t="str">
        <f>CONCATENATE("(",ROUND((B450/$H452)*100,1),")")</f>
        <v>(17.1)</v>
      </c>
      <c r="D450" s="302">
        <f>'Ind T6'!M540</f>
        <v>23.770999999855281</v>
      </c>
      <c r="E450" s="299" t="str">
        <f>CONCATENATE("(",ROUND((D450/$H452)*100,1),")")</f>
        <v>(11.4)</v>
      </c>
      <c r="F450" s="302">
        <f>'Ind T6'!N540</f>
        <v>29.977000001419036</v>
      </c>
      <c r="G450" s="299" t="str">
        <f>CONCATENATE("(",ROUND((F450/$H452)*100,1),")")</f>
        <v>(14.4)</v>
      </c>
      <c r="H450" s="302">
        <f>SUM(B450,D450,F450)</f>
        <v>89.2700000014176</v>
      </c>
      <c r="I450" s="299" t="str">
        <f>CONCATENATE("(",ROUND((H450/$H452)*100,1),")")</f>
        <v>(42.9)</v>
      </c>
      <c r="K450" s="302">
        <f>B455-B450</f>
        <v>4.6620000000418358</v>
      </c>
      <c r="L450" s="302">
        <f>D455-D450</f>
        <v>3.7589999999264982</v>
      </c>
      <c r="M450" s="302">
        <f>F455-F450</f>
        <v>2.2590000017159113</v>
      </c>
      <c r="N450" s="302">
        <f>SUM(K450:M450)</f>
        <v>10.680000001684245</v>
      </c>
    </row>
    <row r="451" spans="1:14" x14ac:dyDescent="0.2">
      <c r="A451" s="282" t="s">
        <v>356</v>
      </c>
      <c r="B451" s="302">
        <f>'Ind T6'!L539</f>
        <v>34.12700000013001</v>
      </c>
      <c r="C451" s="299" t="str">
        <f>CONCATENATE("(",ROUND((B451/$H452)*100,1),")")</f>
        <v>(16.4)</v>
      </c>
      <c r="D451" s="302">
        <f>'Ind T6'!M539</f>
        <v>31.83999999979455</v>
      </c>
      <c r="E451" s="299" t="str">
        <f>CONCATENATE("(",ROUND((D451/$H452)*100,1),")")</f>
        <v>(15.3)</v>
      </c>
      <c r="F451" s="302">
        <f>'Ind T6'!N539</f>
        <v>52.94999999944789</v>
      </c>
      <c r="G451" s="299" t="str">
        <f>CONCATENATE("(",ROUND((F451/$H452)*100,1),")")</f>
        <v>(25.4)</v>
      </c>
      <c r="H451" s="302">
        <f t="shared" ref="H451" si="335">SUM(B451,D451,F451)</f>
        <v>118.91699999937245</v>
      </c>
      <c r="I451" s="299" t="str">
        <f>CONCATENATE("(",ROUND((H451/$H452)*100,1),")")</f>
        <v>(57.1)</v>
      </c>
      <c r="K451" s="302">
        <f t="shared" ref="K451:K452" si="336">B456-B451</f>
        <v>2.8160000005003951</v>
      </c>
      <c r="L451" s="302">
        <f t="shared" ref="L451:L452" si="337">D456-D451</f>
        <v>4.753999999899932</v>
      </c>
      <c r="M451" s="302">
        <f t="shared" ref="M451:M452" si="338">F456-F451</f>
        <v>3.8740000013457063</v>
      </c>
      <c r="N451" s="302">
        <f t="shared" ref="N451:N452" si="339">SUM(K451:M451)</f>
        <v>11.444000001746033</v>
      </c>
    </row>
    <row r="452" spans="1:14" x14ac:dyDescent="0.2">
      <c r="A452" s="282" t="s">
        <v>354</v>
      </c>
      <c r="B452" s="302">
        <f>SUM(B450:B451)</f>
        <v>69.649000000273276</v>
      </c>
      <c r="C452" s="299" t="str">
        <f>CONCATENATE("(",ROUND((B452/$H452)*100,1),")")</f>
        <v>(33.5)</v>
      </c>
      <c r="D452" s="302">
        <f>SUM(D450:D451)</f>
        <v>55.610999999649835</v>
      </c>
      <c r="E452" s="299" t="str">
        <f>CONCATENATE("(",ROUND((D452/$H452)*100,1),")")</f>
        <v>(26.7)</v>
      </c>
      <c r="F452" s="302">
        <f>SUM(F450:F451)</f>
        <v>82.927000000866926</v>
      </c>
      <c r="G452" s="299" t="str">
        <f>CONCATENATE("(",ROUND((F452/$H452)*100,1),")")</f>
        <v>(39.8)</v>
      </c>
      <c r="H452" s="302">
        <f>SUM(H450:H451)</f>
        <v>208.18700000079005</v>
      </c>
      <c r="I452" s="299" t="str">
        <f>CONCATENATE("(",ROUND((H452/$H452)*100,1),")")</f>
        <v>(100)</v>
      </c>
      <c r="K452" s="302">
        <f t="shared" si="336"/>
        <v>7.478000000542238</v>
      </c>
      <c r="L452" s="302">
        <f t="shared" si="337"/>
        <v>8.5129999998264339</v>
      </c>
      <c r="M452" s="302">
        <f t="shared" si="338"/>
        <v>6.1330000030616105</v>
      </c>
      <c r="N452" s="302">
        <f t="shared" si="339"/>
        <v>22.124000003430282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355</v>
      </c>
      <c r="B455" s="302">
        <f>'Ind T6'!Q540</f>
        <v>40.184000000185108</v>
      </c>
      <c r="C455" s="299" t="str">
        <f>CONCATENATE("(",ROUND((B455/$H457)*100,1),")")</f>
        <v>(17.4)</v>
      </c>
      <c r="D455" s="302">
        <f>'Ind T6'!R540</f>
        <v>27.529999999781779</v>
      </c>
      <c r="E455" s="299" t="str">
        <f>CONCATENATE("(",ROUND((D455/$H457)*100,1),")")</f>
        <v>(12)</v>
      </c>
      <c r="F455" s="302">
        <f>'Ind T6'!S540</f>
        <v>32.236000003134947</v>
      </c>
      <c r="G455" s="299" t="str">
        <f>CONCATENATE("(",ROUND((F455/$H457)*100,1),")")</f>
        <v>(14)</v>
      </c>
      <c r="H455" s="302">
        <f>SUM(B455,D455,F455)</f>
        <v>99.950000003101835</v>
      </c>
      <c r="I455" s="299" t="str">
        <f>CONCATENATE("(",ROUND((H455/$H457)*100,1),")")</f>
        <v>(43.4)</v>
      </c>
      <c r="K455" s="302">
        <f>B460-B455</f>
        <v>4.5510000001220163</v>
      </c>
      <c r="L455" s="302">
        <f>D460-D455</f>
        <v>3.7509999999772781</v>
      </c>
      <c r="M455" s="302">
        <f>F460-F455</f>
        <v>2.2449999994768817</v>
      </c>
      <c r="N455" s="302">
        <f>SUM(K455:M455)</f>
        <v>10.546999999576176</v>
      </c>
    </row>
    <row r="456" spans="1:14" x14ac:dyDescent="0.2">
      <c r="A456" s="282" t="s">
        <v>356</v>
      </c>
      <c r="B456" s="302">
        <f>'Ind T6'!Q539</f>
        <v>36.943000000630406</v>
      </c>
      <c r="C456" s="299" t="str">
        <f>CONCATENATE("(",ROUND((B456/$H457)*100,1),")")</f>
        <v>(16)</v>
      </c>
      <c r="D456" s="302">
        <f>'Ind T6'!R539</f>
        <v>36.593999999694482</v>
      </c>
      <c r="E456" s="299" t="str">
        <f>CONCATENATE("(",ROUND((D456/$H457)*100,1),")")</f>
        <v>(15.9)</v>
      </c>
      <c r="F456" s="302">
        <f>'Ind T6'!S539</f>
        <v>56.824000000793596</v>
      </c>
      <c r="G456" s="299" t="str">
        <f>CONCATENATE("(",ROUND((F456/$H457)*100,1),")")</f>
        <v>(24.7)</v>
      </c>
      <c r="H456" s="302">
        <f t="shared" ref="H456" si="340">SUM(B456,D456,F456)</f>
        <v>130.3610000011185</v>
      </c>
      <c r="I456" s="299" t="str">
        <f>CONCATENATE("(",ROUND((H456/$H457)*100,1),")")</f>
        <v>(56.6)</v>
      </c>
      <c r="K456" s="302">
        <f t="shared" ref="K456:K457" si="341">B461-B456</f>
        <v>1.0189999994825669</v>
      </c>
      <c r="L456" s="302">
        <f t="shared" ref="L456:L457" si="342">D461-D456</f>
        <v>4.0080000001926166</v>
      </c>
      <c r="M456" s="302">
        <f t="shared" ref="M456:M457" si="343">F461-F456</f>
        <v>7.5489999994466004</v>
      </c>
      <c r="N456" s="302">
        <f t="shared" ref="N456:N457" si="344">SUM(K456:M456)</f>
        <v>12.575999999121784</v>
      </c>
    </row>
    <row r="457" spans="1:14" x14ac:dyDescent="0.2">
      <c r="A457" s="282" t="s">
        <v>354</v>
      </c>
      <c r="B457" s="302">
        <f>SUM(B455:B456)</f>
        <v>77.127000000815514</v>
      </c>
      <c r="C457" s="299" t="str">
        <f>CONCATENATE("(",ROUND((B457/$H457)*100,1),")")</f>
        <v>(33.5)</v>
      </c>
      <c r="D457" s="302">
        <f>SUM(D455:D456)</f>
        <v>64.123999999476268</v>
      </c>
      <c r="E457" s="299" t="str">
        <f>CONCATENATE("(",ROUND((D457/$H457)*100,1),")")</f>
        <v>(27.8)</v>
      </c>
      <c r="F457" s="302">
        <f>SUM(F455:F456)</f>
        <v>89.060000003928536</v>
      </c>
      <c r="G457" s="299" t="str">
        <f>CONCATENATE("(",ROUND((F457/$H457)*100,1),")")</f>
        <v>(38.7)</v>
      </c>
      <c r="H457" s="302">
        <f>SUM(H455:H456)</f>
        <v>230.31100000422032</v>
      </c>
      <c r="I457" s="299" t="str">
        <f>CONCATENATE("(",ROUND((H457/$H457)*100,1),")")</f>
        <v>(100)</v>
      </c>
      <c r="K457" s="302">
        <f t="shared" si="341"/>
        <v>5.5699999996045904</v>
      </c>
      <c r="L457" s="302">
        <f t="shared" si="342"/>
        <v>7.7590000001698911</v>
      </c>
      <c r="M457" s="302">
        <f t="shared" si="343"/>
        <v>9.7939999989234821</v>
      </c>
      <c r="N457" s="302">
        <f t="shared" si="344"/>
        <v>23.122999998697964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355</v>
      </c>
      <c r="B460" s="302">
        <f>'Ind T6'!V540</f>
        <v>44.735000000307124</v>
      </c>
      <c r="C460" s="299" t="str">
        <f>CONCATENATE("(",ROUND((B460/$H462)*100,1),")")</f>
        <v>(17.7)</v>
      </c>
      <c r="D460" s="302">
        <f>'Ind T6'!W540</f>
        <v>31.280999999759057</v>
      </c>
      <c r="E460" s="299" t="str">
        <f>CONCATENATE("(",ROUND((D460/$H462)*100,1),")")</f>
        <v>(12.3)</v>
      </c>
      <c r="F460" s="302">
        <f>'Ind T6'!X540</f>
        <v>34.481000002611829</v>
      </c>
      <c r="G460" s="299" t="str">
        <f>CONCATENATE("(",ROUND((F460/$H462)*100,1),")")</f>
        <v>(13.6)</v>
      </c>
      <c r="H460" s="302">
        <f>SUM(B460,D460,F460)</f>
        <v>110.49700000267802</v>
      </c>
      <c r="I460" s="299" t="str">
        <f>CONCATENATE("(",ROUND((H460/$H462)*100,1),")")</f>
        <v>(43.6)</v>
      </c>
      <c r="K460" s="302">
        <f>B460-B450</f>
        <v>9.2130000001638521</v>
      </c>
      <c r="L460" s="302">
        <f>D460-D450</f>
        <v>7.5099999999037763</v>
      </c>
      <c r="M460" s="302">
        <f>F460-F450</f>
        <v>4.504000001192793</v>
      </c>
      <c r="N460" s="302">
        <f>SUM(K460:M460)</f>
        <v>21.227000001260421</v>
      </c>
    </row>
    <row r="461" spans="1:14" x14ac:dyDescent="0.2">
      <c r="A461" s="282" t="s">
        <v>356</v>
      </c>
      <c r="B461" s="302">
        <f>'Ind T6'!V539</f>
        <v>37.962000000112972</v>
      </c>
      <c r="C461" s="299" t="str">
        <f>CONCATENATE("(",ROUND((B461/$H462)*100,1),")")</f>
        <v>(15)</v>
      </c>
      <c r="D461" s="302">
        <f>'Ind T6'!W539</f>
        <v>40.601999999887099</v>
      </c>
      <c r="E461" s="299" t="str">
        <f>CONCATENATE("(",ROUND((D461/$H462)*100,1),")")</f>
        <v>(16)</v>
      </c>
      <c r="F461" s="302">
        <f>'Ind T6'!X539</f>
        <v>64.373000000240197</v>
      </c>
      <c r="G461" s="299" t="str">
        <f>CONCATENATE("(",ROUND((F461/$H462)*100,1),")")</f>
        <v>(25.4)</v>
      </c>
      <c r="H461" s="302">
        <f t="shared" ref="H461" si="345">SUM(B461,D461,F461)</f>
        <v>142.93700000024029</v>
      </c>
      <c r="I461" s="299" t="str">
        <f>CONCATENATE("(",ROUND((H461/$H462)*100,1),")")</f>
        <v>(56.4)</v>
      </c>
      <c r="K461" s="302">
        <f t="shared" ref="K461:K462" si="346">B461-B451</f>
        <v>3.834999999982962</v>
      </c>
      <c r="L461" s="302">
        <f t="shared" ref="L461:L462" si="347">D461-D451</f>
        <v>8.7620000000925486</v>
      </c>
      <c r="M461" s="302">
        <f t="shared" ref="M461:M462" si="348">F461-F451</f>
        <v>11.423000000792307</v>
      </c>
      <c r="N461" s="302">
        <f t="shared" ref="N461:N462" si="349">SUM(K461:M461)</f>
        <v>24.020000000867817</v>
      </c>
    </row>
    <row r="462" spans="1:14" x14ac:dyDescent="0.2">
      <c r="A462" s="282" t="s">
        <v>354</v>
      </c>
      <c r="B462" s="302">
        <f>SUM(B460:B461)</f>
        <v>82.697000000420104</v>
      </c>
      <c r="C462" s="299" t="str">
        <f>CONCATENATE("(",ROUND((B462/$H462)*100,1),")")</f>
        <v>(32.6)</v>
      </c>
      <c r="D462" s="302">
        <f>SUM(D460:D461)</f>
        <v>71.882999999646159</v>
      </c>
      <c r="E462" s="299" t="str">
        <f>CONCATENATE("(",ROUND((D462/$H462)*100,1),")")</f>
        <v>(28.4)</v>
      </c>
      <c r="F462" s="302">
        <f>SUM(F460:F461)</f>
        <v>98.854000002852018</v>
      </c>
      <c r="G462" s="299" t="str">
        <f>CONCATENATE("(",ROUND((F462/$H462)*100,1),")")</f>
        <v>(39)</v>
      </c>
      <c r="H462" s="302">
        <f>SUM(H460:H461)</f>
        <v>253.43400000291831</v>
      </c>
      <c r="I462" s="299" t="str">
        <f>CONCATENATE("(",ROUND((H462/$H462)*100,1),")")</f>
        <v>(100)</v>
      </c>
      <c r="K462" s="302">
        <f t="shared" si="346"/>
        <v>13.048000000146828</v>
      </c>
      <c r="L462" s="302">
        <f t="shared" si="347"/>
        <v>16.271999999996325</v>
      </c>
      <c r="M462" s="302">
        <f t="shared" si="348"/>
        <v>15.927000001985093</v>
      </c>
      <c r="N462" s="302">
        <f t="shared" si="349"/>
        <v>45.247000002128246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1"/>
      <c r="E466" s="181"/>
      <c r="G466" s="181"/>
      <c r="I466" s="181"/>
    </row>
    <row r="467" spans="1:14" x14ac:dyDescent="0.2">
      <c r="A467" s="288"/>
      <c r="B467" s="289" t="s">
        <v>379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377</v>
      </c>
    </row>
    <row r="469" spans="1:14" x14ac:dyDescent="0.2">
      <c r="A469" s="181" t="s">
        <v>378</v>
      </c>
      <c r="B469" s="369" t="s">
        <v>376</v>
      </c>
      <c r="C469" s="369"/>
      <c r="D469" s="369" t="s">
        <v>375</v>
      </c>
      <c r="E469" s="369"/>
      <c r="F469" s="369" t="s">
        <v>374</v>
      </c>
      <c r="G469" s="369"/>
      <c r="H469" s="369" t="s">
        <v>32</v>
      </c>
      <c r="I469" s="369"/>
      <c r="J469" s="181"/>
      <c r="K469" s="297" t="s">
        <v>339</v>
      </c>
      <c r="L469" s="297" t="s">
        <v>341</v>
      </c>
      <c r="M469" s="297" t="s">
        <v>337</v>
      </c>
      <c r="N469" s="297" t="s">
        <v>32</v>
      </c>
    </row>
    <row r="470" spans="1:14" x14ac:dyDescent="0.2">
      <c r="A470" s="292">
        <f>$A$8</f>
        <v>2020</v>
      </c>
      <c r="B470" s="287" t="s">
        <v>60</v>
      </c>
      <c r="C470" s="19" t="s">
        <v>373</v>
      </c>
      <c r="D470" s="287" t="s">
        <v>60</v>
      </c>
      <c r="E470" s="19" t="s">
        <v>373</v>
      </c>
      <c r="F470" s="287" t="s">
        <v>60</v>
      </c>
      <c r="G470" s="19" t="s">
        <v>373</v>
      </c>
      <c r="H470" s="287" t="s">
        <v>60</v>
      </c>
      <c r="I470" s="19" t="s">
        <v>373</v>
      </c>
      <c r="J470" s="181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355</v>
      </c>
      <c r="B471" s="302">
        <f>'Ind T6'!L565</f>
        <v>34.746000000279778</v>
      </c>
      <c r="C471" s="299" t="str">
        <f>CONCATENATE("(",ROUND((B471/$H473)*100,1),")")</f>
        <v>(21.7)</v>
      </c>
      <c r="D471" s="302">
        <f>'Ind T6'!M565</f>
        <v>16.639999999995972</v>
      </c>
      <c r="E471" s="299" t="str">
        <f>CONCATENATE("(",ROUND((D471/$H473)*100,1),")")</f>
        <v>(10.4)</v>
      </c>
      <c r="F471" s="302">
        <f>'Ind T6'!N565</f>
        <v>17.32000000049262</v>
      </c>
      <c r="G471" s="299" t="str">
        <f>CONCATENATE("(",ROUND((F471/$H473)*100,1),")")</f>
        <v>(10.8)</v>
      </c>
      <c r="H471" s="302">
        <f>SUM(B471,D471,F471)</f>
        <v>68.70600000076837</v>
      </c>
      <c r="I471" s="299" t="str">
        <f>CONCATENATE("(",ROUND((H471/$H473)*100,1),")")</f>
        <v>(42.9)</v>
      </c>
      <c r="K471" s="302">
        <f>B476-B471</f>
        <v>5.6190000000798577</v>
      </c>
      <c r="L471" s="302">
        <f>D476-D471</f>
        <v>2.0109999999314425</v>
      </c>
      <c r="M471" s="302">
        <f>F476-F471</f>
        <v>2.7750000006513744</v>
      </c>
      <c r="N471" s="302">
        <f>SUM(K471:M471)</f>
        <v>10.405000000662675</v>
      </c>
    </row>
    <row r="472" spans="1:14" x14ac:dyDescent="0.2">
      <c r="A472" s="282" t="s">
        <v>356</v>
      </c>
      <c r="B472" s="302">
        <f>'Ind T6'!L564</f>
        <v>48.686000000108706</v>
      </c>
      <c r="C472" s="299" t="str">
        <f>CONCATENATE("(",ROUND((B472/$H473)*100,1),")")</f>
        <v>(30.4)</v>
      </c>
      <c r="D472" s="302">
        <f>'Ind T6'!M564</f>
        <v>26.495999999872915</v>
      </c>
      <c r="E472" s="299" t="str">
        <f>CONCATENATE("(",ROUND((D472/$H473)*100,1),")")</f>
        <v>(16.6)</v>
      </c>
      <c r="F472" s="302">
        <f>'Ind T6'!N564</f>
        <v>16.186999999737516</v>
      </c>
      <c r="G472" s="299" t="str">
        <f>CONCATENATE("(",ROUND((F472/$H473)*100,1),")")</f>
        <v>(10.1)</v>
      </c>
      <c r="H472" s="302">
        <f t="shared" ref="H472" si="350">SUM(B472,D472,F472)</f>
        <v>91.368999999719136</v>
      </c>
      <c r="I472" s="299" t="str">
        <f>CONCATENATE("(",ROUND((H472/$H473)*100,1),")")</f>
        <v>(57.1)</v>
      </c>
      <c r="K472" s="302">
        <f t="shared" ref="K472:K473" si="351">B477-B472</f>
        <v>4.3650000007913974</v>
      </c>
      <c r="L472" s="302">
        <f t="shared" ref="L472:L473" si="352">D477-D472</f>
        <v>2.8829999999147979</v>
      </c>
      <c r="M472" s="302">
        <f t="shared" ref="M472:M473" si="353">F477-F472</f>
        <v>2.0760000002114474</v>
      </c>
      <c r="N472" s="302">
        <f t="shared" ref="N472:N473" si="354">SUM(K472:M472)</f>
        <v>9.3240000009176427</v>
      </c>
    </row>
    <row r="473" spans="1:14" x14ac:dyDescent="0.2">
      <c r="A473" s="282" t="s">
        <v>354</v>
      </c>
      <c r="B473" s="302">
        <f>SUM(B471:B472)</f>
        <v>83.432000000388484</v>
      </c>
      <c r="C473" s="299" t="str">
        <f>CONCATENATE("(",ROUND((B473/$H473)*100,1),")")</f>
        <v>(52.1)</v>
      </c>
      <c r="D473" s="302">
        <f>SUM(D471:D472)</f>
        <v>43.135999999868886</v>
      </c>
      <c r="E473" s="299" t="str">
        <f>CONCATENATE("(",ROUND((D473/$H473)*100,1),")")</f>
        <v>(26.9)</v>
      </c>
      <c r="F473" s="302">
        <f>SUM(F471:F472)</f>
        <v>33.507000000230136</v>
      </c>
      <c r="G473" s="299" t="str">
        <f>CONCATENATE("(",ROUND((F473/$H473)*100,1),")")</f>
        <v>(20.9)</v>
      </c>
      <c r="H473" s="302">
        <f>SUM(H471:H472)</f>
        <v>160.07500000048751</v>
      </c>
      <c r="I473" s="299" t="str">
        <f>CONCATENATE("(",ROUND((H473/$H473)*100,1),")")</f>
        <v>(100)</v>
      </c>
      <c r="K473" s="302">
        <f t="shared" si="351"/>
        <v>9.9840000008712479</v>
      </c>
      <c r="L473" s="302">
        <f t="shared" si="352"/>
        <v>4.893999999846244</v>
      </c>
      <c r="M473" s="302">
        <f t="shared" si="353"/>
        <v>4.8510000008628253</v>
      </c>
      <c r="N473" s="302">
        <f t="shared" si="354"/>
        <v>19.729000001580317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355</v>
      </c>
      <c r="B476" s="302">
        <f>'Ind T6'!Q565</f>
        <v>40.365000000359636</v>
      </c>
      <c r="C476" s="299" t="str">
        <f>CONCATENATE("(",ROUND((B476/$H478)*100,1),")")</f>
        <v>(22.4)</v>
      </c>
      <c r="D476" s="302">
        <f>'Ind T6'!R565</f>
        <v>18.650999999927414</v>
      </c>
      <c r="E476" s="299" t="str">
        <f>CONCATENATE("(",ROUND((D476/$H478)*100,1),")")</f>
        <v>(10.4)</v>
      </c>
      <c r="F476" s="302">
        <f>'Ind T6'!S565</f>
        <v>20.095000001143994</v>
      </c>
      <c r="G476" s="299" t="str">
        <f>CONCATENATE("(",ROUND((F476/$H478)*100,1),")")</f>
        <v>(11.2)</v>
      </c>
      <c r="H476" s="302">
        <f>SUM(B476,D476,F476)</f>
        <v>79.111000001431051</v>
      </c>
      <c r="I476" s="299" t="str">
        <f>CONCATENATE("(",ROUND((H476/$H478)*100,1),")")</f>
        <v>(44)</v>
      </c>
      <c r="K476" s="302">
        <f>B481-B476</f>
        <v>4.7010000000329413</v>
      </c>
      <c r="L476" s="302">
        <f>D481-D476</f>
        <v>1.2879999999417961</v>
      </c>
      <c r="M476" s="302">
        <f>F481-F476</f>
        <v>2.2459999996392028</v>
      </c>
      <c r="N476" s="302">
        <f>SUM(K476:M476)</f>
        <v>8.2349999996139402</v>
      </c>
    </row>
    <row r="477" spans="1:14" x14ac:dyDescent="0.2">
      <c r="A477" s="282" t="s">
        <v>356</v>
      </c>
      <c r="B477" s="302">
        <f>'Ind T6'!Q564</f>
        <v>53.051000000900103</v>
      </c>
      <c r="C477" s="299" t="str">
        <f>CONCATENATE("(",ROUND((B477/$H478)*100,1),")")</f>
        <v>(29.5)</v>
      </c>
      <c r="D477" s="302">
        <f>'Ind T6'!R564</f>
        <v>29.378999999787712</v>
      </c>
      <c r="E477" s="299" t="str">
        <f>CONCATENATE("(",ROUND((D477/$H478)*100,1),")")</f>
        <v>(16.3)</v>
      </c>
      <c r="F477" s="302">
        <f>'Ind T6'!S564</f>
        <v>18.262999999948963</v>
      </c>
      <c r="G477" s="299" t="str">
        <f>CONCATENATE("(",ROUND((F477/$H478)*100,1),")")</f>
        <v>(10.2)</v>
      </c>
      <c r="H477" s="302">
        <f t="shared" ref="H477" si="355">SUM(B477,D477,F477)</f>
        <v>100.69300000063677</v>
      </c>
      <c r="I477" s="299" t="str">
        <f>CONCATENATE("(",ROUND((H477/$H478)*100,1),")")</f>
        <v>(56)</v>
      </c>
      <c r="K477" s="302">
        <f t="shared" ref="K477:K478" si="356">B482-B477</f>
        <v>0.91099999922015229</v>
      </c>
      <c r="L477" s="302">
        <f t="shared" ref="L477:L478" si="357">D482-D477</f>
        <v>0.92300000002369487</v>
      </c>
      <c r="M477" s="302">
        <f t="shared" ref="M477:M478" si="358">F482-F477</f>
        <v>0.8929999999619973</v>
      </c>
      <c r="N477" s="302">
        <f t="shared" ref="N477:N478" si="359">SUM(K477:M477)</f>
        <v>2.7269999992058445</v>
      </c>
    </row>
    <row r="478" spans="1:14" x14ac:dyDescent="0.2">
      <c r="A478" s="282" t="s">
        <v>354</v>
      </c>
      <c r="B478" s="302">
        <f>SUM(B476:B477)</f>
        <v>93.416000001259732</v>
      </c>
      <c r="C478" s="299" t="str">
        <f>CONCATENATE("(",ROUND((B478/$H478)*100,1),")")</f>
        <v>(52)</v>
      </c>
      <c r="D478" s="302">
        <f>SUM(D476:D477)</f>
        <v>48.02999999971513</v>
      </c>
      <c r="E478" s="299" t="str">
        <f>CONCATENATE("(",ROUND((D478/$H478)*100,1),")")</f>
        <v>(26.7)</v>
      </c>
      <c r="F478" s="302">
        <f>SUM(F476:F477)</f>
        <v>38.358000001092961</v>
      </c>
      <c r="G478" s="299" t="str">
        <f>CONCATENATE("(",ROUND((F478/$H478)*100,1),")")</f>
        <v>(21.3)</v>
      </c>
      <c r="H478" s="302">
        <f>SUM(H476:H477)</f>
        <v>179.80400000206782</v>
      </c>
      <c r="I478" s="299" t="str">
        <f>CONCATENATE("(",ROUND((H478/$H478)*100,1),")")</f>
        <v>(100)</v>
      </c>
      <c r="K478" s="302">
        <f t="shared" si="356"/>
        <v>5.6119999992531007</v>
      </c>
      <c r="L478" s="302">
        <f t="shared" si="357"/>
        <v>2.2109999999654875</v>
      </c>
      <c r="M478" s="302">
        <f t="shared" si="358"/>
        <v>3.1389999996011966</v>
      </c>
      <c r="N478" s="302">
        <f t="shared" si="359"/>
        <v>10.961999998819785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355</v>
      </c>
      <c r="B481" s="302">
        <f>'Ind T6'!V565</f>
        <v>45.066000000392577</v>
      </c>
      <c r="C481" s="299" t="str">
        <f>CONCATENATE("(",ROUND((B481/$H483)*100,1),")")</f>
        <v>(23.6)</v>
      </c>
      <c r="D481" s="302">
        <f>'Ind T6'!W565</f>
        <v>19.93899999986921</v>
      </c>
      <c r="E481" s="299" t="str">
        <f>CONCATENATE("(",ROUND((D481/$H483)*100,1),")")</f>
        <v>(10.5)</v>
      </c>
      <c r="F481" s="302">
        <f>'Ind T6'!X565</f>
        <v>22.341000000783197</v>
      </c>
      <c r="G481" s="299" t="str">
        <f>CONCATENATE("(",ROUND((F481/$H483)*100,1),")")</f>
        <v>(11.7)</v>
      </c>
      <c r="H481" s="302">
        <f>SUM(B481,D481,F481)</f>
        <v>87.346000001044985</v>
      </c>
      <c r="I481" s="299" t="str">
        <f>CONCATENATE("(",ROUND((H481/$H483)*100,1),")")</f>
        <v>(45.8)</v>
      </c>
      <c r="K481" s="302">
        <f>B481-B471</f>
        <v>10.320000000112799</v>
      </c>
      <c r="L481" s="302">
        <f>D481-D471</f>
        <v>3.2989999998732387</v>
      </c>
      <c r="M481" s="302">
        <f>F481-F471</f>
        <v>5.0210000002905772</v>
      </c>
      <c r="N481" s="302">
        <f>SUM(K481:M481)</f>
        <v>18.640000000276615</v>
      </c>
    </row>
    <row r="482" spans="1:14" x14ac:dyDescent="0.2">
      <c r="A482" s="282" t="s">
        <v>356</v>
      </c>
      <c r="B482" s="302">
        <f>'Ind T6'!V564</f>
        <v>53.962000000120256</v>
      </c>
      <c r="C482" s="299" t="str">
        <f>CONCATENATE("(",ROUND((B482/$H483)*100,1),")")</f>
        <v>(28.3)</v>
      </c>
      <c r="D482" s="302">
        <f>'Ind T6'!W564</f>
        <v>30.301999999811407</v>
      </c>
      <c r="E482" s="299" t="str">
        <f>CONCATENATE("(",ROUND((D482/$H483)*100,1),")")</f>
        <v>(15.9)</v>
      </c>
      <c r="F482" s="302">
        <f>'Ind T6'!X564</f>
        <v>19.155999999910961</v>
      </c>
      <c r="G482" s="299" t="str">
        <f>CONCATENATE("(",ROUND((F482/$H483)*100,1),")")</f>
        <v>(10)</v>
      </c>
      <c r="H482" s="302">
        <f t="shared" ref="H482" si="360">SUM(B482,D482,F482)</f>
        <v>103.41999999984262</v>
      </c>
      <c r="I482" s="299" t="str">
        <f>CONCATENATE("(",ROUND((H482/$H483)*100,1),")")</f>
        <v>(54.2)</v>
      </c>
      <c r="K482" s="302">
        <f t="shared" ref="K482:K483" si="361">B482-B472</f>
        <v>5.2760000000115497</v>
      </c>
      <c r="L482" s="302">
        <f t="shared" ref="L482:L483" si="362">D482-D472</f>
        <v>3.8059999999384928</v>
      </c>
      <c r="M482" s="302">
        <f t="shared" ref="M482:M483" si="363">F482-F472</f>
        <v>2.9690000001734447</v>
      </c>
      <c r="N482" s="302">
        <f t="shared" ref="N482:N483" si="364">SUM(K482:M482)</f>
        <v>12.051000000123487</v>
      </c>
    </row>
    <row r="483" spans="1:14" x14ac:dyDescent="0.2">
      <c r="A483" s="282" t="s">
        <v>354</v>
      </c>
      <c r="B483" s="302">
        <f>SUM(B481:B482)</f>
        <v>99.028000000512833</v>
      </c>
      <c r="C483" s="299" t="str">
        <f>CONCATENATE("(",ROUND((B483/$H483)*100,1),")")</f>
        <v>(51.9)</v>
      </c>
      <c r="D483" s="302">
        <f>SUM(D481:D482)</f>
        <v>50.240999999680618</v>
      </c>
      <c r="E483" s="299" t="str">
        <f>CONCATENATE("(",ROUND((D483/$H483)*100,1),")")</f>
        <v>(26.3)</v>
      </c>
      <c r="F483" s="302">
        <f>SUM(F481:F482)</f>
        <v>41.497000000694158</v>
      </c>
      <c r="G483" s="299" t="str">
        <f>CONCATENATE("(",ROUND((F483/$H483)*100,1),")")</f>
        <v>(21.8)</v>
      </c>
      <c r="H483" s="302">
        <f>SUM(H481:H482)</f>
        <v>190.7660000008876</v>
      </c>
      <c r="I483" s="299" t="str">
        <f>CONCATENATE("(",ROUND((H483/$H483)*100,1),")")</f>
        <v>(100)</v>
      </c>
      <c r="K483" s="302">
        <f t="shared" si="361"/>
        <v>15.596000000124349</v>
      </c>
      <c r="L483" s="302">
        <f t="shared" si="362"/>
        <v>7.1049999998117315</v>
      </c>
      <c r="M483" s="302">
        <f t="shared" si="363"/>
        <v>7.9900000004640219</v>
      </c>
      <c r="N483" s="302">
        <f t="shared" si="364"/>
        <v>30.691000000400102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1"/>
      <c r="B488" s="285"/>
      <c r="C488" s="181"/>
      <c r="D488" s="285"/>
      <c r="E488" s="181"/>
      <c r="F488" s="285"/>
      <c r="G488" s="181"/>
      <c r="I488" s="181"/>
    </row>
    <row r="489" spans="1:14" x14ac:dyDescent="0.2">
      <c r="N489" s="287"/>
    </row>
    <row r="490" spans="1:14" x14ac:dyDescent="0.2">
      <c r="A490" s="181"/>
      <c r="B490" s="369"/>
      <c r="C490" s="369"/>
      <c r="D490" s="369"/>
      <c r="E490" s="369"/>
      <c r="F490" s="369"/>
      <c r="G490" s="369"/>
      <c r="H490" s="369"/>
      <c r="I490" s="369"/>
      <c r="J490" s="181"/>
      <c r="K490" s="287"/>
      <c r="L490" s="287"/>
      <c r="M490" s="287"/>
      <c r="N490" s="287"/>
    </row>
    <row r="491" spans="1:14" x14ac:dyDescent="0.2">
      <c r="A491" s="292"/>
      <c r="B491" s="287"/>
      <c r="C491" s="19"/>
      <c r="D491" s="287"/>
      <c r="E491" s="19"/>
      <c r="F491" s="287"/>
      <c r="G491" s="19"/>
      <c r="H491" s="287"/>
      <c r="I491" s="19"/>
      <c r="J491" s="181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1"/>
      <c r="B509" s="285"/>
      <c r="C509" s="181"/>
      <c r="D509" s="285"/>
      <c r="E509" s="181"/>
      <c r="F509" s="285"/>
      <c r="G509" s="181"/>
      <c r="I509" s="181"/>
    </row>
    <row r="510" spans="1:14" x14ac:dyDescent="0.2">
      <c r="N510" s="287"/>
    </row>
    <row r="511" spans="1:14" x14ac:dyDescent="0.2">
      <c r="A511" s="181"/>
      <c r="B511" s="369"/>
      <c r="C511" s="369"/>
      <c r="D511" s="369"/>
      <c r="E511" s="369"/>
      <c r="F511" s="369"/>
      <c r="G511" s="369"/>
      <c r="H511" s="369"/>
      <c r="I511" s="369"/>
      <c r="J511" s="181"/>
      <c r="K511" s="287"/>
      <c r="L511" s="287"/>
      <c r="M511" s="287"/>
      <c r="N511" s="287"/>
    </row>
    <row r="512" spans="1:14" x14ac:dyDescent="0.2">
      <c r="A512" s="292"/>
      <c r="B512" s="287"/>
      <c r="C512" s="19"/>
      <c r="D512" s="287"/>
      <c r="E512" s="19"/>
      <c r="F512" s="287"/>
      <c r="G512" s="19"/>
      <c r="H512" s="287"/>
      <c r="I512" s="19"/>
      <c r="J512" s="181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1"/>
      <c r="B530" s="285"/>
      <c r="C530" s="181"/>
      <c r="D530" s="285"/>
      <c r="E530" s="181"/>
      <c r="F530" s="285"/>
      <c r="G530" s="181"/>
      <c r="H530" s="285"/>
      <c r="I530" s="181"/>
    </row>
    <row r="531" spans="1:14" x14ac:dyDescent="0.2">
      <c r="N531" s="287"/>
    </row>
    <row r="532" spans="1:14" x14ac:dyDescent="0.2">
      <c r="A532" s="181"/>
      <c r="B532" s="285"/>
      <c r="C532" s="181"/>
      <c r="D532" s="285"/>
      <c r="E532" s="181"/>
      <c r="F532" s="285"/>
      <c r="G532" s="181"/>
      <c r="H532" s="285"/>
      <c r="I532" s="181"/>
      <c r="J532" s="181"/>
      <c r="K532" s="287"/>
      <c r="L532" s="287"/>
      <c r="M532" s="287"/>
      <c r="N532" s="287"/>
    </row>
    <row r="533" spans="1:14" x14ac:dyDescent="0.2">
      <c r="A533" s="292"/>
      <c r="B533" s="287"/>
      <c r="C533" s="19"/>
      <c r="D533" s="287"/>
      <c r="E533" s="19"/>
      <c r="F533" s="287"/>
      <c r="G533" s="19"/>
      <c r="H533" s="287"/>
      <c r="I533" s="19"/>
      <c r="J533" s="181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1"/>
      <c r="E557" s="181"/>
      <c r="G557" s="181"/>
      <c r="I557" s="181"/>
    </row>
    <row r="558" spans="1:9" x14ac:dyDescent="0.2">
      <c r="A558" s="181"/>
      <c r="B558" s="285"/>
      <c r="C558" s="181"/>
      <c r="D558" s="285"/>
      <c r="E558" s="181"/>
      <c r="F558" s="285"/>
      <c r="G558" s="181"/>
      <c r="H558" s="285"/>
      <c r="I558" s="181"/>
    </row>
    <row r="559" spans="1:9" x14ac:dyDescent="0.2">
      <c r="A559" s="181"/>
      <c r="B559" s="285"/>
      <c r="C559" s="181"/>
      <c r="D559" s="285"/>
      <c r="E559" s="181"/>
      <c r="F559" s="285"/>
      <c r="G559" s="181"/>
      <c r="H559" s="285"/>
      <c r="I559" s="181"/>
    </row>
    <row r="560" spans="1:9" x14ac:dyDescent="0.2">
      <c r="A560" s="181"/>
      <c r="B560" s="285"/>
      <c r="C560" s="181"/>
      <c r="D560" s="285"/>
      <c r="E560" s="181"/>
      <c r="F560" s="285"/>
      <c r="G560" s="181"/>
      <c r="H560" s="285"/>
      <c r="I560" s="181"/>
    </row>
    <row r="561" spans="1:9" x14ac:dyDescent="0.2">
      <c r="A561" s="181"/>
      <c r="B561" s="285"/>
      <c r="C561" s="181"/>
      <c r="D561" s="285"/>
      <c r="E561" s="181"/>
      <c r="F561" s="285"/>
      <c r="G561" s="181"/>
      <c r="H561" s="285"/>
      <c r="I561" s="181"/>
    </row>
    <row r="562" spans="1:9" x14ac:dyDescent="0.2">
      <c r="A562" s="181"/>
      <c r="B562" s="285"/>
      <c r="C562" s="181"/>
      <c r="D562" s="285"/>
      <c r="E562" s="181"/>
      <c r="F562" s="285"/>
      <c r="G562" s="181"/>
      <c r="H562" s="285"/>
      <c r="I562" s="181"/>
    </row>
    <row r="563" spans="1:9" x14ac:dyDescent="0.2">
      <c r="A563" s="181"/>
      <c r="B563" s="285"/>
      <c r="C563" s="181"/>
      <c r="D563" s="285"/>
      <c r="E563" s="181"/>
      <c r="F563" s="285"/>
      <c r="G563" s="181"/>
      <c r="H563" s="285"/>
      <c r="I563" s="181"/>
    </row>
    <row r="564" spans="1:9" x14ac:dyDescent="0.2">
      <c r="A564" s="181"/>
      <c r="B564" s="285"/>
      <c r="C564" s="181"/>
      <c r="D564" s="285"/>
      <c r="E564" s="181"/>
      <c r="F564" s="285"/>
      <c r="G564" s="181"/>
      <c r="H564" s="285"/>
      <c r="I564" s="181"/>
    </row>
    <row r="565" spans="1:9" x14ac:dyDescent="0.2">
      <c r="A565" s="181"/>
      <c r="B565" s="285"/>
      <c r="C565" s="181"/>
      <c r="D565" s="285"/>
      <c r="E565" s="181"/>
      <c r="F565" s="285"/>
      <c r="G565" s="181"/>
      <c r="H565" s="285"/>
      <c r="I565" s="181"/>
    </row>
    <row r="566" spans="1:9" x14ac:dyDescent="0.2">
      <c r="A566" s="181"/>
      <c r="B566" s="285"/>
      <c r="C566" s="181"/>
      <c r="D566" s="285"/>
      <c r="E566" s="181"/>
      <c r="F566" s="285"/>
      <c r="G566" s="181"/>
      <c r="H566" s="285"/>
      <c r="I566" s="181"/>
    </row>
    <row r="567" spans="1:9" x14ac:dyDescent="0.2">
      <c r="A567" s="181"/>
      <c r="B567" s="285"/>
      <c r="C567" s="181"/>
      <c r="D567" s="285"/>
      <c r="E567" s="181"/>
      <c r="F567" s="285"/>
      <c r="G567" s="181"/>
      <c r="H567" s="285"/>
      <c r="I567" s="181"/>
    </row>
    <row r="568" spans="1:9" x14ac:dyDescent="0.2">
      <c r="A568" s="181"/>
      <c r="B568" s="285"/>
      <c r="C568" s="181"/>
      <c r="D568" s="285"/>
      <c r="E568" s="181"/>
      <c r="F568" s="285"/>
      <c r="G568" s="181"/>
      <c r="H568" s="285"/>
      <c r="I568" s="181"/>
    </row>
    <row r="569" spans="1:9" x14ac:dyDescent="0.2">
      <c r="A569" s="181"/>
      <c r="B569" s="285"/>
      <c r="C569" s="181"/>
      <c r="D569" s="285"/>
      <c r="E569" s="181"/>
      <c r="F569" s="285"/>
      <c r="G569" s="181"/>
      <c r="H569" s="285"/>
      <c r="I569" s="181"/>
    </row>
    <row r="570" spans="1:9" x14ac:dyDescent="0.2">
      <c r="A570" s="181"/>
      <c r="B570" s="285"/>
      <c r="C570" s="181"/>
      <c r="D570" s="285"/>
      <c r="E570" s="181"/>
      <c r="F570" s="285"/>
      <c r="G570" s="181"/>
      <c r="H570" s="285"/>
      <c r="I570" s="181"/>
    </row>
    <row r="571" spans="1:9" x14ac:dyDescent="0.2">
      <c r="A571" s="181"/>
      <c r="B571" s="285"/>
      <c r="C571" s="181"/>
      <c r="D571" s="285"/>
      <c r="E571" s="181"/>
      <c r="F571" s="285"/>
      <c r="G571" s="181"/>
      <c r="H571" s="285"/>
      <c r="I571" s="181"/>
    </row>
    <row r="572" spans="1:9" x14ac:dyDescent="0.2">
      <c r="A572" s="181"/>
      <c r="B572" s="285"/>
      <c r="C572" s="181"/>
      <c r="D572" s="285"/>
      <c r="E572" s="181"/>
      <c r="F572" s="285"/>
      <c r="G572" s="181"/>
      <c r="H572" s="285"/>
      <c r="I572" s="181"/>
    </row>
    <row r="573" spans="1:9" x14ac:dyDescent="0.2">
      <c r="A573" s="181"/>
      <c r="B573" s="285"/>
      <c r="C573" s="181"/>
      <c r="D573" s="285"/>
      <c r="E573" s="181"/>
      <c r="F573" s="285"/>
      <c r="G573" s="181"/>
      <c r="H573" s="285"/>
      <c r="I573" s="181"/>
    </row>
    <row r="574" spans="1:9" x14ac:dyDescent="0.2">
      <c r="A574" s="181"/>
      <c r="B574" s="285"/>
      <c r="C574" s="181"/>
      <c r="D574" s="285"/>
      <c r="E574" s="181"/>
      <c r="F574" s="285"/>
      <c r="G574" s="181"/>
      <c r="H574" s="285"/>
      <c r="I574" s="181"/>
    </row>
    <row r="575" spans="1:9" x14ac:dyDescent="0.2">
      <c r="A575" s="181"/>
      <c r="B575" s="285"/>
      <c r="C575" s="181"/>
      <c r="D575" s="285"/>
      <c r="E575" s="181"/>
      <c r="F575" s="285"/>
      <c r="G575" s="181"/>
      <c r="H575" s="285"/>
      <c r="I575" s="181"/>
    </row>
    <row r="576" spans="1:9" x14ac:dyDescent="0.2">
      <c r="A576" s="181"/>
      <c r="B576" s="285"/>
      <c r="C576" s="181"/>
      <c r="D576" s="285"/>
      <c r="E576" s="181"/>
      <c r="F576" s="285"/>
      <c r="G576" s="181"/>
      <c r="H576" s="285"/>
      <c r="I576" s="181"/>
    </row>
    <row r="577" spans="1:8" x14ac:dyDescent="0.2">
      <c r="A577" s="181"/>
      <c r="B577" s="285"/>
      <c r="D577" s="285"/>
      <c r="F577" s="285"/>
      <c r="H577" s="285"/>
    </row>
  </sheetData>
  <mergeCells count="100">
    <mergeCell ref="B490:C490"/>
    <mergeCell ref="D490:E490"/>
    <mergeCell ref="F490:G490"/>
    <mergeCell ref="H490:I490"/>
    <mergeCell ref="B511:C511"/>
    <mergeCell ref="D511:E511"/>
    <mergeCell ref="F511:G511"/>
    <mergeCell ref="H511:I511"/>
    <mergeCell ref="B7:C7"/>
    <mergeCell ref="D7:E7"/>
    <mergeCell ref="F7:G7"/>
    <mergeCell ref="H7:I7"/>
    <mergeCell ref="B28:C28"/>
    <mergeCell ref="D28:E28"/>
    <mergeCell ref="F28:G28"/>
    <mergeCell ref="H28:I28"/>
    <mergeCell ref="B49:C49"/>
    <mergeCell ref="D49:E49"/>
    <mergeCell ref="F49:G49"/>
    <mergeCell ref="H49:I49"/>
    <mergeCell ref="B70:C70"/>
    <mergeCell ref="D70:E70"/>
    <mergeCell ref="F70:G70"/>
    <mergeCell ref="H70:I70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9:I484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8"/>
  <dimension ref="A1:Y1061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40.71093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8" t="str">
        <f>CONCATENATE("Industry Table 6  Employment status by Industry (SIC 2007) and Gender, ",B$5,"-",V$5,", ",Info!B5)</f>
        <v>Industry Table 6  Employment status by Industry (SIC 2007) and Gender, 2015-2035, London</v>
      </c>
    </row>
    <row r="2" spans="1:25" x14ac:dyDescent="0.2">
      <c r="A2" s="1" t="s">
        <v>533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35</v>
      </c>
    </row>
    <row r="5" spans="1:25" ht="15" x14ac:dyDescent="0.25">
      <c r="A5" s="265" t="str">
        <f>"Industry 1 : "&amp; name!B4</f>
        <v>Industry 1 : Agriculture</v>
      </c>
      <c r="B5" s="371">
        <v>2015</v>
      </c>
      <c r="C5" s="371"/>
      <c r="D5" s="371"/>
      <c r="E5" s="371"/>
      <c r="F5" s="317"/>
      <c r="G5" s="371">
        <v>2019</v>
      </c>
      <c r="H5" s="371"/>
      <c r="I5" s="371"/>
      <c r="J5" s="371"/>
      <c r="K5" s="318"/>
      <c r="L5" s="371">
        <v>2020</v>
      </c>
      <c r="M5" s="371"/>
      <c r="N5" s="371"/>
      <c r="O5" s="371"/>
      <c r="P5" s="318"/>
      <c r="Q5" s="371">
        <v>2025</v>
      </c>
      <c r="R5" s="371"/>
      <c r="S5" s="371"/>
      <c r="T5" s="371"/>
      <c r="U5" s="317"/>
      <c r="V5" s="371">
        <v>2035</v>
      </c>
      <c r="W5" s="371"/>
      <c r="X5" s="371"/>
      <c r="Y5" s="371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32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32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32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32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32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1" t="str">
        <f>name!A4</f>
        <v>Agriculture, etc</v>
      </c>
      <c r="C8" s="263"/>
    </row>
    <row r="9" spans="1:25" x14ac:dyDescent="0.2">
      <c r="A9" s="260" t="s">
        <v>356</v>
      </c>
      <c r="B9" s="300">
        <v>0.55699999999242766</v>
      </c>
      <c r="C9" s="300">
        <v>0.47000000000004777</v>
      </c>
      <c r="D9" s="300">
        <v>0</v>
      </c>
      <c r="E9" s="300">
        <f>SUM(B9:D9)</f>
        <v>1.0269999999924755</v>
      </c>
      <c r="F9" s="300"/>
      <c r="G9" s="300">
        <v>0.81999999998715245</v>
      </c>
      <c r="H9" s="300">
        <v>0.39300000000071417</v>
      </c>
      <c r="I9" s="300">
        <v>0.91300000001562853</v>
      </c>
      <c r="J9" s="300">
        <f>SUM(G9:I9)</f>
        <v>2.1260000000034953</v>
      </c>
      <c r="K9" s="300"/>
      <c r="L9" s="300">
        <v>0.46999999999827446</v>
      </c>
      <c r="M9" s="300">
        <v>1.0999999999936732E-2</v>
      </c>
      <c r="N9" s="300">
        <v>9.9999999998271892E-4</v>
      </c>
      <c r="O9" s="300">
        <f>SUM(L9:N9)</f>
        <v>0.48199999999819393</v>
      </c>
      <c r="P9" s="300"/>
      <c r="Q9" s="300">
        <v>0.47800000001178877</v>
      </c>
      <c r="R9" s="300">
        <v>1.0999999999897167E-2</v>
      </c>
      <c r="S9" s="300">
        <v>9.9999999998874709E-4</v>
      </c>
      <c r="T9" s="300">
        <f>SUM(Q9:S9)</f>
        <v>0.49000000001167465</v>
      </c>
      <c r="U9" s="300"/>
      <c r="V9" s="300">
        <v>0.46999999999800612</v>
      </c>
      <c r="W9" s="300">
        <v>9.9999999999155331E-3</v>
      </c>
      <c r="X9" s="300">
        <v>9.9999999998811825E-4</v>
      </c>
      <c r="Y9" s="300">
        <f>SUM(V9:X9)</f>
        <v>0.48099999999790977</v>
      </c>
    </row>
    <row r="10" spans="1:25" x14ac:dyDescent="0.2">
      <c r="A10" s="260" t="s">
        <v>355</v>
      </c>
      <c r="B10" s="300">
        <v>0.66299999998669334</v>
      </c>
      <c r="C10" s="300">
        <v>5.0000000001669195E-3</v>
      </c>
      <c r="D10" s="300">
        <v>1.0000000000101445E-3</v>
      </c>
      <c r="E10" s="300">
        <f t="shared" ref="E10:E11" si="0">SUM(B10:D10)</f>
        <v>0.66899999998687032</v>
      </c>
      <c r="F10" s="300"/>
      <c r="G10" s="300">
        <v>0.96699999998725095</v>
      </c>
      <c r="H10" s="300">
        <v>0.59600000001715758</v>
      </c>
      <c r="I10" s="300">
        <v>0.86399999999321642</v>
      </c>
      <c r="J10" s="300">
        <f t="shared" ref="J10:J11" si="1">SUM(G10:I10)</f>
        <v>2.4269999999976251</v>
      </c>
      <c r="K10" s="300"/>
      <c r="L10" s="300">
        <v>0.546000000004361</v>
      </c>
      <c r="M10" s="300">
        <v>6.9999999998449003E-3</v>
      </c>
      <c r="N10" s="300">
        <v>0</v>
      </c>
      <c r="O10" s="300">
        <f t="shared" ref="O10:O11" si="2">SUM(L10:N10)</f>
        <v>0.5530000000042059</v>
      </c>
      <c r="P10" s="300"/>
      <c r="Q10" s="300">
        <v>0.57400000000581963</v>
      </c>
      <c r="R10" s="300">
        <v>6.9999999997951753E-3</v>
      </c>
      <c r="S10" s="300">
        <v>0</v>
      </c>
      <c r="T10" s="300">
        <f t="shared" ref="T10:T11" si="3">SUM(Q10:S10)</f>
        <v>0.5810000000056148</v>
      </c>
      <c r="U10" s="300"/>
      <c r="V10" s="300">
        <v>0.61300000000676835</v>
      </c>
      <c r="W10" s="300">
        <v>6.9999999996541405E-3</v>
      </c>
      <c r="X10" s="300">
        <v>0</v>
      </c>
      <c r="Y10" s="300">
        <f t="shared" ref="Y10:Y11" si="4">SUM(V10:X10)</f>
        <v>0.62000000000642252</v>
      </c>
    </row>
    <row r="11" spans="1:25" x14ac:dyDescent="0.2">
      <c r="A11" s="264" t="s">
        <v>354</v>
      </c>
      <c r="B11" s="301">
        <f>SUM(B9:B10)</f>
        <v>1.2199999999791209</v>
      </c>
      <c r="C11" s="301">
        <f t="shared" ref="C11:D11" si="5">SUM(C9:C10)</f>
        <v>0.47500000000021469</v>
      </c>
      <c r="D11" s="301">
        <f t="shared" si="5"/>
        <v>1.0000000000101445E-3</v>
      </c>
      <c r="E11" s="301">
        <f t="shared" si="0"/>
        <v>1.6959999999793456</v>
      </c>
      <c r="F11" s="301"/>
      <c r="G11" s="301">
        <f>SUM(G9:G10)</f>
        <v>1.7869999999744035</v>
      </c>
      <c r="H11" s="301">
        <f t="shared" ref="H11" si="6">SUM(H9:H10)</f>
        <v>0.98900000001787181</v>
      </c>
      <c r="I11" s="301">
        <f t="shared" ref="I11" si="7">SUM(I9:I10)</f>
        <v>1.7770000000088451</v>
      </c>
      <c r="J11" s="301">
        <f t="shared" si="1"/>
        <v>4.5530000000011199</v>
      </c>
      <c r="K11" s="301"/>
      <c r="L11" s="301">
        <f>SUM(L9:L10)</f>
        <v>1.0160000000026355</v>
      </c>
      <c r="M11" s="301">
        <f t="shared" ref="M11" si="8">SUM(M9:M10)</f>
        <v>1.7999999999781632E-2</v>
      </c>
      <c r="N11" s="301">
        <f t="shared" ref="N11" si="9">SUM(N9:N10)</f>
        <v>9.9999999998271892E-4</v>
      </c>
      <c r="O11" s="301">
        <f t="shared" si="2"/>
        <v>1.0350000000023998</v>
      </c>
      <c r="P11" s="301"/>
      <c r="Q11" s="301">
        <f>SUM(Q9:Q10)</f>
        <v>1.0520000000176084</v>
      </c>
      <c r="R11" s="301">
        <f t="shared" ref="R11" si="10">SUM(R9:R10)</f>
        <v>1.7999999999692342E-2</v>
      </c>
      <c r="S11" s="301">
        <f t="shared" ref="S11" si="11">SUM(S9:S10)</f>
        <v>9.9999999998874709E-4</v>
      </c>
      <c r="T11" s="301">
        <f t="shared" si="3"/>
        <v>1.0710000000172895</v>
      </c>
      <c r="U11" s="301"/>
      <c r="V11" s="301">
        <f>SUM(V9:V10)</f>
        <v>1.0830000000047746</v>
      </c>
      <c r="W11" s="301">
        <f t="shared" ref="W11" si="12">SUM(W9:W10)</f>
        <v>1.6999999999569672E-2</v>
      </c>
      <c r="X11" s="301">
        <f t="shared" ref="X11" si="13">SUM(X9:X10)</f>
        <v>9.9999999998811825E-4</v>
      </c>
      <c r="Y11" s="301">
        <f t="shared" si="4"/>
        <v>1.1010000000043323</v>
      </c>
    </row>
    <row r="13" spans="1:25" x14ac:dyDescent="0.2">
      <c r="A13" s="261"/>
    </row>
    <row r="14" spans="1:25" x14ac:dyDescent="0.2">
      <c r="C14" s="263"/>
    </row>
    <row r="15" spans="1:25" ht="15" x14ac:dyDescent="0.25">
      <c r="A15" s="265" t="str">
        <f>"Industry 2 : "&amp; name!B5</f>
        <v>Industry 2 : Mining and quarrying</v>
      </c>
      <c r="B15" s="371">
        <f>$B$5</f>
        <v>2015</v>
      </c>
      <c r="C15" s="371"/>
      <c r="D15" s="371"/>
      <c r="E15" s="371"/>
      <c r="F15" s="320"/>
      <c r="G15" s="371">
        <f>$G$5</f>
        <v>2019</v>
      </c>
      <c r="H15" s="371"/>
      <c r="I15" s="371"/>
      <c r="J15" s="371"/>
      <c r="K15" s="320"/>
      <c r="L15" s="371">
        <f>$L$5</f>
        <v>2020</v>
      </c>
      <c r="M15" s="371"/>
      <c r="N15" s="371"/>
      <c r="O15" s="371"/>
      <c r="P15" s="318"/>
      <c r="Q15" s="371">
        <f>$Q$5</f>
        <v>2025</v>
      </c>
      <c r="R15" s="371"/>
      <c r="S15" s="371"/>
      <c r="T15" s="371"/>
      <c r="U15" s="320"/>
      <c r="V15" s="371">
        <f>$V$5</f>
        <v>2035</v>
      </c>
      <c r="W15" s="371"/>
      <c r="X15" s="371"/>
      <c r="Y15" s="371"/>
    </row>
    <row r="16" spans="1:25" x14ac:dyDescent="0.2">
      <c r="A16" s="264"/>
      <c r="B16" s="268" t="str">
        <f>$B$6</f>
        <v>FT</v>
      </c>
      <c r="C16" s="268" t="str">
        <f>$C$6</f>
        <v>PT</v>
      </c>
      <c r="D16" s="268" t="str">
        <f>$D$6</f>
        <v>SE</v>
      </c>
      <c r="E16" s="268" t="str">
        <f>$E$6</f>
        <v>Total</v>
      </c>
      <c r="F16" s="268"/>
      <c r="G16" s="268" t="str">
        <f>$B$6</f>
        <v>FT</v>
      </c>
      <c r="H16" s="268" t="str">
        <f>$C$6</f>
        <v>PT</v>
      </c>
      <c r="I16" s="268" t="str">
        <f>$D$6</f>
        <v>SE</v>
      </c>
      <c r="J16" s="268" t="str">
        <f>$E$6</f>
        <v>Total</v>
      </c>
      <c r="K16" s="268"/>
      <c r="L16" s="268" t="str">
        <f>$L$6</f>
        <v>FT</v>
      </c>
      <c r="M16" s="268" t="str">
        <f>$M$6</f>
        <v>PT</v>
      </c>
      <c r="N16" s="268" t="str">
        <f>$N$6</f>
        <v>SE</v>
      </c>
      <c r="O16" s="268" t="str">
        <f>$O$6</f>
        <v>Total</v>
      </c>
      <c r="P16" s="268"/>
      <c r="Q16" s="268" t="str">
        <f>$L$6</f>
        <v>FT</v>
      </c>
      <c r="R16" s="268" t="str">
        <f>$M$6</f>
        <v>PT</v>
      </c>
      <c r="S16" s="268" t="str">
        <f>$N$6</f>
        <v>SE</v>
      </c>
      <c r="T16" s="268" t="str">
        <f>$O$6</f>
        <v>Total</v>
      </c>
      <c r="U16" s="268"/>
      <c r="V16" s="268" t="str">
        <f>$V$6</f>
        <v>FT</v>
      </c>
      <c r="W16" s="268" t="str">
        <f>$W$6</f>
        <v>PT</v>
      </c>
      <c r="X16" s="268" t="str">
        <f>$X$6</f>
        <v>SE</v>
      </c>
      <c r="Y16" s="268" t="str">
        <f>$Y$6</f>
        <v>Total</v>
      </c>
    </row>
    <row r="17" spans="1:25" x14ac:dyDescent="0.2"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  <c r="V17" s="319"/>
      <c r="W17" s="319"/>
      <c r="X17" s="319"/>
      <c r="Y17" s="319"/>
    </row>
    <row r="18" spans="1:25" x14ac:dyDescent="0.2">
      <c r="A18" s="261" t="str">
        <f>name!A5</f>
        <v>Coal, oil &amp; gas; Mining &amp; related</v>
      </c>
      <c r="C18" s="263"/>
    </row>
    <row r="19" spans="1:25" x14ac:dyDescent="0.2">
      <c r="A19" s="260" t="s">
        <v>356</v>
      </c>
      <c r="B19" s="300">
        <v>0.79799999999282833</v>
      </c>
      <c r="C19" s="300">
        <v>6.5000000000131355E-2</v>
      </c>
      <c r="D19" s="300">
        <v>1.0000000000104168E-3</v>
      </c>
      <c r="E19" s="300">
        <f>SUM(B19:D19)</f>
        <v>0.86399999999297017</v>
      </c>
      <c r="F19" s="300"/>
      <c r="G19" s="300">
        <v>0.58599999999427954</v>
      </c>
      <c r="H19" s="300">
        <v>0.10700000000036218</v>
      </c>
      <c r="I19" s="300">
        <v>1.0000000000109962E-3</v>
      </c>
      <c r="J19" s="300">
        <f>SUM(G19:I19)</f>
        <v>0.69399999999465267</v>
      </c>
      <c r="K19" s="300"/>
      <c r="L19" s="300">
        <v>0.57799999999829199</v>
      </c>
      <c r="M19" s="300">
        <v>8.9000000000210258E-2</v>
      </c>
      <c r="N19" s="300">
        <v>0</v>
      </c>
      <c r="O19" s="300">
        <f>SUM(L19:N19)</f>
        <v>0.66699999999850224</v>
      </c>
      <c r="P19" s="300"/>
      <c r="Q19" s="300">
        <v>0.46600000000714448</v>
      </c>
      <c r="R19" s="300">
        <v>7.3000000000233572E-2</v>
      </c>
      <c r="S19" s="300">
        <v>0</v>
      </c>
      <c r="T19" s="300">
        <f>SUM(Q19:S19)</f>
        <v>0.53900000000737802</v>
      </c>
      <c r="U19" s="300"/>
      <c r="V19" s="300">
        <v>0.33599999999976293</v>
      </c>
      <c r="W19" s="300">
        <v>5.6999999999857408E-2</v>
      </c>
      <c r="X19" s="300">
        <v>0</v>
      </c>
      <c r="Y19" s="300">
        <f>SUM(V19:X19)</f>
        <v>0.39299999999962032</v>
      </c>
    </row>
    <row r="20" spans="1:25" x14ac:dyDescent="0.2">
      <c r="A20" s="260" t="s">
        <v>355</v>
      </c>
      <c r="B20" s="300">
        <v>2.3719999999651584</v>
      </c>
      <c r="C20" s="300">
        <v>2.2000000000475282E-2</v>
      </c>
      <c r="D20" s="300">
        <v>1.0040000000168174</v>
      </c>
      <c r="E20" s="300">
        <f t="shared" ref="E20:E21" si="14">SUM(B20:D20)</f>
        <v>3.3979999999824511</v>
      </c>
      <c r="F20" s="300"/>
      <c r="G20" s="300">
        <v>1.4709999999847894</v>
      </c>
      <c r="H20" s="300">
        <v>7.7999999999109906E-2</v>
      </c>
      <c r="I20" s="300">
        <v>0</v>
      </c>
      <c r="J20" s="300">
        <f t="shared" ref="J20:J21" si="15">SUM(G20:I20)</f>
        <v>1.5489999999838993</v>
      </c>
      <c r="K20" s="300"/>
      <c r="L20" s="300">
        <v>1.7420000000101918</v>
      </c>
      <c r="M20" s="300">
        <v>0.29400000000247994</v>
      </c>
      <c r="N20" s="300">
        <v>0</v>
      </c>
      <c r="O20" s="300">
        <f t="shared" ref="O20:O21" si="16">SUM(L20:N20)</f>
        <v>2.0360000000126717</v>
      </c>
      <c r="P20" s="300"/>
      <c r="Q20" s="300">
        <v>1.4090000000137024</v>
      </c>
      <c r="R20" s="300">
        <v>0.24800000000262018</v>
      </c>
      <c r="S20" s="300">
        <v>0</v>
      </c>
      <c r="T20" s="300">
        <f t="shared" ref="T20:T21" si="17">SUM(Q20:S20)</f>
        <v>1.6570000000163225</v>
      </c>
      <c r="U20" s="300"/>
      <c r="V20" s="300">
        <v>1.0540000000139702</v>
      </c>
      <c r="W20" s="300">
        <v>0.1970000000026273</v>
      </c>
      <c r="X20" s="300">
        <v>0</v>
      </c>
      <c r="Y20" s="300">
        <f t="shared" ref="Y20:Y21" si="18">SUM(V20:X20)</f>
        <v>1.2510000000165975</v>
      </c>
    </row>
    <row r="21" spans="1:25" x14ac:dyDescent="0.2">
      <c r="A21" s="264" t="s">
        <v>354</v>
      </c>
      <c r="B21" s="301">
        <f>SUM(B19:B20)</f>
        <v>3.1699999999579869</v>
      </c>
      <c r="C21" s="301">
        <f t="shared" ref="C21" si="19">SUM(C19:C20)</f>
        <v>8.7000000000606634E-2</v>
      </c>
      <c r="D21" s="301">
        <f t="shared" ref="D21" si="20">SUM(D19:D20)</f>
        <v>1.0050000000168278</v>
      </c>
      <c r="E21" s="301">
        <f t="shared" si="14"/>
        <v>4.261999999975421</v>
      </c>
      <c r="F21" s="301"/>
      <c r="G21" s="301">
        <f>SUM(G19:G20)</f>
        <v>2.0569999999790687</v>
      </c>
      <c r="H21" s="301">
        <f t="shared" ref="H21" si="21">SUM(H19:H20)</f>
        <v>0.18499999999947209</v>
      </c>
      <c r="I21" s="301">
        <f t="shared" ref="I21" si="22">SUM(I19:I20)</f>
        <v>1.0000000000109962E-3</v>
      </c>
      <c r="J21" s="301">
        <f t="shared" si="15"/>
        <v>2.2429999999785517</v>
      </c>
      <c r="K21" s="301"/>
      <c r="L21" s="301">
        <f>SUM(L19:L20)</f>
        <v>2.3200000000084837</v>
      </c>
      <c r="M21" s="301">
        <f t="shared" ref="M21" si="23">SUM(M19:M20)</f>
        <v>0.38300000000269019</v>
      </c>
      <c r="N21" s="301">
        <f t="shared" ref="N21" si="24">SUM(N19:N20)</f>
        <v>0</v>
      </c>
      <c r="O21" s="301">
        <f t="shared" si="16"/>
        <v>2.703000000011174</v>
      </c>
      <c r="P21" s="301"/>
      <c r="Q21" s="301">
        <f>SUM(Q19:Q20)</f>
        <v>1.8750000000208469</v>
      </c>
      <c r="R21" s="301">
        <f t="shared" ref="R21" si="25">SUM(R19:R20)</f>
        <v>0.32100000000285378</v>
      </c>
      <c r="S21" s="301">
        <f t="shared" ref="S21" si="26">SUM(S19:S20)</f>
        <v>0</v>
      </c>
      <c r="T21" s="301">
        <f t="shared" si="17"/>
        <v>2.1960000000237008</v>
      </c>
      <c r="U21" s="301"/>
      <c r="V21" s="301">
        <f>SUM(V19:V20)</f>
        <v>1.3900000000137331</v>
      </c>
      <c r="W21" s="301">
        <f t="shared" ref="W21" si="27">SUM(W19:W20)</f>
        <v>0.25400000000248468</v>
      </c>
      <c r="X21" s="301">
        <f t="shared" ref="X21" si="28">SUM(X19:X20)</f>
        <v>0</v>
      </c>
      <c r="Y21" s="301">
        <f t="shared" si="18"/>
        <v>1.6440000000162178</v>
      </c>
    </row>
    <row r="22" spans="1:25" x14ac:dyDescent="0.2">
      <c r="A22" s="262"/>
    </row>
    <row r="23" spans="1:25" x14ac:dyDescent="0.2">
      <c r="A23" s="262"/>
    </row>
    <row r="24" spans="1:25" x14ac:dyDescent="0.2">
      <c r="A24" s="262"/>
    </row>
    <row r="25" spans="1:25" ht="15" x14ac:dyDescent="0.25">
      <c r="A25" s="265" t="str">
        <f>"Industry 3 : "&amp; name!B6</f>
        <v>Industry 3 : Food drink and tobacco</v>
      </c>
      <c r="B25" s="371">
        <f>$B$5</f>
        <v>2015</v>
      </c>
      <c r="C25" s="371"/>
      <c r="D25" s="371"/>
      <c r="E25" s="371"/>
      <c r="F25" s="320"/>
      <c r="G25" s="371">
        <f>$G$5</f>
        <v>2019</v>
      </c>
      <c r="H25" s="371"/>
      <c r="I25" s="371"/>
      <c r="J25" s="371"/>
      <c r="K25" s="320"/>
      <c r="L25" s="371">
        <f>$L$5</f>
        <v>2020</v>
      </c>
      <c r="M25" s="371"/>
      <c r="N25" s="371"/>
      <c r="O25" s="371"/>
      <c r="P25" s="318"/>
      <c r="Q25" s="371">
        <f>$Q$5</f>
        <v>2025</v>
      </c>
      <c r="R25" s="371"/>
      <c r="S25" s="371"/>
      <c r="T25" s="371"/>
      <c r="U25" s="320"/>
      <c r="V25" s="371">
        <f>$V$5</f>
        <v>2035</v>
      </c>
      <c r="W25" s="371"/>
      <c r="X25" s="371"/>
      <c r="Y25" s="371"/>
    </row>
    <row r="26" spans="1:25" x14ac:dyDescent="0.2">
      <c r="A26" s="264"/>
      <c r="B26" s="268" t="str">
        <f>$B$6</f>
        <v>FT</v>
      </c>
      <c r="C26" s="268" t="str">
        <f>$C$6</f>
        <v>PT</v>
      </c>
      <c r="D26" s="268" t="str">
        <f>$D$6</f>
        <v>SE</v>
      </c>
      <c r="E26" s="268" t="str">
        <f>$E$6</f>
        <v>Total</v>
      </c>
      <c r="F26" s="268"/>
      <c r="G26" s="268" t="str">
        <f>$B$6</f>
        <v>FT</v>
      </c>
      <c r="H26" s="268" t="str">
        <f>$C$6</f>
        <v>PT</v>
      </c>
      <c r="I26" s="268" t="str">
        <f>$D$6</f>
        <v>SE</v>
      </c>
      <c r="J26" s="268" t="str">
        <f>$E$6</f>
        <v>Total</v>
      </c>
      <c r="K26" s="268"/>
      <c r="L26" s="268" t="str">
        <f>$L$6</f>
        <v>FT</v>
      </c>
      <c r="M26" s="268" t="str">
        <f>$M$6</f>
        <v>PT</v>
      </c>
      <c r="N26" s="268" t="str">
        <f>$N$6</f>
        <v>SE</v>
      </c>
      <c r="O26" s="268" t="str">
        <f>$O$6</f>
        <v>Total</v>
      </c>
      <c r="P26" s="268"/>
      <c r="Q26" s="268" t="str">
        <f>$L$6</f>
        <v>FT</v>
      </c>
      <c r="R26" s="268" t="str">
        <f>$M$6</f>
        <v>PT</v>
      </c>
      <c r="S26" s="268" t="str">
        <f>$N$6</f>
        <v>SE</v>
      </c>
      <c r="T26" s="268" t="str">
        <f>$O$6</f>
        <v>Total</v>
      </c>
      <c r="U26" s="268"/>
      <c r="V26" s="268" t="str">
        <f>$V$6</f>
        <v>FT</v>
      </c>
      <c r="W26" s="268" t="str">
        <f>$W$6</f>
        <v>PT</v>
      </c>
      <c r="X26" s="268" t="str">
        <f>$X$6</f>
        <v>SE</v>
      </c>
      <c r="Y26" s="268" t="str">
        <f>$Y$6</f>
        <v>Total</v>
      </c>
    </row>
    <row r="27" spans="1:25" x14ac:dyDescent="0.2"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  <c r="V27" s="319"/>
      <c r="W27" s="319"/>
      <c r="X27" s="319"/>
      <c r="Y27" s="319"/>
    </row>
    <row r="28" spans="1:25" x14ac:dyDescent="0.2">
      <c r="A28" s="261" t="str">
        <f>name!A6</f>
        <v>Food products</v>
      </c>
      <c r="C28" s="263"/>
    </row>
    <row r="29" spans="1:25" x14ac:dyDescent="0.2">
      <c r="A29" s="260" t="s">
        <v>356</v>
      </c>
      <c r="B29" s="300">
        <v>6.8220000000001413</v>
      </c>
      <c r="C29" s="300">
        <v>2.688000000092742</v>
      </c>
      <c r="D29" s="300">
        <v>0.48800000001763177</v>
      </c>
      <c r="E29" s="300">
        <f>SUM(B29:D29)</f>
        <v>9.9980000001105154</v>
      </c>
      <c r="F29" s="300"/>
      <c r="G29" s="300">
        <v>11.006999999948016</v>
      </c>
      <c r="H29" s="300">
        <v>4.8730000001465381</v>
      </c>
      <c r="I29" s="300">
        <v>0.3850000000114982</v>
      </c>
      <c r="J29" s="300">
        <f>SUM(G29:I29)</f>
        <v>16.265000000106053</v>
      </c>
      <c r="K29" s="300"/>
      <c r="L29" s="300">
        <v>12.264999999840247</v>
      </c>
      <c r="M29" s="300">
        <v>3.3410000000169529</v>
      </c>
      <c r="N29" s="300">
        <v>1.2579999999645637</v>
      </c>
      <c r="O29" s="300">
        <f>SUM(L29:N29)</f>
        <v>16.863999999821765</v>
      </c>
      <c r="P29" s="300"/>
      <c r="Q29" s="300">
        <v>12.828000000181971</v>
      </c>
      <c r="R29" s="300">
        <v>3.3610000000625004</v>
      </c>
      <c r="S29" s="300">
        <v>1.3039999999874217</v>
      </c>
      <c r="T29" s="300">
        <f>SUM(Q29:S29)</f>
        <v>17.493000000231895</v>
      </c>
      <c r="U29" s="300"/>
      <c r="V29" s="300">
        <v>13.267999999958153</v>
      </c>
      <c r="W29" s="300">
        <v>3.2309999999735317</v>
      </c>
      <c r="X29" s="300">
        <v>1.3149999999964823</v>
      </c>
      <c r="Y29" s="300">
        <f>SUM(V29:X29)</f>
        <v>17.813999999928164</v>
      </c>
    </row>
    <row r="30" spans="1:25" x14ac:dyDescent="0.2">
      <c r="A30" s="260" t="s">
        <v>355</v>
      </c>
      <c r="B30" s="300">
        <v>12.920000000321794</v>
      </c>
      <c r="C30" s="300">
        <v>3.3680000000816794</v>
      </c>
      <c r="D30" s="300">
        <v>0.74600000000287769</v>
      </c>
      <c r="E30" s="300">
        <f t="shared" ref="E30:E31" si="29">SUM(B30:D30)</f>
        <v>17.034000000406351</v>
      </c>
      <c r="F30" s="300"/>
      <c r="G30" s="300">
        <v>17.575000000332501</v>
      </c>
      <c r="H30" s="300">
        <v>3.3820000000655837</v>
      </c>
      <c r="I30" s="300">
        <v>0.8310000000102048</v>
      </c>
      <c r="J30" s="300">
        <f t="shared" ref="J30:J31" si="30">SUM(G30:I30)</f>
        <v>21.788000000408292</v>
      </c>
      <c r="K30" s="300"/>
      <c r="L30" s="300">
        <v>18.074999999608128</v>
      </c>
      <c r="M30" s="300">
        <v>2.6059999999612349</v>
      </c>
      <c r="N30" s="300">
        <v>1.3469999999878672</v>
      </c>
      <c r="O30" s="300">
        <f t="shared" ref="O30:O31" si="31">SUM(L30:N30)</f>
        <v>22.027999999557231</v>
      </c>
      <c r="P30" s="300"/>
      <c r="Q30" s="300">
        <v>18.026999999648172</v>
      </c>
      <c r="R30" s="300">
        <v>2.6279999999679</v>
      </c>
      <c r="S30" s="300">
        <v>1.376999999978721</v>
      </c>
      <c r="T30" s="300">
        <f t="shared" ref="T30:T31" si="32">SUM(Q30:S30)</f>
        <v>22.031999999594795</v>
      </c>
      <c r="U30" s="300"/>
      <c r="V30" s="300">
        <v>17.075999999457942</v>
      </c>
      <c r="W30" s="300">
        <v>2.5449999999615458</v>
      </c>
      <c r="X30" s="300">
        <v>1.3319999999835088</v>
      </c>
      <c r="Y30" s="300">
        <f t="shared" ref="Y30:Y31" si="33">SUM(V30:X30)</f>
        <v>20.952999999402998</v>
      </c>
    </row>
    <row r="31" spans="1:25" x14ac:dyDescent="0.2">
      <c r="A31" s="260" t="s">
        <v>354</v>
      </c>
      <c r="B31" s="300">
        <f>SUM(B29:B30)</f>
        <v>19.742000000321937</v>
      </c>
      <c r="C31" s="300">
        <f t="shared" ref="C31" si="34">SUM(C29:C30)</f>
        <v>6.0560000001744214</v>
      </c>
      <c r="D31" s="300">
        <f t="shared" ref="D31" si="35">SUM(D29:D30)</f>
        <v>1.2340000000205094</v>
      </c>
      <c r="E31" s="300">
        <f t="shared" si="29"/>
        <v>27.032000000516867</v>
      </c>
      <c r="F31" s="300"/>
      <c r="G31" s="300">
        <f>SUM(G29:G30)</f>
        <v>28.582000000280516</v>
      </c>
      <c r="H31" s="300">
        <f t="shared" ref="H31" si="36">SUM(H29:H30)</f>
        <v>8.2550000002121209</v>
      </c>
      <c r="I31" s="300">
        <f t="shared" ref="I31" si="37">SUM(I29:I30)</f>
        <v>1.2160000000217031</v>
      </c>
      <c r="J31" s="300">
        <f t="shared" si="30"/>
        <v>38.053000000514338</v>
      </c>
      <c r="K31" s="300"/>
      <c r="L31" s="300">
        <f>SUM(L29:L30)</f>
        <v>30.339999999448374</v>
      </c>
      <c r="M31" s="300">
        <f t="shared" ref="M31" si="38">SUM(M29:M30)</f>
        <v>5.9469999999781873</v>
      </c>
      <c r="N31" s="300">
        <f t="shared" ref="N31" si="39">SUM(N29:N30)</f>
        <v>2.6049999999524309</v>
      </c>
      <c r="O31" s="300">
        <f t="shared" si="31"/>
        <v>38.891999999378996</v>
      </c>
      <c r="P31" s="300"/>
      <c r="Q31" s="300">
        <f>SUM(Q29:Q30)</f>
        <v>30.854999999830142</v>
      </c>
      <c r="R31" s="300">
        <f t="shared" ref="R31" si="40">SUM(R29:R30)</f>
        <v>5.9890000000304005</v>
      </c>
      <c r="S31" s="300">
        <f t="shared" ref="S31" si="41">SUM(S29:S30)</f>
        <v>2.6809999999661427</v>
      </c>
      <c r="T31" s="300">
        <f t="shared" si="32"/>
        <v>39.524999999826683</v>
      </c>
      <c r="U31" s="300"/>
      <c r="V31" s="300">
        <f>SUM(V29:V30)</f>
        <v>30.343999999416095</v>
      </c>
      <c r="W31" s="300">
        <f t="shared" ref="W31" si="42">SUM(W29:W30)</f>
        <v>5.7759999999350775</v>
      </c>
      <c r="X31" s="300">
        <f t="shared" ref="X31" si="43">SUM(X29:X30)</f>
        <v>2.6469999999799914</v>
      </c>
      <c r="Y31" s="300">
        <f t="shared" si="33"/>
        <v>38.766999999331162</v>
      </c>
    </row>
    <row r="32" spans="1:25" x14ac:dyDescent="0.2"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  <c r="V32" s="319"/>
      <c r="W32" s="319"/>
      <c r="X32" s="319"/>
      <c r="Y32" s="319"/>
    </row>
    <row r="33" spans="1:25" x14ac:dyDescent="0.2">
      <c r="A33" s="261" t="str">
        <f>name!A7</f>
        <v>Beverages and tobacco</v>
      </c>
      <c r="C33" s="263"/>
    </row>
    <row r="34" spans="1:25" x14ac:dyDescent="0.2">
      <c r="A34" s="260" t="s">
        <v>356</v>
      </c>
      <c r="B34" s="300">
        <v>0.12499999999939473</v>
      </c>
      <c r="C34" s="300">
        <v>8.800000000135208E-2</v>
      </c>
      <c r="D34" s="300">
        <v>3.2000000000531229E-2</v>
      </c>
      <c r="E34" s="300">
        <f>SUM(B34:D34)</f>
        <v>0.24500000000127803</v>
      </c>
      <c r="F34" s="300"/>
      <c r="G34" s="300">
        <v>0.53499999999610348</v>
      </c>
      <c r="H34" s="300">
        <v>0.37400000000580991</v>
      </c>
      <c r="I34" s="300">
        <v>2.000000000034333E-2</v>
      </c>
      <c r="J34" s="300">
        <f>SUM(G34:I34)</f>
        <v>0.92900000000225669</v>
      </c>
      <c r="K34" s="300"/>
      <c r="L34" s="300">
        <v>0.59699999999511233</v>
      </c>
      <c r="M34" s="300">
        <v>0.25599999999807965</v>
      </c>
      <c r="N34" s="300">
        <v>0.21199999999699226</v>
      </c>
      <c r="O34" s="300">
        <f>SUM(L34:N34)</f>
        <v>1.0649999999901842</v>
      </c>
      <c r="P34" s="300"/>
      <c r="Q34" s="300">
        <v>0.62400000001020628</v>
      </c>
      <c r="R34" s="300">
        <v>0.25799999999743634</v>
      </c>
      <c r="S34" s="300">
        <v>0.21999999999710421</v>
      </c>
      <c r="T34" s="300">
        <f>SUM(Q34:S34)</f>
        <v>1.102000000004747</v>
      </c>
      <c r="U34" s="300"/>
      <c r="V34" s="300">
        <v>0.64499999999850133</v>
      </c>
      <c r="W34" s="300">
        <v>0.24799999999740141</v>
      </c>
      <c r="X34" s="300">
        <v>0.22199999999780201</v>
      </c>
      <c r="Y34" s="300">
        <f>SUM(V34:X34)</f>
        <v>1.1149999999937048</v>
      </c>
    </row>
    <row r="35" spans="1:25" x14ac:dyDescent="0.2">
      <c r="A35" s="260" t="s">
        <v>355</v>
      </c>
      <c r="B35" s="300">
        <v>1.0090000000174542</v>
      </c>
      <c r="C35" s="300">
        <v>0.15300000000207012</v>
      </c>
      <c r="D35" s="300">
        <v>5.2000000000051637E-2</v>
      </c>
      <c r="E35" s="300">
        <f t="shared" ref="E35:E36" si="44">SUM(B35:D35)</f>
        <v>1.2140000000195759</v>
      </c>
      <c r="F35" s="300"/>
      <c r="G35" s="300">
        <v>3.6500000000500212</v>
      </c>
      <c r="H35" s="300">
        <v>0.36000000000077309</v>
      </c>
      <c r="I35" s="300">
        <v>0.14700000000037688</v>
      </c>
      <c r="J35" s="300">
        <f t="shared" ref="J35:J36" si="45">SUM(G35:I35)</f>
        <v>4.1570000000511715</v>
      </c>
      <c r="K35" s="300"/>
      <c r="L35" s="300">
        <v>3.7539999999415654</v>
      </c>
      <c r="M35" s="300">
        <v>0.27700000000050085</v>
      </c>
      <c r="N35" s="300">
        <v>0.63700000000388457</v>
      </c>
      <c r="O35" s="300">
        <f t="shared" ref="O35:O36" si="46">SUM(L35:N35)</f>
        <v>4.6679999999459509</v>
      </c>
      <c r="P35" s="300"/>
      <c r="Q35" s="300">
        <v>3.7439999999454878</v>
      </c>
      <c r="R35" s="300">
        <v>0.27899999999932384</v>
      </c>
      <c r="S35" s="300">
        <v>0.64100000000726465</v>
      </c>
      <c r="T35" s="300">
        <f t="shared" ref="T35:T36" si="47">SUM(Q35:S35)</f>
        <v>4.6639999999520763</v>
      </c>
      <c r="U35" s="300"/>
      <c r="V35" s="300">
        <v>3.5459999999165768</v>
      </c>
      <c r="W35" s="300">
        <v>0.27099999999741126</v>
      </c>
      <c r="X35" s="300">
        <v>0.69000000000474793</v>
      </c>
      <c r="Y35" s="300">
        <f t="shared" ref="Y35:Y36" si="48">SUM(V35:X35)</f>
        <v>4.5069999999187358</v>
      </c>
    </row>
    <row r="36" spans="1:25" x14ac:dyDescent="0.2">
      <c r="A36" s="260" t="s">
        <v>354</v>
      </c>
      <c r="B36" s="300">
        <f>SUM(B34:B35)</f>
        <v>1.1340000000168489</v>
      </c>
      <c r="C36" s="300">
        <f t="shared" ref="C36" si="49">SUM(C34:C35)</f>
        <v>0.2410000000034222</v>
      </c>
      <c r="D36" s="300">
        <f t="shared" ref="D36" si="50">SUM(D34:D35)</f>
        <v>8.4000000000582858E-2</v>
      </c>
      <c r="E36" s="300">
        <f t="shared" si="44"/>
        <v>1.4590000000208541</v>
      </c>
      <c r="F36" s="300"/>
      <c r="G36" s="300">
        <f>SUM(G34:G35)</f>
        <v>4.1850000000461245</v>
      </c>
      <c r="H36" s="300">
        <f t="shared" ref="H36" si="51">SUM(H34:H35)</f>
        <v>0.73400000000658294</v>
      </c>
      <c r="I36" s="300">
        <f t="shared" ref="I36" si="52">SUM(I34:I35)</f>
        <v>0.16700000000072021</v>
      </c>
      <c r="J36" s="300">
        <f t="shared" si="45"/>
        <v>5.0860000000534278</v>
      </c>
      <c r="K36" s="300"/>
      <c r="L36" s="300">
        <f>SUM(L34:L35)</f>
        <v>4.3509999999366773</v>
      </c>
      <c r="M36" s="300">
        <f t="shared" ref="M36" si="53">SUM(M34:M35)</f>
        <v>0.5329999999985805</v>
      </c>
      <c r="N36" s="300">
        <f t="shared" ref="N36" si="54">SUM(N34:N35)</f>
        <v>0.84900000000087683</v>
      </c>
      <c r="O36" s="300">
        <f t="shared" si="46"/>
        <v>5.7329999999361343</v>
      </c>
      <c r="P36" s="300"/>
      <c r="Q36" s="300">
        <f>SUM(Q34:Q35)</f>
        <v>4.3679999999556944</v>
      </c>
      <c r="R36" s="300">
        <f t="shared" ref="R36" si="55">SUM(R34:R35)</f>
        <v>0.53699999999676018</v>
      </c>
      <c r="S36" s="300">
        <f t="shared" ref="S36" si="56">SUM(S34:S35)</f>
        <v>0.86100000000436883</v>
      </c>
      <c r="T36" s="300">
        <f t="shared" si="47"/>
        <v>5.765999999956823</v>
      </c>
      <c r="U36" s="300"/>
      <c r="V36" s="300">
        <f>SUM(V34:V35)</f>
        <v>4.1909999999150784</v>
      </c>
      <c r="W36" s="300">
        <f t="shared" ref="W36" si="57">SUM(W34:W35)</f>
        <v>0.51899999999481272</v>
      </c>
      <c r="X36" s="300">
        <f t="shared" ref="X36" si="58">SUM(X34:X35)</f>
        <v>0.91200000000254988</v>
      </c>
      <c r="Y36" s="300">
        <f t="shared" si="48"/>
        <v>5.6219999999124415</v>
      </c>
    </row>
    <row r="37" spans="1:25" x14ac:dyDescent="0.2">
      <c r="C37" s="263"/>
    </row>
    <row r="38" spans="1:25" x14ac:dyDescent="0.2">
      <c r="A38" s="261" t="s">
        <v>372</v>
      </c>
    </row>
    <row r="39" spans="1:25" x14ac:dyDescent="0.2">
      <c r="A39" s="260" t="s">
        <v>356</v>
      </c>
      <c r="B39" s="300">
        <f>SUM(B29,B34)</f>
        <v>6.9469999999995364</v>
      </c>
      <c r="C39" s="300">
        <f t="shared" ref="C39:D40" si="59">SUM(C29,C34)</f>
        <v>2.7760000000940939</v>
      </c>
      <c r="D39" s="300">
        <f t="shared" si="59"/>
        <v>0.52000000001816304</v>
      </c>
      <c r="E39" s="300">
        <f>SUM(B39:D39)</f>
        <v>10.243000000111794</v>
      </c>
      <c r="F39" s="300"/>
      <c r="G39" s="300">
        <f>SUM(G29,G34)</f>
        <v>11.541999999944119</v>
      </c>
      <c r="H39" s="300">
        <f t="shared" ref="H39:I39" si="60">SUM(H29,H34)</f>
        <v>5.2470000001523482</v>
      </c>
      <c r="I39" s="300">
        <f t="shared" si="60"/>
        <v>0.40500000001184155</v>
      </c>
      <c r="J39" s="300">
        <f>SUM(G39:I39)</f>
        <v>17.194000000108311</v>
      </c>
      <c r="K39" s="300"/>
      <c r="L39" s="300">
        <f>SUM(L29,L34)</f>
        <v>12.86199999983536</v>
      </c>
      <c r="M39" s="300">
        <f t="shared" ref="M39:N39" si="61">SUM(M29,M34)</f>
        <v>3.5970000000150324</v>
      </c>
      <c r="N39" s="300">
        <f t="shared" si="61"/>
        <v>1.4699999999615558</v>
      </c>
      <c r="O39" s="300">
        <f>SUM(L39:N39)</f>
        <v>17.928999999811946</v>
      </c>
      <c r="P39" s="300"/>
      <c r="Q39" s="300">
        <f>SUM(Q29,Q34)</f>
        <v>13.452000000192177</v>
      </c>
      <c r="R39" s="300">
        <f t="shared" ref="R39:S39" si="62">SUM(R29,R34)</f>
        <v>3.6190000000599367</v>
      </c>
      <c r="S39" s="300">
        <f t="shared" si="62"/>
        <v>1.523999999984526</v>
      </c>
      <c r="T39" s="300">
        <f>SUM(Q39:S39)</f>
        <v>18.595000000236638</v>
      </c>
      <c r="U39" s="300"/>
      <c r="V39" s="300">
        <f>SUM(V29,V34)</f>
        <v>13.912999999956655</v>
      </c>
      <c r="W39" s="300">
        <f t="shared" ref="W39:X39" si="63">SUM(W29,W34)</f>
        <v>3.4789999999709331</v>
      </c>
      <c r="X39" s="300">
        <f t="shared" si="63"/>
        <v>1.5369999999942843</v>
      </c>
      <c r="Y39" s="300">
        <f>SUM(V39:X39)</f>
        <v>18.928999999921871</v>
      </c>
    </row>
    <row r="40" spans="1:25" x14ac:dyDescent="0.2">
      <c r="A40" s="260" t="s">
        <v>355</v>
      </c>
      <c r="B40" s="300">
        <f>SUM(B30,B35)</f>
        <v>13.929000000339249</v>
      </c>
      <c r="C40" s="300">
        <f t="shared" si="59"/>
        <v>3.5210000000837494</v>
      </c>
      <c r="D40" s="300">
        <f t="shared" si="59"/>
        <v>0.79800000000292937</v>
      </c>
      <c r="E40" s="300">
        <f t="shared" ref="E40:E41" si="64">SUM(B40:D40)</f>
        <v>18.248000000425929</v>
      </c>
      <c r="F40" s="300"/>
      <c r="G40" s="300">
        <f>SUM(G30,G35)</f>
        <v>21.225000000382522</v>
      </c>
      <c r="H40" s="300">
        <f t="shared" ref="H40:I40" si="65">SUM(H30,H35)</f>
        <v>3.7420000000663567</v>
      </c>
      <c r="I40" s="300">
        <f t="shared" si="65"/>
        <v>0.97800000001058174</v>
      </c>
      <c r="J40" s="300">
        <f t="shared" ref="J40:J41" si="66">SUM(G40:I40)</f>
        <v>25.945000000459459</v>
      </c>
      <c r="K40" s="300"/>
      <c r="L40" s="300">
        <f>SUM(L30,L35)</f>
        <v>21.828999999549694</v>
      </c>
      <c r="M40" s="300">
        <f t="shared" ref="M40:N40" si="67">SUM(M30,M35)</f>
        <v>2.8829999999617355</v>
      </c>
      <c r="N40" s="300">
        <f t="shared" si="67"/>
        <v>1.9839999999917519</v>
      </c>
      <c r="O40" s="300">
        <f t="shared" ref="O40:O41" si="68">SUM(L40:N40)</f>
        <v>26.695999999503183</v>
      </c>
      <c r="P40" s="300"/>
      <c r="Q40" s="300">
        <f>SUM(Q30,Q35)</f>
        <v>21.770999999593659</v>
      </c>
      <c r="R40" s="300">
        <f t="shared" ref="R40:S40" si="69">SUM(R30,R35)</f>
        <v>2.906999999967224</v>
      </c>
      <c r="S40" s="300">
        <f t="shared" si="69"/>
        <v>2.0179999999859857</v>
      </c>
      <c r="T40" s="300">
        <f t="shared" ref="T40:T41" si="70">SUM(Q40:S40)</f>
        <v>26.695999999546867</v>
      </c>
      <c r="U40" s="300"/>
      <c r="V40" s="300">
        <f>SUM(V30,V35)</f>
        <v>20.62199999937452</v>
      </c>
      <c r="W40" s="300">
        <f t="shared" ref="W40:X40" si="71">SUM(W30,W35)</f>
        <v>2.8159999999589571</v>
      </c>
      <c r="X40" s="300">
        <f t="shared" si="71"/>
        <v>2.0219999999882567</v>
      </c>
      <c r="Y40" s="300">
        <f t="shared" ref="Y40:Y41" si="72">SUM(V40:X40)</f>
        <v>25.459999999321735</v>
      </c>
    </row>
    <row r="41" spans="1:25" x14ac:dyDescent="0.2">
      <c r="A41" s="264" t="s">
        <v>354</v>
      </c>
      <c r="B41" s="301">
        <f>SUM(B39:B40)</f>
        <v>20.876000000338784</v>
      </c>
      <c r="C41" s="301">
        <f t="shared" ref="C41" si="73">SUM(C39:C40)</f>
        <v>6.2970000001778432</v>
      </c>
      <c r="D41" s="301">
        <f t="shared" ref="D41" si="74">SUM(D39:D40)</f>
        <v>1.3180000000210925</v>
      </c>
      <c r="E41" s="301">
        <f t="shared" si="64"/>
        <v>28.491000000537721</v>
      </c>
      <c r="F41" s="301"/>
      <c r="G41" s="301">
        <f>SUM(G39:G40)</f>
        <v>32.76700000032664</v>
      </c>
      <c r="H41" s="301">
        <f t="shared" ref="H41" si="75">SUM(H39:H40)</f>
        <v>8.9890000002187058</v>
      </c>
      <c r="I41" s="301">
        <f t="shared" ref="I41" si="76">SUM(I39:I40)</f>
        <v>1.3830000000224234</v>
      </c>
      <c r="J41" s="301">
        <f t="shared" si="66"/>
        <v>43.139000000567762</v>
      </c>
      <c r="K41" s="301"/>
      <c r="L41" s="301">
        <f>SUM(L39:L40)</f>
        <v>34.690999999385056</v>
      </c>
      <c r="M41" s="301">
        <f t="shared" ref="M41" si="77">SUM(M39:M40)</f>
        <v>6.4799999999767675</v>
      </c>
      <c r="N41" s="301">
        <f t="shared" ref="N41" si="78">SUM(N39:N40)</f>
        <v>3.4539999999533078</v>
      </c>
      <c r="O41" s="301">
        <f t="shared" si="68"/>
        <v>44.624999999315136</v>
      </c>
      <c r="P41" s="301"/>
      <c r="Q41" s="301">
        <f>SUM(Q39:Q40)</f>
        <v>35.222999999785834</v>
      </c>
      <c r="R41" s="301">
        <f t="shared" ref="R41" si="79">SUM(R39:R40)</f>
        <v>6.5260000000271603</v>
      </c>
      <c r="S41" s="301">
        <f t="shared" ref="S41" si="80">SUM(S39:S40)</f>
        <v>3.5419999999705114</v>
      </c>
      <c r="T41" s="301">
        <f t="shared" si="70"/>
        <v>45.290999999783509</v>
      </c>
      <c r="U41" s="301"/>
      <c r="V41" s="301">
        <f>SUM(V39:V40)</f>
        <v>34.534999999331177</v>
      </c>
      <c r="W41" s="301">
        <f t="shared" ref="W41" si="81">SUM(W39:W40)</f>
        <v>6.2949999999298907</v>
      </c>
      <c r="X41" s="301">
        <f t="shared" ref="X41" si="82">SUM(X39:X40)</f>
        <v>3.5589999999825412</v>
      </c>
      <c r="Y41" s="301">
        <f t="shared" si="72"/>
        <v>44.388999999243609</v>
      </c>
    </row>
    <row r="45" spans="1:25" ht="15" x14ac:dyDescent="0.25">
      <c r="A45" s="265" t="str">
        <f>"Industry 4 : "&amp; name!B7</f>
        <v>Industry 4 : Engineering</v>
      </c>
      <c r="B45" s="371">
        <f>$B$5</f>
        <v>2015</v>
      </c>
      <c r="C45" s="371"/>
      <c r="D45" s="371"/>
      <c r="E45" s="371"/>
      <c r="F45" s="320"/>
      <c r="G45" s="371">
        <f>$G$5</f>
        <v>2019</v>
      </c>
      <c r="H45" s="371"/>
      <c r="I45" s="371"/>
      <c r="J45" s="371"/>
      <c r="K45" s="320"/>
      <c r="L45" s="371">
        <f>$L$5</f>
        <v>2020</v>
      </c>
      <c r="M45" s="371"/>
      <c r="N45" s="371"/>
      <c r="O45" s="371"/>
      <c r="P45" s="318"/>
      <c r="Q45" s="371">
        <f>$Q$5</f>
        <v>2025</v>
      </c>
      <c r="R45" s="371"/>
      <c r="S45" s="371"/>
      <c r="T45" s="371"/>
      <c r="U45" s="320"/>
      <c r="V45" s="371">
        <f>$V$5</f>
        <v>2035</v>
      </c>
      <c r="W45" s="371"/>
      <c r="X45" s="371"/>
      <c r="Y45" s="371"/>
    </row>
    <row r="46" spans="1:25" x14ac:dyDescent="0.2">
      <c r="A46" s="264"/>
      <c r="B46" s="268" t="str">
        <f>$B$6</f>
        <v>FT</v>
      </c>
      <c r="C46" s="268" t="str">
        <f>$C$6</f>
        <v>PT</v>
      </c>
      <c r="D46" s="268" t="str">
        <f>$D$6</f>
        <v>SE</v>
      </c>
      <c r="E46" s="268" t="str">
        <f>$E$6</f>
        <v>Total</v>
      </c>
      <c r="F46" s="268"/>
      <c r="G46" s="268" t="str">
        <f>$B$6</f>
        <v>FT</v>
      </c>
      <c r="H46" s="268" t="str">
        <f>$C$6</f>
        <v>PT</v>
      </c>
      <c r="I46" s="268" t="str">
        <f>$D$6</f>
        <v>SE</v>
      </c>
      <c r="J46" s="268" t="str">
        <f>$E$6</f>
        <v>Total</v>
      </c>
      <c r="K46" s="268"/>
      <c r="L46" s="268" t="str">
        <f>$L$6</f>
        <v>FT</v>
      </c>
      <c r="M46" s="268" t="str">
        <f>$M$6</f>
        <v>PT</v>
      </c>
      <c r="N46" s="268" t="str">
        <f>$N$6</f>
        <v>SE</v>
      </c>
      <c r="O46" s="268" t="str">
        <f>$O$6</f>
        <v>Total</v>
      </c>
      <c r="P46" s="268"/>
      <c r="Q46" s="268" t="str">
        <f>$L$6</f>
        <v>FT</v>
      </c>
      <c r="R46" s="268" t="str">
        <f>$M$6</f>
        <v>PT</v>
      </c>
      <c r="S46" s="268" t="str">
        <f>$N$6</f>
        <v>SE</v>
      </c>
      <c r="T46" s="268" t="str">
        <f>$O$6</f>
        <v>Total</v>
      </c>
      <c r="U46" s="268"/>
      <c r="V46" s="268" t="str">
        <f>$V$6</f>
        <v>FT</v>
      </c>
      <c r="W46" s="268" t="str">
        <f>$W$6</f>
        <v>PT</v>
      </c>
      <c r="X46" s="268" t="str">
        <f>$X$6</f>
        <v>SE</v>
      </c>
      <c r="Y46" s="268" t="str">
        <f>$Y$6</f>
        <v>Total</v>
      </c>
    </row>
    <row r="47" spans="1:25" x14ac:dyDescent="0.2">
      <c r="C47" s="319"/>
      <c r="D47" s="319"/>
      <c r="E47" s="319"/>
      <c r="F47" s="319"/>
      <c r="G47" s="319"/>
      <c r="H47" s="319"/>
      <c r="I47" s="319"/>
      <c r="J47" s="319"/>
      <c r="K47" s="319"/>
      <c r="L47" s="319"/>
      <c r="M47" s="319"/>
      <c r="N47" s="319"/>
      <c r="O47" s="319"/>
      <c r="P47" s="319"/>
      <c r="Q47" s="319"/>
      <c r="R47" s="319"/>
      <c r="S47" s="319"/>
      <c r="T47" s="319"/>
      <c r="U47" s="319"/>
      <c r="V47" s="319"/>
      <c r="W47" s="319"/>
      <c r="X47" s="319"/>
      <c r="Y47" s="319"/>
    </row>
    <row r="48" spans="1:25" x14ac:dyDescent="0.2">
      <c r="A48" s="261" t="str">
        <f>name!A19</f>
        <v>Computer, etc</v>
      </c>
      <c r="C48" s="263"/>
    </row>
    <row r="49" spans="1:25" x14ac:dyDescent="0.2">
      <c r="A49" s="260" t="s">
        <v>356</v>
      </c>
      <c r="B49" s="300">
        <v>0.88099999999454792</v>
      </c>
      <c r="C49" s="300">
        <v>8.8000000001303966E-2</v>
      </c>
      <c r="D49" s="300">
        <v>3.300000000026293E-2</v>
      </c>
      <c r="E49" s="300">
        <f>SUM(B49:D49)</f>
        <v>1.0019999999961149</v>
      </c>
      <c r="F49" s="300"/>
      <c r="G49" s="300">
        <v>1.6179999999874857</v>
      </c>
      <c r="H49" s="300">
        <v>0.33400000000465163</v>
      </c>
      <c r="I49" s="300">
        <v>2.0000000000135097E-2</v>
      </c>
      <c r="J49" s="300">
        <f>SUM(G49:I49)</f>
        <v>1.9719999999922724</v>
      </c>
      <c r="K49" s="300"/>
      <c r="L49" s="300">
        <v>2.1779999999975774</v>
      </c>
      <c r="M49" s="300">
        <v>0.21699999999777966</v>
      </c>
      <c r="N49" s="300">
        <v>0.1739999999998601</v>
      </c>
      <c r="O49" s="300">
        <f>SUM(L49:N49)</f>
        <v>2.5689999999952171</v>
      </c>
      <c r="P49" s="300"/>
      <c r="Q49" s="300">
        <v>2.8070000000426929</v>
      </c>
      <c r="R49" s="300">
        <v>0.29599999999570398</v>
      </c>
      <c r="S49" s="300">
        <v>0.23899999999975699</v>
      </c>
      <c r="T49" s="300">
        <f>SUM(Q49:S49)</f>
        <v>3.342000000038154</v>
      </c>
      <c r="U49" s="300"/>
      <c r="V49" s="300">
        <v>2.8780000000035701</v>
      </c>
      <c r="W49" s="300">
        <v>0.32599999999662821</v>
      </c>
      <c r="X49" s="300">
        <v>0.27899999999814457</v>
      </c>
      <c r="Y49" s="300">
        <f>SUM(V49:X49)</f>
        <v>3.4829999999983428</v>
      </c>
    </row>
    <row r="50" spans="1:25" x14ac:dyDescent="0.2">
      <c r="A50" s="260" t="s">
        <v>355</v>
      </c>
      <c r="B50" s="300">
        <v>2.1589999999910874</v>
      </c>
      <c r="C50" s="300">
        <v>0.12100000000086941</v>
      </c>
      <c r="D50" s="300">
        <v>0.1750000000019008</v>
      </c>
      <c r="E50" s="300">
        <f t="shared" ref="E50:E51" si="83">SUM(B50:D50)</f>
        <v>2.4549999999938579</v>
      </c>
      <c r="F50" s="300"/>
      <c r="G50" s="300">
        <v>4.461999999995296</v>
      </c>
      <c r="H50" s="300">
        <v>0.22700000000103651</v>
      </c>
      <c r="I50" s="300">
        <v>0.99500000000920297</v>
      </c>
      <c r="J50" s="300">
        <f t="shared" ref="J50:J51" si="84">SUM(G50:I50)</f>
        <v>5.6840000000055362</v>
      </c>
      <c r="K50" s="300"/>
      <c r="L50" s="300">
        <v>4.7459999999946367</v>
      </c>
      <c r="M50" s="300">
        <v>0.19699999999950499</v>
      </c>
      <c r="N50" s="300">
        <v>0.7199999999997736</v>
      </c>
      <c r="O50" s="300">
        <f t="shared" ref="O50:O51" si="85">SUM(L50:N50)</f>
        <v>5.6629999999939153</v>
      </c>
      <c r="P50" s="300"/>
      <c r="Q50" s="300">
        <v>6.5929999999935687</v>
      </c>
      <c r="R50" s="300">
        <v>0.27999999999923592</v>
      </c>
      <c r="S50" s="300">
        <v>1.0120000000009539</v>
      </c>
      <c r="T50" s="300">
        <f t="shared" ref="T50:T51" si="86">SUM(Q50:S50)</f>
        <v>7.8849999999937577</v>
      </c>
      <c r="U50" s="300"/>
      <c r="V50" s="300">
        <v>7.7860000000017715</v>
      </c>
      <c r="W50" s="300">
        <v>0.33899999999954861</v>
      </c>
      <c r="X50" s="300">
        <v>1.2249999999972216</v>
      </c>
      <c r="Y50" s="300">
        <f t="shared" ref="Y50:Y51" si="87">SUM(V50:X50)</f>
        <v>9.3499999999985413</v>
      </c>
    </row>
    <row r="51" spans="1:25" x14ac:dyDescent="0.2">
      <c r="A51" s="260" t="s">
        <v>354</v>
      </c>
      <c r="B51" s="300">
        <f>SUM(B49:B50)</f>
        <v>3.0399999999856355</v>
      </c>
      <c r="C51" s="300">
        <f t="shared" ref="C51" si="88">SUM(C49:C50)</f>
        <v>0.20900000000217339</v>
      </c>
      <c r="D51" s="300">
        <f t="shared" ref="D51" si="89">SUM(D49:D50)</f>
        <v>0.20800000000216373</v>
      </c>
      <c r="E51" s="300">
        <f t="shared" si="83"/>
        <v>3.4569999999899728</v>
      </c>
      <c r="F51" s="300"/>
      <c r="G51" s="300">
        <f>SUM(G49:G50)</f>
        <v>6.0799999999827818</v>
      </c>
      <c r="H51" s="300">
        <f t="shared" ref="H51" si="90">SUM(H49:H50)</f>
        <v>0.56100000000568817</v>
      </c>
      <c r="I51" s="300">
        <f t="shared" ref="I51" si="91">SUM(I49:I50)</f>
        <v>1.015000000009338</v>
      </c>
      <c r="J51" s="300">
        <f t="shared" si="84"/>
        <v>7.6559999999978077</v>
      </c>
      <c r="K51" s="300"/>
      <c r="L51" s="300">
        <f>SUM(L49:L50)</f>
        <v>6.9239999999922137</v>
      </c>
      <c r="M51" s="300">
        <f t="shared" ref="M51" si="92">SUM(M49:M50)</f>
        <v>0.41399999999728465</v>
      </c>
      <c r="N51" s="300">
        <f t="shared" ref="N51" si="93">SUM(N49:N50)</f>
        <v>0.89399999999963375</v>
      </c>
      <c r="O51" s="300">
        <f t="shared" si="85"/>
        <v>8.2319999999891316</v>
      </c>
      <c r="P51" s="300"/>
      <c r="Q51" s="300">
        <f>SUM(Q49:Q50)</f>
        <v>9.4000000000362611</v>
      </c>
      <c r="R51" s="300">
        <f t="shared" ref="R51" si="94">SUM(R49:R50)</f>
        <v>0.57599999999493989</v>
      </c>
      <c r="S51" s="300">
        <f t="shared" ref="S51" si="95">SUM(S49:S50)</f>
        <v>1.2510000000007109</v>
      </c>
      <c r="T51" s="300">
        <f t="shared" si="86"/>
        <v>11.227000000031911</v>
      </c>
      <c r="U51" s="300"/>
      <c r="V51" s="300">
        <f>SUM(V49:V50)</f>
        <v>10.664000000005341</v>
      </c>
      <c r="W51" s="300">
        <f t="shared" ref="W51" si="96">SUM(W49:W50)</f>
        <v>0.66499999999617687</v>
      </c>
      <c r="X51" s="300">
        <f t="shared" ref="X51" si="97">SUM(X49:X50)</f>
        <v>1.5039999999953662</v>
      </c>
      <c r="Y51" s="300">
        <f t="shared" si="87"/>
        <v>12.832999999996884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1" t="str">
        <f>name!A20</f>
        <v>Electrical equipment</v>
      </c>
      <c r="C53" s="263"/>
    </row>
    <row r="54" spans="1:25" x14ac:dyDescent="0.2">
      <c r="A54" s="260" t="s">
        <v>356</v>
      </c>
      <c r="B54" s="300">
        <v>0.35199999999890419</v>
      </c>
      <c r="C54" s="300">
        <v>0.13600000000188403</v>
      </c>
      <c r="D54" s="300">
        <v>1.9999999999453816E-2</v>
      </c>
      <c r="E54" s="300">
        <f>SUM(B54:D54)</f>
        <v>0.50800000000024204</v>
      </c>
      <c r="F54" s="300"/>
      <c r="G54" s="300">
        <v>0.65799999999639502</v>
      </c>
      <c r="H54" s="300">
        <v>9.1000000001215345E-2</v>
      </c>
      <c r="I54" s="300">
        <v>2.999999999937647E-2</v>
      </c>
      <c r="J54" s="300">
        <f>SUM(G54:I54)</f>
        <v>0.77899999999698677</v>
      </c>
      <c r="K54" s="300"/>
      <c r="L54" s="300">
        <v>0.70399999999645524</v>
      </c>
      <c r="M54" s="300">
        <v>5.1999999999593677E-2</v>
      </c>
      <c r="N54" s="300">
        <v>0.20900000000676466</v>
      </c>
      <c r="O54" s="300">
        <f>SUM(L54:N54)</f>
        <v>0.96500000000281361</v>
      </c>
      <c r="P54" s="300"/>
      <c r="Q54" s="300">
        <v>0.7540000000093301</v>
      </c>
      <c r="R54" s="300">
        <v>5.799999999952965E-2</v>
      </c>
      <c r="S54" s="300">
        <v>0.22599999999989684</v>
      </c>
      <c r="T54" s="300">
        <f>SUM(Q54:S54)</f>
        <v>1.0380000000087566</v>
      </c>
      <c r="U54" s="300"/>
      <c r="V54" s="300">
        <v>0.73699999999943722</v>
      </c>
      <c r="W54" s="300">
        <v>5.8999999999504657E-2</v>
      </c>
      <c r="X54" s="300">
        <v>0.22099999999797967</v>
      </c>
      <c r="Y54" s="300">
        <f>SUM(V54:X54)</f>
        <v>1.0169999999969215</v>
      </c>
    </row>
    <row r="55" spans="1:25" x14ac:dyDescent="0.2">
      <c r="A55" s="260" t="s">
        <v>355</v>
      </c>
      <c r="B55" s="300">
        <v>1.0469999999992874</v>
      </c>
      <c r="C55" s="300">
        <v>0.24300000000291641</v>
      </c>
      <c r="D55" s="300">
        <v>5.1000000000248583E-2</v>
      </c>
      <c r="E55" s="300">
        <f t="shared" ref="E55:E56" si="98">SUM(B55:D55)</f>
        <v>1.3410000000024525</v>
      </c>
      <c r="F55" s="300"/>
      <c r="G55" s="300">
        <v>1.9270000000021805</v>
      </c>
      <c r="H55" s="300">
        <v>7.8000000000663192E-2</v>
      </c>
      <c r="I55" s="300">
        <v>0.53400000000526981</v>
      </c>
      <c r="J55" s="300">
        <f t="shared" ref="J55:J56" si="99">SUM(G55:I55)</f>
        <v>2.5390000000081137</v>
      </c>
      <c r="K55" s="300"/>
      <c r="L55" s="300">
        <v>1.8349999999914075</v>
      </c>
      <c r="M55" s="300">
        <v>7.1999999999606157E-2</v>
      </c>
      <c r="N55" s="300">
        <v>0.12599999999880718</v>
      </c>
      <c r="O55" s="300">
        <f t="shared" ref="O55:O56" si="100">SUM(L55:N55)</f>
        <v>2.0329999999898209</v>
      </c>
      <c r="P55" s="300"/>
      <c r="Q55" s="300">
        <v>1.8709999999941829</v>
      </c>
      <c r="R55" s="300">
        <v>7.8999999999431095E-2</v>
      </c>
      <c r="S55" s="300">
        <v>0.15899999999726389</v>
      </c>
      <c r="T55" s="300">
        <f t="shared" ref="T55:T56" si="101">SUM(Q55:S55)</f>
        <v>2.1089999999908779</v>
      </c>
      <c r="U55" s="300"/>
      <c r="V55" s="300">
        <v>1.6579999999962109</v>
      </c>
      <c r="W55" s="300">
        <v>7.8999999999372794E-2</v>
      </c>
      <c r="X55" s="300">
        <v>0.20099999999617654</v>
      </c>
      <c r="Y55" s="300">
        <f t="shared" ref="Y55:Y56" si="102">SUM(V55:X55)</f>
        <v>1.9379999999917601</v>
      </c>
    </row>
    <row r="56" spans="1:25" x14ac:dyDescent="0.2">
      <c r="A56" s="260" t="s">
        <v>354</v>
      </c>
      <c r="B56" s="300">
        <f>SUM(B54:B55)</f>
        <v>1.3989999999981917</v>
      </c>
      <c r="C56" s="300">
        <f t="shared" ref="C56" si="103">SUM(C54:C55)</f>
        <v>0.37900000000480044</v>
      </c>
      <c r="D56" s="300">
        <f t="shared" ref="D56" si="104">SUM(D54:D55)</f>
        <v>7.0999999999702398E-2</v>
      </c>
      <c r="E56" s="300">
        <f t="shared" si="98"/>
        <v>1.8490000000026945</v>
      </c>
      <c r="F56" s="300"/>
      <c r="G56" s="300">
        <f>SUM(G54:G55)</f>
        <v>2.5849999999985753</v>
      </c>
      <c r="H56" s="300">
        <f t="shared" ref="H56" si="105">SUM(H54:H55)</f>
        <v>0.16900000000187854</v>
      </c>
      <c r="I56" s="300">
        <f t="shared" ref="I56" si="106">SUM(I54:I55)</f>
        <v>0.56400000000464634</v>
      </c>
      <c r="J56" s="300">
        <f t="shared" si="99"/>
        <v>3.3180000000051004</v>
      </c>
      <c r="K56" s="300"/>
      <c r="L56" s="300">
        <f>SUM(L54:L55)</f>
        <v>2.5389999999878627</v>
      </c>
      <c r="M56" s="300">
        <f t="shared" ref="M56" si="107">SUM(M54:M55)</f>
        <v>0.12399999999919983</v>
      </c>
      <c r="N56" s="300">
        <f t="shared" ref="N56" si="108">SUM(N54:N55)</f>
        <v>0.33500000000557184</v>
      </c>
      <c r="O56" s="300">
        <f t="shared" si="100"/>
        <v>2.9979999999926346</v>
      </c>
      <c r="P56" s="300"/>
      <c r="Q56" s="300">
        <f>SUM(Q54:Q55)</f>
        <v>2.6250000000035127</v>
      </c>
      <c r="R56" s="300">
        <f t="shared" ref="R56" si="109">SUM(R54:R55)</f>
        <v>0.13699999999896073</v>
      </c>
      <c r="S56" s="300">
        <f t="shared" ref="S56" si="110">SUM(S54:S55)</f>
        <v>0.38499999999716072</v>
      </c>
      <c r="T56" s="300">
        <f t="shared" si="101"/>
        <v>3.1469999999996343</v>
      </c>
      <c r="U56" s="300"/>
      <c r="V56" s="300">
        <f>SUM(V54:V55)</f>
        <v>2.3949999999956484</v>
      </c>
      <c r="W56" s="300">
        <f t="shared" ref="W56" si="111">SUM(W54:W55)</f>
        <v>0.13799999999887747</v>
      </c>
      <c r="X56" s="300">
        <f t="shared" ref="X56" si="112">SUM(X54:X55)</f>
        <v>0.42199999999415622</v>
      </c>
      <c r="Y56" s="300">
        <f t="shared" si="102"/>
        <v>2.954999999988682</v>
      </c>
    </row>
    <row r="57" spans="1:25" x14ac:dyDescent="0.2">
      <c r="C57" s="319"/>
      <c r="D57" s="319"/>
      <c r="E57" s="319"/>
      <c r="F57" s="319"/>
      <c r="G57" s="319"/>
      <c r="H57" s="319"/>
      <c r="I57" s="319"/>
      <c r="J57" s="319"/>
      <c r="K57" s="319"/>
      <c r="L57" s="319"/>
      <c r="M57" s="319"/>
      <c r="N57" s="319"/>
      <c r="O57" s="319"/>
      <c r="P57" s="319"/>
      <c r="Q57" s="319"/>
      <c r="R57" s="319"/>
      <c r="S57" s="319"/>
      <c r="T57" s="319"/>
      <c r="U57" s="319"/>
      <c r="V57" s="319"/>
      <c r="W57" s="319"/>
      <c r="X57" s="319"/>
      <c r="Y57" s="319"/>
    </row>
    <row r="58" spans="1:25" x14ac:dyDescent="0.2">
      <c r="A58" s="261" t="str">
        <f>name!A21</f>
        <v>Machinery n.e.c.</v>
      </c>
      <c r="C58" s="263"/>
    </row>
    <row r="59" spans="1:25" x14ac:dyDescent="0.2">
      <c r="A59" s="260" t="s">
        <v>356</v>
      </c>
      <c r="B59" s="300">
        <v>0.57099999999850659</v>
      </c>
      <c r="C59" s="300">
        <v>0.35800000000549498</v>
      </c>
      <c r="D59" s="300">
        <v>6.3000000000523193E-2</v>
      </c>
      <c r="E59" s="300">
        <f>SUM(B59:D59)</f>
        <v>0.99200000000452471</v>
      </c>
      <c r="F59" s="300"/>
      <c r="G59" s="300">
        <v>0.35199999999805898</v>
      </c>
      <c r="H59" s="300">
        <v>4.9000000000718628E-2</v>
      </c>
      <c r="I59" s="300">
        <v>2.5000000000164092E-2</v>
      </c>
      <c r="J59" s="300">
        <f>SUM(G59:I59)</f>
        <v>0.42599999999894173</v>
      </c>
      <c r="K59" s="300"/>
      <c r="L59" s="300">
        <v>0.41199999999760267</v>
      </c>
      <c r="M59" s="300">
        <v>3.6999999999710383E-2</v>
      </c>
      <c r="N59" s="300">
        <v>6.9999999999871609E-2</v>
      </c>
      <c r="O59" s="300">
        <f>SUM(L59:N59)</f>
        <v>0.5189999999971846</v>
      </c>
      <c r="P59" s="300"/>
      <c r="Q59" s="300">
        <v>0.48300000000627002</v>
      </c>
      <c r="R59" s="300">
        <v>4.2999999999651095E-2</v>
      </c>
      <c r="S59" s="300">
        <v>8.4999999999792103E-2</v>
      </c>
      <c r="T59" s="300">
        <f>SUM(Q59:S59)</f>
        <v>0.6110000000057132</v>
      </c>
      <c r="U59" s="300"/>
      <c r="V59" s="300">
        <v>0.4310000000001557</v>
      </c>
      <c r="W59" s="300">
        <v>3.89999999996418E-2</v>
      </c>
      <c r="X59" s="300">
        <v>7.9999999999477461E-2</v>
      </c>
      <c r="Y59" s="300">
        <f>SUM(V59:X59)</f>
        <v>0.54999999999927496</v>
      </c>
    </row>
    <row r="60" spans="1:25" x14ac:dyDescent="0.2">
      <c r="A60" s="260" t="s">
        <v>355</v>
      </c>
      <c r="B60" s="300">
        <v>2.8530000000004518</v>
      </c>
      <c r="C60" s="300">
        <v>0.3150000000009921</v>
      </c>
      <c r="D60" s="300">
        <v>0.28500000000240372</v>
      </c>
      <c r="E60" s="300">
        <f t="shared" ref="E60:E61" si="113">SUM(B60:D60)</f>
        <v>3.4530000000038474</v>
      </c>
      <c r="F60" s="300"/>
      <c r="G60" s="300">
        <v>1.6550000000027181</v>
      </c>
      <c r="H60" s="300">
        <v>2.3000000000031461E-2</v>
      </c>
      <c r="I60" s="300">
        <v>0.3610000000056382</v>
      </c>
      <c r="J60" s="300">
        <f t="shared" ref="J60:J61" si="114">SUM(G60:I60)</f>
        <v>2.0390000000083877</v>
      </c>
      <c r="K60" s="300"/>
      <c r="L60" s="300">
        <v>1.6499999999902888</v>
      </c>
      <c r="M60" s="300">
        <v>1.8999999999999819E-2</v>
      </c>
      <c r="N60" s="300">
        <v>0.30499999999760558</v>
      </c>
      <c r="O60" s="300">
        <f t="shared" ref="O60:O61" si="115">SUM(L60:N60)</f>
        <v>1.9739999999878943</v>
      </c>
      <c r="P60" s="300"/>
      <c r="Q60" s="300">
        <v>1.9579999999926094</v>
      </c>
      <c r="R60" s="300">
        <v>2.3999999999945787E-2</v>
      </c>
      <c r="S60" s="300">
        <v>0.36599999999414085</v>
      </c>
      <c r="T60" s="300">
        <f t="shared" ref="T60:T61" si="116">SUM(Q60:S60)</f>
        <v>2.3479999999866963</v>
      </c>
      <c r="U60" s="300"/>
      <c r="V60" s="300">
        <v>1.7889999999944082</v>
      </c>
      <c r="W60" s="300">
        <v>2.2999999999966776E-2</v>
      </c>
      <c r="X60" s="300">
        <v>0.3449999999950778</v>
      </c>
      <c r="Y60" s="300">
        <f t="shared" ref="Y60:Y61" si="117">SUM(V60:X60)</f>
        <v>2.1569999999894529</v>
      </c>
    </row>
    <row r="61" spans="1:25" x14ac:dyDescent="0.2">
      <c r="A61" s="260" t="s">
        <v>354</v>
      </c>
      <c r="B61" s="300">
        <f>SUM(B59:B60)</f>
        <v>3.4239999999989585</v>
      </c>
      <c r="C61" s="300">
        <f t="shared" ref="C61" si="118">SUM(C59:C60)</f>
        <v>0.67300000000648708</v>
      </c>
      <c r="D61" s="300">
        <f t="shared" ref="D61" si="119">SUM(D59:D60)</f>
        <v>0.34800000000292691</v>
      </c>
      <c r="E61" s="300">
        <f t="shared" si="113"/>
        <v>4.4450000000083731</v>
      </c>
      <c r="F61" s="300"/>
      <c r="G61" s="300">
        <f>SUM(G59:G60)</f>
        <v>2.0070000000007768</v>
      </c>
      <c r="H61" s="300">
        <f t="shared" ref="H61" si="120">SUM(H59:H60)</f>
        <v>7.2000000000750089E-2</v>
      </c>
      <c r="I61" s="300">
        <f t="shared" ref="I61" si="121">SUM(I59:I60)</f>
        <v>0.38600000000580231</v>
      </c>
      <c r="J61" s="300">
        <f t="shared" si="114"/>
        <v>2.4650000000073291</v>
      </c>
      <c r="K61" s="300"/>
      <c r="L61" s="300">
        <f>SUM(L59:L60)</f>
        <v>2.0619999999878913</v>
      </c>
      <c r="M61" s="300">
        <f t="shared" ref="M61" si="122">SUM(M59:M60)</f>
        <v>5.5999999999710198E-2</v>
      </c>
      <c r="N61" s="300">
        <f t="shared" ref="N61" si="123">SUM(N59:N60)</f>
        <v>0.37499999999747718</v>
      </c>
      <c r="O61" s="300">
        <f t="shared" si="115"/>
        <v>2.4929999999850785</v>
      </c>
      <c r="P61" s="300"/>
      <c r="Q61" s="300">
        <f>SUM(Q59:Q60)</f>
        <v>2.4409999999988794</v>
      </c>
      <c r="R61" s="300">
        <f t="shared" ref="R61" si="124">SUM(R59:R60)</f>
        <v>6.6999999999596882E-2</v>
      </c>
      <c r="S61" s="300">
        <f t="shared" ref="S61" si="125">SUM(S59:S60)</f>
        <v>0.45099999999393292</v>
      </c>
      <c r="T61" s="300">
        <f t="shared" si="116"/>
        <v>2.9589999999924093</v>
      </c>
      <c r="U61" s="300"/>
      <c r="V61" s="300">
        <f>SUM(V59:V60)</f>
        <v>2.2199999999945641</v>
      </c>
      <c r="W61" s="300">
        <f t="shared" ref="W61" si="126">SUM(W59:W60)</f>
        <v>6.1999999999608577E-2</v>
      </c>
      <c r="X61" s="300">
        <f t="shared" ref="X61" si="127">SUM(X59:X60)</f>
        <v>0.42499999999455529</v>
      </c>
      <c r="Y61" s="300">
        <f t="shared" si="117"/>
        <v>2.706999999988728</v>
      </c>
    </row>
    <row r="62" spans="1:25" x14ac:dyDescent="0.2">
      <c r="C62" s="263"/>
    </row>
    <row r="63" spans="1:25" x14ac:dyDescent="0.2">
      <c r="A63" s="261" t="s">
        <v>371</v>
      </c>
    </row>
    <row r="64" spans="1:25" x14ac:dyDescent="0.2">
      <c r="A64" s="260" t="s">
        <v>356</v>
      </c>
      <c r="B64" s="300">
        <f>SUM(B49,B54,B59)</f>
        <v>1.8039999999919587</v>
      </c>
      <c r="C64" s="300">
        <f t="shared" ref="C64:D65" si="128">SUM(C49,C54,C59)</f>
        <v>0.58200000000868291</v>
      </c>
      <c r="D64" s="300">
        <f t="shared" si="128"/>
        <v>0.11600000000023994</v>
      </c>
      <c r="E64" s="300">
        <f>SUM(B64:D64)</f>
        <v>2.5020000000008813</v>
      </c>
      <c r="F64" s="300"/>
      <c r="G64" s="300">
        <f>SUM(G49,G54,G59)</f>
        <v>2.6279999999819399</v>
      </c>
      <c r="H64" s="300">
        <f t="shared" ref="H64:I64" si="129">SUM(H49,H54,H59)</f>
        <v>0.4740000000065856</v>
      </c>
      <c r="I64" s="300">
        <f t="shared" si="129"/>
        <v>7.4999999999675659E-2</v>
      </c>
      <c r="J64" s="300">
        <f>SUM(G64:I64)</f>
        <v>3.176999999988201</v>
      </c>
      <c r="K64" s="300"/>
      <c r="L64" s="300">
        <f>SUM(L49,L54,L59)</f>
        <v>3.2939999999916356</v>
      </c>
      <c r="M64" s="300">
        <f t="shared" ref="M64:N64" si="130">SUM(M49,M54,M59)</f>
        <v>0.30599999999708372</v>
      </c>
      <c r="N64" s="300">
        <f t="shared" si="130"/>
        <v>0.45300000000649637</v>
      </c>
      <c r="O64" s="300">
        <f>SUM(L64:N64)</f>
        <v>4.0529999999952153</v>
      </c>
      <c r="P64" s="300"/>
      <c r="Q64" s="300">
        <f>SUM(Q49,Q54,Q59)</f>
        <v>4.0440000000582934</v>
      </c>
      <c r="R64" s="300">
        <f t="shared" ref="R64:S64" si="131">SUM(R49,R54,R59)</f>
        <v>0.39699999999488472</v>
      </c>
      <c r="S64" s="300">
        <f t="shared" si="131"/>
        <v>0.54999999999944593</v>
      </c>
      <c r="T64" s="300">
        <f>SUM(Q64:S64)</f>
        <v>4.9910000000526233</v>
      </c>
      <c r="U64" s="300"/>
      <c r="V64" s="300">
        <f>SUM(V49,V54,V59)</f>
        <v>4.0460000000031631</v>
      </c>
      <c r="W64" s="300">
        <f t="shared" ref="W64:X64" si="132">SUM(W49,W54,W59)</f>
        <v>0.4239999999957747</v>
      </c>
      <c r="X64" s="300">
        <f t="shared" si="132"/>
        <v>0.5799999999956017</v>
      </c>
      <c r="Y64" s="300">
        <f>SUM(V64:X64)</f>
        <v>5.0499999999945393</v>
      </c>
    </row>
    <row r="65" spans="1:25" x14ac:dyDescent="0.2">
      <c r="A65" s="260" t="s">
        <v>355</v>
      </c>
      <c r="B65" s="300">
        <f>SUM(B50,B55,B60)</f>
        <v>6.0589999999908262</v>
      </c>
      <c r="C65" s="300">
        <f t="shared" si="128"/>
        <v>0.679000000004778</v>
      </c>
      <c r="D65" s="300">
        <f t="shared" si="128"/>
        <v>0.51100000000455315</v>
      </c>
      <c r="E65" s="300">
        <f t="shared" ref="E65:E66" si="133">SUM(B65:D65)</f>
        <v>7.2490000000001569</v>
      </c>
      <c r="F65" s="300"/>
      <c r="G65" s="300">
        <f>SUM(G50,G55,G60)</f>
        <v>8.0440000000001959</v>
      </c>
      <c r="H65" s="300">
        <f t="shared" ref="H65:I65" si="134">SUM(H50,H55,H60)</f>
        <v>0.32800000000173113</v>
      </c>
      <c r="I65" s="300">
        <f t="shared" si="134"/>
        <v>1.8900000000201109</v>
      </c>
      <c r="J65" s="300">
        <f t="shared" ref="J65:J66" si="135">SUM(G65:I65)</f>
        <v>10.262000000022038</v>
      </c>
      <c r="K65" s="300"/>
      <c r="L65" s="300">
        <f>SUM(L50,L55,L60)</f>
        <v>8.2309999999763335</v>
      </c>
      <c r="M65" s="300">
        <f t="shared" ref="M65:N65" si="136">SUM(M50,M55,M60)</f>
        <v>0.28799999999911097</v>
      </c>
      <c r="N65" s="300">
        <f t="shared" si="136"/>
        <v>1.1509999999961864</v>
      </c>
      <c r="O65" s="300">
        <f t="shared" ref="O65:O66" si="137">SUM(L65:N65)</f>
        <v>9.6699999999716297</v>
      </c>
      <c r="P65" s="300"/>
      <c r="Q65" s="300">
        <f>SUM(Q50,Q55,Q60)</f>
        <v>10.421999999980361</v>
      </c>
      <c r="R65" s="300">
        <f t="shared" ref="R65:S65" si="138">SUM(R50,R55,R60)</f>
        <v>0.38299999999861278</v>
      </c>
      <c r="S65" s="300">
        <f t="shared" si="138"/>
        <v>1.5369999999923585</v>
      </c>
      <c r="T65" s="300">
        <f t="shared" ref="T65:T66" si="139">SUM(Q65:S65)</f>
        <v>12.341999999971334</v>
      </c>
      <c r="U65" s="300"/>
      <c r="V65" s="300">
        <f>SUM(V50,V55,V60)</f>
        <v>11.232999999992391</v>
      </c>
      <c r="W65" s="300">
        <f t="shared" ref="W65:X65" si="140">SUM(W50,W55,W60)</f>
        <v>0.44099999999888817</v>
      </c>
      <c r="X65" s="300">
        <f t="shared" si="140"/>
        <v>1.7709999999884758</v>
      </c>
      <c r="Y65" s="300">
        <f t="shared" ref="Y65:Y66" si="141">SUM(V65:X65)</f>
        <v>13.444999999979755</v>
      </c>
    </row>
    <row r="66" spans="1:25" x14ac:dyDescent="0.2">
      <c r="A66" s="264" t="s">
        <v>354</v>
      </c>
      <c r="B66" s="301">
        <f>SUM(B64:B65)</f>
        <v>7.8629999999827849</v>
      </c>
      <c r="C66" s="301">
        <f t="shared" ref="C66" si="142">SUM(C64:C65)</f>
        <v>1.2610000000134609</v>
      </c>
      <c r="D66" s="301">
        <f t="shared" ref="D66" si="143">SUM(D64:D65)</f>
        <v>0.62700000000479306</v>
      </c>
      <c r="E66" s="301">
        <f t="shared" si="133"/>
        <v>9.7510000000010386</v>
      </c>
      <c r="F66" s="301"/>
      <c r="G66" s="301">
        <f>SUM(G64:G65)</f>
        <v>10.671999999982136</v>
      </c>
      <c r="H66" s="301">
        <f t="shared" ref="H66" si="144">SUM(H64:H65)</f>
        <v>0.80200000000831673</v>
      </c>
      <c r="I66" s="301">
        <f t="shared" ref="I66" si="145">SUM(I64:I65)</f>
        <v>1.9650000000197867</v>
      </c>
      <c r="J66" s="301">
        <f t="shared" si="135"/>
        <v>13.439000000010239</v>
      </c>
      <c r="K66" s="301"/>
      <c r="L66" s="301">
        <f>SUM(L64:L65)</f>
        <v>11.524999999967969</v>
      </c>
      <c r="M66" s="301">
        <f t="shared" ref="M66" si="146">SUM(M64:M65)</f>
        <v>0.59399999999619468</v>
      </c>
      <c r="N66" s="301">
        <f t="shared" ref="N66" si="147">SUM(N64:N65)</f>
        <v>1.6040000000026828</v>
      </c>
      <c r="O66" s="301">
        <f t="shared" si="137"/>
        <v>13.722999999966847</v>
      </c>
      <c r="P66" s="301"/>
      <c r="Q66" s="301">
        <f>SUM(Q64:Q65)</f>
        <v>14.466000000038655</v>
      </c>
      <c r="R66" s="301">
        <f t="shared" ref="R66" si="148">SUM(R64:R65)</f>
        <v>0.77999999999349745</v>
      </c>
      <c r="S66" s="301">
        <f t="shared" ref="S66" si="149">SUM(S64:S65)</f>
        <v>2.0869999999918045</v>
      </c>
      <c r="T66" s="301">
        <f t="shared" si="139"/>
        <v>17.333000000023958</v>
      </c>
      <c r="U66" s="301"/>
      <c r="V66" s="301">
        <f>SUM(V64:V65)</f>
        <v>15.278999999995554</v>
      </c>
      <c r="W66" s="301">
        <f t="shared" ref="W66" si="150">SUM(W64:W65)</f>
        <v>0.86499999999466293</v>
      </c>
      <c r="X66" s="301">
        <f t="shared" ref="X66" si="151">SUM(X64:X65)</f>
        <v>2.3509999999840776</v>
      </c>
      <c r="Y66" s="301">
        <f t="shared" si="141"/>
        <v>18.494999999974297</v>
      </c>
    </row>
    <row r="67" spans="1:25" x14ac:dyDescent="0.2">
      <c r="C67" s="263"/>
    </row>
    <row r="68" spans="1:25" x14ac:dyDescent="0.2">
      <c r="C68" s="263"/>
    </row>
    <row r="69" spans="1:25" x14ac:dyDescent="0.2">
      <c r="A69" s="261"/>
    </row>
    <row r="70" spans="1:25" ht="15" x14ac:dyDescent="0.25">
      <c r="A70" s="265" t="str">
        <f>"Industry 5 : "&amp; name!B8</f>
        <v>Industry 5 : Rest of manufacturing</v>
      </c>
      <c r="B70" s="371">
        <f>$B$5</f>
        <v>2015</v>
      </c>
      <c r="C70" s="371"/>
      <c r="D70" s="371"/>
      <c r="E70" s="371"/>
      <c r="F70" s="320"/>
      <c r="G70" s="371">
        <f>$G$5</f>
        <v>2019</v>
      </c>
      <c r="H70" s="371"/>
      <c r="I70" s="371"/>
      <c r="J70" s="371"/>
      <c r="K70" s="320"/>
      <c r="L70" s="371">
        <f>$L$5</f>
        <v>2020</v>
      </c>
      <c r="M70" s="371"/>
      <c r="N70" s="371"/>
      <c r="O70" s="371"/>
      <c r="P70" s="318"/>
      <c r="Q70" s="371">
        <f>$Q$5</f>
        <v>2025</v>
      </c>
      <c r="R70" s="371"/>
      <c r="S70" s="371"/>
      <c r="T70" s="371"/>
      <c r="U70" s="320"/>
      <c r="V70" s="371">
        <f>$V$5</f>
        <v>2035</v>
      </c>
      <c r="W70" s="371"/>
      <c r="X70" s="371"/>
      <c r="Y70" s="371"/>
    </row>
    <row r="71" spans="1:25" x14ac:dyDescent="0.2">
      <c r="A71" s="264"/>
      <c r="B71" s="268" t="str">
        <f>$B$6</f>
        <v>FT</v>
      </c>
      <c r="C71" s="268" t="str">
        <f>$C$6</f>
        <v>PT</v>
      </c>
      <c r="D71" s="268" t="str">
        <f>$D$6</f>
        <v>SE</v>
      </c>
      <c r="E71" s="268" t="str">
        <f>$E$6</f>
        <v>Total</v>
      </c>
      <c r="F71" s="268"/>
      <c r="G71" s="268" t="str">
        <f>$B$6</f>
        <v>FT</v>
      </c>
      <c r="H71" s="268" t="str">
        <f>$C$6</f>
        <v>PT</v>
      </c>
      <c r="I71" s="268" t="str">
        <f>$D$6</f>
        <v>SE</v>
      </c>
      <c r="J71" s="268" t="str">
        <f>$E$6</f>
        <v>Total</v>
      </c>
      <c r="K71" s="268"/>
      <c r="L71" s="268" t="str">
        <f>$L$6</f>
        <v>FT</v>
      </c>
      <c r="M71" s="268" t="str">
        <f>$M$6</f>
        <v>PT</v>
      </c>
      <c r="N71" s="268" t="str">
        <f>$N$6</f>
        <v>SE</v>
      </c>
      <c r="O71" s="268" t="str">
        <f>$O$6</f>
        <v>Total</v>
      </c>
      <c r="P71" s="268"/>
      <c r="Q71" s="268" t="str">
        <f>$L$6</f>
        <v>FT</v>
      </c>
      <c r="R71" s="268" t="str">
        <f>$M$6</f>
        <v>PT</v>
      </c>
      <c r="S71" s="268" t="str">
        <f>$N$6</f>
        <v>SE</v>
      </c>
      <c r="T71" s="268" t="str">
        <f>$O$6</f>
        <v>Total</v>
      </c>
      <c r="U71" s="268"/>
      <c r="V71" s="268" t="str">
        <f>$V$6</f>
        <v>FT</v>
      </c>
      <c r="W71" s="268" t="str">
        <f>$W$6</f>
        <v>PT</v>
      </c>
      <c r="X71" s="268" t="str">
        <f>$X$6</f>
        <v>SE</v>
      </c>
      <c r="Y71" s="268" t="str">
        <f>$Y$6</f>
        <v>Total</v>
      </c>
    </row>
    <row r="72" spans="1:25" x14ac:dyDescent="0.2">
      <c r="C72" s="319"/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19"/>
      <c r="R72" s="319"/>
      <c r="S72" s="319"/>
      <c r="T72" s="319"/>
      <c r="U72" s="319"/>
      <c r="V72" s="319"/>
      <c r="W72" s="319"/>
      <c r="X72" s="319"/>
      <c r="Y72" s="319"/>
    </row>
    <row r="73" spans="1:25" x14ac:dyDescent="0.2">
      <c r="A73" s="261" t="str">
        <f>name!A8</f>
        <v>Textiles</v>
      </c>
      <c r="C73" s="263"/>
    </row>
    <row r="74" spans="1:25" x14ac:dyDescent="0.2">
      <c r="A74" s="260" t="s">
        <v>356</v>
      </c>
      <c r="B74" s="300">
        <v>0.48099999999907667</v>
      </c>
      <c r="C74" s="300">
        <v>8.9000000002272844E-2</v>
      </c>
      <c r="D74" s="300">
        <v>0.3000000000057314</v>
      </c>
      <c r="E74" s="300">
        <f>SUM(B74:D74)</f>
        <v>0.87000000000708089</v>
      </c>
      <c r="F74" s="300"/>
      <c r="G74" s="300">
        <v>0.91999999999128856</v>
      </c>
      <c r="H74" s="300">
        <v>1.7000000000361726E-2</v>
      </c>
      <c r="I74" s="300">
        <v>0.17300000000284599</v>
      </c>
      <c r="J74" s="300">
        <f>SUM(G74:I74)</f>
        <v>1.1099999999944963</v>
      </c>
      <c r="K74" s="300"/>
      <c r="L74" s="300">
        <v>1.0369999999864103</v>
      </c>
      <c r="M74" s="300">
        <v>1.2000000000029071E-2</v>
      </c>
      <c r="N74" s="300">
        <v>1.1359999999802517</v>
      </c>
      <c r="O74" s="300">
        <f>SUM(L74:N74)</f>
        <v>2.1849999999666911</v>
      </c>
      <c r="P74" s="300"/>
      <c r="Q74" s="300">
        <v>0.91800000002268078</v>
      </c>
      <c r="R74" s="300">
        <v>1.1000000000141444E-2</v>
      </c>
      <c r="S74" s="300">
        <v>0.98600000000108845</v>
      </c>
      <c r="T74" s="300">
        <f>SUM(Q74:S74)</f>
        <v>1.9150000000239107</v>
      </c>
      <c r="U74" s="300"/>
      <c r="V74" s="300">
        <v>0.79899999999912041</v>
      </c>
      <c r="W74" s="300">
        <v>8.9999999999484919E-3</v>
      </c>
      <c r="X74" s="300">
        <v>0.83599999999924923</v>
      </c>
      <c r="Y74" s="300">
        <f>SUM(V74:X74)</f>
        <v>1.6439999999983181</v>
      </c>
    </row>
    <row r="75" spans="1:25" x14ac:dyDescent="0.2">
      <c r="A75" s="260" t="s">
        <v>355</v>
      </c>
      <c r="B75" s="300">
        <v>1.4390000000182592</v>
      </c>
      <c r="C75" s="300">
        <v>0.14200000000345553</v>
      </c>
      <c r="D75" s="300">
        <v>0.22700000000386678</v>
      </c>
      <c r="E75" s="300">
        <f t="shared" ref="E75:E76" si="152">SUM(B75:D75)</f>
        <v>1.8080000000255816</v>
      </c>
      <c r="F75" s="300"/>
      <c r="G75" s="300">
        <v>1.7420000000166898</v>
      </c>
      <c r="H75" s="300">
        <v>1.4000000000245792E-2</v>
      </c>
      <c r="I75" s="300">
        <v>0.44500000000526008</v>
      </c>
      <c r="J75" s="300">
        <f t="shared" ref="J75:J76" si="153">SUM(G75:I75)</f>
        <v>2.2010000000221956</v>
      </c>
      <c r="K75" s="300"/>
      <c r="L75" s="300">
        <v>1.7899999999752072</v>
      </c>
      <c r="M75" s="300">
        <v>1.5999999999783451E-2</v>
      </c>
      <c r="N75" s="300">
        <v>0.51200000000106982</v>
      </c>
      <c r="O75" s="300">
        <f t="shared" ref="O75:O76" si="154">SUM(L75:N75)</f>
        <v>2.3179999999760605</v>
      </c>
      <c r="P75" s="300"/>
      <c r="Q75" s="300">
        <v>1.5929999999844777</v>
      </c>
      <c r="R75" s="300">
        <v>1.3999999999852564E-2</v>
      </c>
      <c r="S75" s="300">
        <v>0.45400000000452506</v>
      </c>
      <c r="T75" s="300">
        <f t="shared" ref="T75:T76" si="155">SUM(Q75:S75)</f>
        <v>2.0609999999888555</v>
      </c>
      <c r="U75" s="300"/>
      <c r="V75" s="300">
        <v>1.3589999999840232</v>
      </c>
      <c r="W75" s="300">
        <v>1.1999999999776436E-2</v>
      </c>
      <c r="X75" s="300">
        <v>0.37100000000365235</v>
      </c>
      <c r="Y75" s="300">
        <f t="shared" ref="Y75:Y76" si="156">SUM(V75:X75)</f>
        <v>1.741999999987452</v>
      </c>
    </row>
    <row r="76" spans="1:25" x14ac:dyDescent="0.2">
      <c r="A76" s="260" t="s">
        <v>354</v>
      </c>
      <c r="B76" s="300">
        <f>SUM(B74:B75)</f>
        <v>1.9200000000173358</v>
      </c>
      <c r="C76" s="300">
        <f t="shared" ref="C76" si="157">SUM(C74:C75)</f>
        <v>0.23100000000572837</v>
      </c>
      <c r="D76" s="300">
        <f t="shared" ref="D76" si="158">SUM(D74:D75)</f>
        <v>0.52700000000959824</v>
      </c>
      <c r="E76" s="300">
        <f t="shared" si="152"/>
        <v>2.6780000000326623</v>
      </c>
      <c r="F76" s="300"/>
      <c r="G76" s="300">
        <f>SUM(G74:G75)</f>
        <v>2.6620000000079784</v>
      </c>
      <c r="H76" s="300">
        <f t="shared" ref="H76" si="159">SUM(H74:H75)</f>
        <v>3.1000000000607517E-2</v>
      </c>
      <c r="I76" s="300">
        <f t="shared" ref="I76" si="160">SUM(I74:I75)</f>
        <v>0.61800000000810607</v>
      </c>
      <c r="J76" s="300">
        <f t="shared" si="153"/>
        <v>3.3110000000166924</v>
      </c>
      <c r="K76" s="300"/>
      <c r="L76" s="300">
        <f>SUM(L74:L75)</f>
        <v>2.8269999999616173</v>
      </c>
      <c r="M76" s="300">
        <f t="shared" ref="M76" si="161">SUM(M74:M75)</f>
        <v>2.7999999999812522E-2</v>
      </c>
      <c r="N76" s="300">
        <f t="shared" ref="N76" si="162">SUM(N74:N75)</f>
        <v>1.6479999999813215</v>
      </c>
      <c r="O76" s="300">
        <f t="shared" si="154"/>
        <v>4.5029999999427517</v>
      </c>
      <c r="P76" s="300"/>
      <c r="Q76" s="300">
        <f>SUM(Q74:Q75)</f>
        <v>2.5110000000071584</v>
      </c>
      <c r="R76" s="300">
        <f t="shared" ref="R76" si="163">SUM(R74:R75)</f>
        <v>2.4999999999994006E-2</v>
      </c>
      <c r="S76" s="300">
        <f t="shared" ref="S76" si="164">SUM(S74:S75)</f>
        <v>1.4400000000056135</v>
      </c>
      <c r="T76" s="300">
        <f t="shared" si="155"/>
        <v>3.9760000000127658</v>
      </c>
      <c r="U76" s="300"/>
      <c r="V76" s="300">
        <f>SUM(V74:V75)</f>
        <v>2.1579999999831436</v>
      </c>
      <c r="W76" s="300">
        <f t="shared" ref="W76" si="165">SUM(W74:W75)</f>
        <v>2.0999999999724926E-2</v>
      </c>
      <c r="X76" s="300">
        <f t="shared" ref="X76" si="166">SUM(X74:X75)</f>
        <v>1.2070000000029015</v>
      </c>
      <c r="Y76" s="300">
        <f t="shared" si="156"/>
        <v>3.3859999999857702</v>
      </c>
    </row>
    <row r="77" spans="1:25" x14ac:dyDescent="0.2">
      <c r="C77" s="319"/>
      <c r="D77" s="319"/>
      <c r="E77" s="319"/>
      <c r="F77" s="319"/>
      <c r="G77" s="319"/>
      <c r="H77" s="319"/>
      <c r="I77" s="319"/>
      <c r="J77" s="319"/>
      <c r="K77" s="319"/>
      <c r="L77" s="319"/>
      <c r="M77" s="319"/>
      <c r="N77" s="319"/>
      <c r="O77" s="319"/>
      <c r="P77" s="319"/>
      <c r="Q77" s="319"/>
      <c r="R77" s="319"/>
      <c r="S77" s="319"/>
      <c r="T77" s="319"/>
      <c r="U77" s="319"/>
      <c r="V77" s="319"/>
      <c r="W77" s="319"/>
      <c r="X77" s="319"/>
      <c r="Y77" s="319"/>
    </row>
    <row r="78" spans="1:25" x14ac:dyDescent="0.2">
      <c r="A78" s="261" t="str">
        <f>name!A9</f>
        <v>Wearing apparel; Leather, etc</v>
      </c>
      <c r="C78" s="263"/>
    </row>
    <row r="79" spans="1:25" x14ac:dyDescent="0.2">
      <c r="A79" s="260" t="s">
        <v>356</v>
      </c>
      <c r="B79" s="300">
        <v>5.2619999999689746</v>
      </c>
      <c r="C79" s="300">
        <v>1.5190000000440511</v>
      </c>
      <c r="D79" s="300">
        <v>1.5840000000287062</v>
      </c>
      <c r="E79" s="300">
        <f>SUM(B79:D79)</f>
        <v>8.3650000000417322</v>
      </c>
      <c r="F79" s="300"/>
      <c r="G79" s="300">
        <v>2.0269999999774098</v>
      </c>
      <c r="H79" s="300">
        <v>0.56200000001387374</v>
      </c>
      <c r="I79" s="300">
        <v>0.24000000000404259</v>
      </c>
      <c r="J79" s="300">
        <f>SUM(G79:I79)</f>
        <v>2.8289999999953261</v>
      </c>
      <c r="K79" s="300"/>
      <c r="L79" s="300">
        <v>2.2859999999843037</v>
      </c>
      <c r="M79" s="300">
        <v>0.40100000000066144</v>
      </c>
      <c r="N79" s="300">
        <v>1.3919999999739925</v>
      </c>
      <c r="O79" s="300">
        <f>SUM(L79:N79)</f>
        <v>4.0789999999589579</v>
      </c>
      <c r="P79" s="300"/>
      <c r="Q79" s="300">
        <v>2.0240000000509144</v>
      </c>
      <c r="R79" s="300">
        <v>0.34400000000337111</v>
      </c>
      <c r="S79" s="300">
        <v>1.2080000000005757</v>
      </c>
      <c r="T79" s="300">
        <f>SUM(Q79:S79)</f>
        <v>3.5760000000548611</v>
      </c>
      <c r="U79" s="300"/>
      <c r="V79" s="300">
        <v>1.761000000002404</v>
      </c>
      <c r="W79" s="300">
        <v>0.29699999999722571</v>
      </c>
      <c r="X79" s="300">
        <v>1.0250000000140838</v>
      </c>
      <c r="Y79" s="300">
        <f>SUM(V79:X79)</f>
        <v>3.0830000000137132</v>
      </c>
    </row>
    <row r="80" spans="1:25" x14ac:dyDescent="0.2">
      <c r="A80" s="260" t="s">
        <v>355</v>
      </c>
      <c r="B80" s="300">
        <v>4.1160000000857444</v>
      </c>
      <c r="C80" s="300">
        <v>1.6810000000704253</v>
      </c>
      <c r="D80" s="300">
        <v>1.1030000000145268</v>
      </c>
      <c r="E80" s="300">
        <f t="shared" ref="E80:E81" si="167">SUM(B80:D80)</f>
        <v>6.9000000001706967</v>
      </c>
      <c r="F80" s="300"/>
      <c r="G80" s="300">
        <v>1.1160000000175108</v>
      </c>
      <c r="H80" s="300">
        <v>0.32600000001023122</v>
      </c>
      <c r="I80" s="300">
        <v>0.51400000000826263</v>
      </c>
      <c r="J80" s="300">
        <f t="shared" ref="J80:J81" si="168">SUM(G80:I80)</f>
        <v>1.9560000000360045</v>
      </c>
      <c r="K80" s="300"/>
      <c r="L80" s="300">
        <v>1.1469999999802385</v>
      </c>
      <c r="M80" s="300">
        <v>0.3879999999908435</v>
      </c>
      <c r="N80" s="300">
        <v>1.2589999999898491</v>
      </c>
      <c r="O80" s="300">
        <f t="shared" ref="O80:O81" si="169">SUM(L80:N80)</f>
        <v>2.7939999999609313</v>
      </c>
      <c r="P80" s="300"/>
      <c r="Q80" s="300">
        <v>1.020999999984697</v>
      </c>
      <c r="R80" s="300">
        <v>0.33299999999232455</v>
      </c>
      <c r="S80" s="300">
        <v>1.1459999999840671</v>
      </c>
      <c r="T80" s="300">
        <f t="shared" ref="T80:T81" si="170">SUM(Q80:S80)</f>
        <v>2.4999999999610889</v>
      </c>
      <c r="U80" s="300"/>
      <c r="V80" s="300">
        <v>0.87099999997962363</v>
      </c>
      <c r="W80" s="300">
        <v>0.292999999988796</v>
      </c>
      <c r="X80" s="300">
        <v>1.002999999993907</v>
      </c>
      <c r="Y80" s="300">
        <f t="shared" ref="Y80:Y81" si="171">SUM(V80:X80)</f>
        <v>2.1669999999623268</v>
      </c>
    </row>
    <row r="81" spans="1:25" x14ac:dyDescent="0.2">
      <c r="A81" s="260" t="s">
        <v>354</v>
      </c>
      <c r="B81" s="300">
        <f>SUM(B79:B80)</f>
        <v>9.378000000054719</v>
      </c>
      <c r="C81" s="300">
        <f t="shared" ref="C81" si="172">SUM(C79:C80)</f>
        <v>3.2000000001144766</v>
      </c>
      <c r="D81" s="300">
        <f t="shared" ref="D81" si="173">SUM(D79:D80)</f>
        <v>2.6870000000432332</v>
      </c>
      <c r="E81" s="300">
        <f t="shared" si="167"/>
        <v>15.265000000212428</v>
      </c>
      <c r="F81" s="300"/>
      <c r="G81" s="300">
        <f>SUM(G79:G80)</f>
        <v>3.1429999999949203</v>
      </c>
      <c r="H81" s="300">
        <f t="shared" ref="H81" si="174">SUM(H79:H80)</f>
        <v>0.88800000002410495</v>
      </c>
      <c r="I81" s="300">
        <f t="shared" ref="I81" si="175">SUM(I79:I80)</f>
        <v>0.75400000001230527</v>
      </c>
      <c r="J81" s="300">
        <f t="shared" si="168"/>
        <v>4.7850000000313306</v>
      </c>
      <c r="K81" s="300"/>
      <c r="L81" s="300">
        <f>SUM(L79:L80)</f>
        <v>3.432999999964542</v>
      </c>
      <c r="M81" s="300">
        <f t="shared" ref="M81" si="176">SUM(M79:M80)</f>
        <v>0.78899999999150494</v>
      </c>
      <c r="N81" s="300">
        <f t="shared" ref="N81" si="177">SUM(N79:N80)</f>
        <v>2.6509999999638416</v>
      </c>
      <c r="O81" s="300">
        <f t="shared" si="169"/>
        <v>6.8729999999198892</v>
      </c>
      <c r="P81" s="300"/>
      <c r="Q81" s="300">
        <f>SUM(Q79:Q80)</f>
        <v>3.0450000000356114</v>
      </c>
      <c r="R81" s="300">
        <f t="shared" ref="R81" si="178">SUM(R79:R80)</f>
        <v>0.67699999999569571</v>
      </c>
      <c r="S81" s="300">
        <f t="shared" ref="S81" si="179">SUM(S79:S80)</f>
        <v>2.3539999999846426</v>
      </c>
      <c r="T81" s="300">
        <f t="shared" si="170"/>
        <v>6.0760000000159495</v>
      </c>
      <c r="U81" s="300"/>
      <c r="V81" s="300">
        <f>SUM(V79:V80)</f>
        <v>2.6319999999820274</v>
      </c>
      <c r="W81" s="300">
        <f t="shared" ref="W81" si="180">SUM(W79:W80)</f>
        <v>0.58999999998602171</v>
      </c>
      <c r="X81" s="300">
        <f t="shared" ref="X81" si="181">SUM(X79:X80)</f>
        <v>2.0280000000079905</v>
      </c>
      <c r="Y81" s="300">
        <f t="shared" si="171"/>
        <v>5.2499999999760396</v>
      </c>
    </row>
    <row r="82" spans="1:25" x14ac:dyDescent="0.2">
      <c r="C82" s="319"/>
      <c r="D82" s="319"/>
      <c r="E82" s="319"/>
      <c r="F82" s="319"/>
      <c r="G82" s="319"/>
      <c r="H82" s="319"/>
      <c r="I82" s="319"/>
      <c r="J82" s="319"/>
      <c r="K82" s="319"/>
      <c r="L82" s="319"/>
      <c r="M82" s="319"/>
      <c r="N82" s="319"/>
      <c r="O82" s="319"/>
      <c r="P82" s="319"/>
      <c r="Q82" s="319"/>
      <c r="R82" s="319"/>
      <c r="S82" s="319"/>
      <c r="T82" s="319"/>
      <c r="U82" s="319"/>
      <c r="V82" s="319"/>
      <c r="W82" s="319"/>
      <c r="X82" s="319"/>
      <c r="Y82" s="319"/>
    </row>
    <row r="83" spans="1:25" x14ac:dyDescent="0.2">
      <c r="A83" s="261" t="str">
        <f>name!A10</f>
        <v xml:space="preserve">Wood and cork </v>
      </c>
      <c r="C83" s="263"/>
    </row>
    <row r="84" spans="1:25" x14ac:dyDescent="0.2">
      <c r="A84" s="260" t="s">
        <v>356</v>
      </c>
      <c r="B84" s="300">
        <v>0.26699999999822027</v>
      </c>
      <c r="C84" s="300">
        <v>5.800000000136657E-2</v>
      </c>
      <c r="D84" s="300">
        <v>2.1000000000362562E-2</v>
      </c>
      <c r="E84" s="300">
        <f>SUM(B84:D84)</f>
        <v>0.3459999999999494</v>
      </c>
      <c r="F84" s="300"/>
      <c r="G84" s="300">
        <v>0.5199999999957472</v>
      </c>
      <c r="H84" s="300">
        <v>0.14600000000324379</v>
      </c>
      <c r="I84" s="300">
        <v>3.2000000000498047E-2</v>
      </c>
      <c r="J84" s="300">
        <f>SUM(G84:I84)</f>
        <v>0.69799999999948903</v>
      </c>
      <c r="K84" s="300"/>
      <c r="L84" s="300">
        <v>0.58900000000095531</v>
      </c>
      <c r="M84" s="300">
        <v>7.1999999999278239E-2</v>
      </c>
      <c r="N84" s="300">
        <v>6.9999999998928489E-2</v>
      </c>
      <c r="O84" s="300">
        <f>SUM(L84:N84)</f>
        <v>0.73099999999916199</v>
      </c>
      <c r="P84" s="300"/>
      <c r="Q84" s="300">
        <v>0.67000000001061399</v>
      </c>
      <c r="R84" s="300">
        <v>8.299999999897735E-2</v>
      </c>
      <c r="S84" s="300">
        <v>7.8999999999324153E-2</v>
      </c>
      <c r="T84" s="300">
        <f>SUM(Q84:S84)</f>
        <v>0.8320000000089155</v>
      </c>
      <c r="U84" s="300"/>
      <c r="V84" s="300">
        <v>0.71300000000275887</v>
      </c>
      <c r="W84" s="300">
        <v>8.8999999998775642E-2</v>
      </c>
      <c r="X84" s="300">
        <v>9.1999999999437088E-2</v>
      </c>
      <c r="Y84" s="300">
        <f>SUM(V84:X84)</f>
        <v>0.89400000000097157</v>
      </c>
    </row>
    <row r="85" spans="1:25" x14ac:dyDescent="0.2">
      <c r="A85" s="260" t="s">
        <v>355</v>
      </c>
      <c r="B85" s="300">
        <v>1.3660000000146018</v>
      </c>
      <c r="C85" s="300">
        <v>2.9000000000968005E-2</v>
      </c>
      <c r="D85" s="300">
        <v>0.31599999999899142</v>
      </c>
      <c r="E85" s="300">
        <f t="shared" ref="E85:E86" si="182">SUM(B85:D85)</f>
        <v>1.7110000000145611</v>
      </c>
      <c r="F85" s="300"/>
      <c r="G85" s="300">
        <v>2.2330000000190657</v>
      </c>
      <c r="H85" s="300">
        <v>0.14400000000348703</v>
      </c>
      <c r="I85" s="300">
        <v>0.8340000000237604</v>
      </c>
      <c r="J85" s="300">
        <f t="shared" ref="J85:J86" si="183">SUM(G85:I85)</f>
        <v>3.2110000000463135</v>
      </c>
      <c r="K85" s="300"/>
      <c r="L85" s="300">
        <v>2.271999999972921</v>
      </c>
      <c r="M85" s="300">
        <v>0.10699999999804359</v>
      </c>
      <c r="N85" s="300">
        <v>1.5239999999463201</v>
      </c>
      <c r="O85" s="300">
        <f t="shared" ref="O85:O86" si="184">SUM(L85:N85)</f>
        <v>3.9029999999172844</v>
      </c>
      <c r="P85" s="300"/>
      <c r="Q85" s="300">
        <v>2.5319999999780638</v>
      </c>
      <c r="R85" s="300">
        <v>0.12299999999783223</v>
      </c>
      <c r="S85" s="300">
        <v>1.6279999998791439</v>
      </c>
      <c r="T85" s="300">
        <f t="shared" ref="T85:T86" si="185">SUM(Q85:S85)</f>
        <v>4.2829999998550399</v>
      </c>
      <c r="U85" s="300"/>
      <c r="V85" s="300">
        <v>2.6309999999700717</v>
      </c>
      <c r="W85" s="300">
        <v>0.13399999999619613</v>
      </c>
      <c r="X85" s="300">
        <v>1.6509999998965659</v>
      </c>
      <c r="Y85" s="300">
        <f t="shared" ref="Y85:Y86" si="186">SUM(V85:X85)</f>
        <v>4.4159999998628336</v>
      </c>
    </row>
    <row r="86" spans="1:25" x14ac:dyDescent="0.2">
      <c r="A86" s="260" t="s">
        <v>354</v>
      </c>
      <c r="B86" s="300">
        <f>SUM(B84:B85)</f>
        <v>1.633000000012822</v>
      </c>
      <c r="C86" s="300">
        <f t="shared" ref="C86" si="187">SUM(C84:C85)</f>
        <v>8.7000000002334571E-2</v>
      </c>
      <c r="D86" s="300">
        <f t="shared" ref="D86" si="188">SUM(D84:D85)</f>
        <v>0.33699999999935398</v>
      </c>
      <c r="E86" s="300">
        <f t="shared" si="182"/>
        <v>2.0570000000145106</v>
      </c>
      <c r="F86" s="300"/>
      <c r="G86" s="300">
        <f>SUM(G84:G85)</f>
        <v>2.7530000000148132</v>
      </c>
      <c r="H86" s="300">
        <f t="shared" ref="H86" si="189">SUM(H84:H85)</f>
        <v>0.29000000000673082</v>
      </c>
      <c r="I86" s="300">
        <f t="shared" ref="I86" si="190">SUM(I84:I85)</f>
        <v>0.86600000002425848</v>
      </c>
      <c r="J86" s="300">
        <f t="shared" si="183"/>
        <v>3.9090000000458023</v>
      </c>
      <c r="K86" s="300"/>
      <c r="L86" s="300">
        <f>SUM(L84:L85)</f>
        <v>2.8609999999738762</v>
      </c>
      <c r="M86" s="300">
        <f t="shared" ref="M86" si="191">SUM(M84:M85)</f>
        <v>0.17899999999732183</v>
      </c>
      <c r="N86" s="300">
        <f t="shared" ref="N86" si="192">SUM(N84:N85)</f>
        <v>1.5939999999452485</v>
      </c>
      <c r="O86" s="300">
        <f t="shared" si="184"/>
        <v>4.6339999999164467</v>
      </c>
      <c r="P86" s="300"/>
      <c r="Q86" s="300">
        <f>SUM(Q84:Q85)</f>
        <v>3.2019999999886779</v>
      </c>
      <c r="R86" s="300">
        <f t="shared" ref="R86" si="193">SUM(R84:R85)</f>
        <v>0.20599999999680957</v>
      </c>
      <c r="S86" s="300">
        <f t="shared" ref="S86" si="194">SUM(S84:S85)</f>
        <v>1.706999999878468</v>
      </c>
      <c r="T86" s="300">
        <f t="shared" si="185"/>
        <v>5.1149999998639553</v>
      </c>
      <c r="U86" s="300"/>
      <c r="V86" s="300">
        <f>SUM(V84:V85)</f>
        <v>3.3439999999728305</v>
      </c>
      <c r="W86" s="300">
        <f t="shared" ref="W86" si="195">SUM(W84:W85)</f>
        <v>0.22299999999497178</v>
      </c>
      <c r="X86" s="300">
        <f t="shared" ref="X86" si="196">SUM(X84:X85)</f>
        <v>1.7429999998960031</v>
      </c>
      <c r="Y86" s="300">
        <f t="shared" si="186"/>
        <v>5.3099999998638054</v>
      </c>
    </row>
    <row r="87" spans="1:25" x14ac:dyDescent="0.2">
      <c r="C87" s="319"/>
      <c r="D87" s="319"/>
      <c r="E87" s="319"/>
      <c r="F87" s="319"/>
      <c r="G87" s="319"/>
      <c r="H87" s="319"/>
      <c r="I87" s="319"/>
      <c r="J87" s="319"/>
      <c r="K87" s="319"/>
      <c r="L87" s="319"/>
      <c r="M87" s="319"/>
      <c r="N87" s="319"/>
      <c r="O87" s="319"/>
      <c r="P87" s="319"/>
      <c r="Q87" s="319"/>
      <c r="R87" s="319"/>
      <c r="S87" s="319"/>
      <c r="T87" s="319"/>
      <c r="U87" s="319"/>
      <c r="V87" s="319"/>
      <c r="W87" s="319"/>
      <c r="X87" s="319"/>
      <c r="Y87" s="319"/>
    </row>
    <row r="88" spans="1:25" x14ac:dyDescent="0.2">
      <c r="A88" s="261" t="str">
        <f>name!A11</f>
        <v>Paper, etc</v>
      </c>
      <c r="C88" s="263"/>
    </row>
    <row r="89" spans="1:25" x14ac:dyDescent="0.2">
      <c r="A89" s="260" t="s">
        <v>356</v>
      </c>
      <c r="B89" s="300">
        <v>8.2999999998869894E-2</v>
      </c>
      <c r="C89" s="300">
        <v>3.1000000000983404E-2</v>
      </c>
      <c r="D89" s="300">
        <v>1.1000000000081368E-2</v>
      </c>
      <c r="E89" s="300">
        <f>SUM(B89:D89)</f>
        <v>0.12499999999993466</v>
      </c>
      <c r="F89" s="300"/>
      <c r="G89" s="300">
        <v>6.4999999998982927E-2</v>
      </c>
      <c r="H89" s="300">
        <v>6.0000000001631032E-3</v>
      </c>
      <c r="I89" s="300">
        <v>4.0000000000318166E-3</v>
      </c>
      <c r="J89" s="300">
        <f>SUM(G89:I89)</f>
        <v>7.4999999999177835E-2</v>
      </c>
      <c r="K89" s="300"/>
      <c r="L89" s="300">
        <v>7.2999999999999995E-2</v>
      </c>
      <c r="M89" s="300">
        <v>2.9999999999807915E-3</v>
      </c>
      <c r="N89" s="300">
        <v>1.2999999999876919E-2</v>
      </c>
      <c r="O89" s="300">
        <f>SUM(L89:N89)</f>
        <v>8.8999999999857707E-2</v>
      </c>
      <c r="P89" s="300"/>
      <c r="Q89" s="300">
        <v>8.3000000002387025E-2</v>
      </c>
      <c r="R89" s="300">
        <v>3.9999999999776846E-3</v>
      </c>
      <c r="S89" s="300">
        <v>1.5000000000194908E-2</v>
      </c>
      <c r="T89" s="300">
        <f>SUM(Q89:S89)</f>
        <v>0.10200000000255963</v>
      </c>
      <c r="U89" s="300"/>
      <c r="V89" s="300">
        <v>8.900000000030539E-2</v>
      </c>
      <c r="W89" s="300">
        <v>3.9999999999403403E-3</v>
      </c>
      <c r="X89" s="300">
        <v>1.7000000000074112E-2</v>
      </c>
      <c r="Y89" s="300">
        <f>SUM(V89:X89)</f>
        <v>0.11000000000031984</v>
      </c>
    </row>
    <row r="90" spans="1:25" x14ac:dyDescent="0.2">
      <c r="A90" s="260" t="s">
        <v>355</v>
      </c>
      <c r="B90" s="300">
        <v>0.26499999999803919</v>
      </c>
      <c r="C90" s="300">
        <v>8.700000000089067E-2</v>
      </c>
      <c r="D90" s="300">
        <v>5.8000000001477994E-2</v>
      </c>
      <c r="E90" s="300">
        <f t="shared" ref="E90:E91" si="197">SUM(B90:D90)</f>
        <v>0.41000000000040782</v>
      </c>
      <c r="F90" s="300"/>
      <c r="G90" s="300">
        <v>0.17399999999914265</v>
      </c>
      <c r="H90" s="300">
        <v>3.5000000000167543E-2</v>
      </c>
      <c r="I90" s="300">
        <v>5.7000000000085323E-2</v>
      </c>
      <c r="J90" s="300">
        <f t="shared" ref="J90:J91" si="198">SUM(G90:I90)</f>
        <v>0.2659999999993955</v>
      </c>
      <c r="K90" s="300"/>
      <c r="L90" s="300">
        <v>0.17700000000026153</v>
      </c>
      <c r="M90" s="300">
        <v>2.5999999999926741E-2</v>
      </c>
      <c r="N90" s="300">
        <v>1.3000000000474118E-2</v>
      </c>
      <c r="O90" s="300">
        <f t="shared" ref="O90:O91" si="199">SUM(L90:N90)</f>
        <v>0.21600000000066238</v>
      </c>
      <c r="P90" s="300"/>
      <c r="Q90" s="300">
        <v>0.19700000000093237</v>
      </c>
      <c r="R90" s="300">
        <v>2.9999999999907795E-2</v>
      </c>
      <c r="S90" s="300">
        <v>1.6000000001256485E-2</v>
      </c>
      <c r="T90" s="300">
        <f t="shared" ref="T90:T91" si="200">SUM(Q90:S90)</f>
        <v>0.24300000000209665</v>
      </c>
      <c r="U90" s="300"/>
      <c r="V90" s="300">
        <v>0.20400000000180055</v>
      </c>
      <c r="W90" s="300">
        <v>3.2999999999793382E-2</v>
      </c>
      <c r="X90" s="300">
        <v>1.900000000116445E-2</v>
      </c>
      <c r="Y90" s="300">
        <f t="shared" ref="Y90:Y91" si="201">SUM(V90:X90)</f>
        <v>0.25600000000275841</v>
      </c>
    </row>
    <row r="91" spans="1:25" x14ac:dyDescent="0.2">
      <c r="A91" s="260" t="s">
        <v>354</v>
      </c>
      <c r="B91" s="300">
        <f>SUM(B89:B90)</f>
        <v>0.34799999999690912</v>
      </c>
      <c r="C91" s="300">
        <f t="shared" ref="C91" si="202">SUM(C89:C90)</f>
        <v>0.11800000000187408</v>
      </c>
      <c r="D91" s="300">
        <f t="shared" ref="D91" si="203">SUM(D89:D90)</f>
        <v>6.900000000155937E-2</v>
      </c>
      <c r="E91" s="300">
        <f t="shared" si="197"/>
        <v>0.53500000000034253</v>
      </c>
      <c r="F91" s="300"/>
      <c r="G91" s="300">
        <f>SUM(G89:G90)</f>
        <v>0.23899999999812557</v>
      </c>
      <c r="H91" s="300">
        <f t="shared" ref="H91" si="204">SUM(H89:H90)</f>
        <v>4.1000000000330647E-2</v>
      </c>
      <c r="I91" s="300">
        <f t="shared" ref="I91" si="205">SUM(I89:I90)</f>
        <v>6.1000000000117141E-2</v>
      </c>
      <c r="J91" s="300">
        <f t="shared" si="198"/>
        <v>0.34099999999857333</v>
      </c>
      <c r="K91" s="300"/>
      <c r="L91" s="300">
        <f>SUM(L89:L90)</f>
        <v>0.25000000000026151</v>
      </c>
      <c r="M91" s="300">
        <f t="shared" ref="M91" si="206">SUM(M89:M90)</f>
        <v>2.8999999999907534E-2</v>
      </c>
      <c r="N91" s="300">
        <f t="shared" ref="N91" si="207">SUM(N89:N90)</f>
        <v>2.6000000000351037E-2</v>
      </c>
      <c r="O91" s="300">
        <f t="shared" si="199"/>
        <v>0.30500000000052008</v>
      </c>
      <c r="P91" s="300"/>
      <c r="Q91" s="300">
        <f>SUM(Q89:Q90)</f>
        <v>0.28000000000331937</v>
      </c>
      <c r="R91" s="300">
        <f t="shared" ref="R91" si="208">SUM(R89:R90)</f>
        <v>3.3999999999885483E-2</v>
      </c>
      <c r="S91" s="300">
        <f t="shared" ref="S91" si="209">SUM(S89:S90)</f>
        <v>3.1000000001451394E-2</v>
      </c>
      <c r="T91" s="300">
        <f t="shared" si="200"/>
        <v>0.34500000000465625</v>
      </c>
      <c r="U91" s="300"/>
      <c r="V91" s="300">
        <f>SUM(V89:V90)</f>
        <v>0.29300000000210591</v>
      </c>
      <c r="W91" s="300">
        <f t="shared" ref="W91" si="210">SUM(W89:W90)</f>
        <v>3.6999999999733725E-2</v>
      </c>
      <c r="X91" s="300">
        <f t="shared" ref="X91" si="211">SUM(X89:X90)</f>
        <v>3.6000000001238562E-2</v>
      </c>
      <c r="Y91" s="300">
        <f t="shared" si="201"/>
        <v>0.3660000000030782</v>
      </c>
    </row>
    <row r="92" spans="1:25" x14ac:dyDescent="0.2">
      <c r="C92" s="319"/>
      <c r="D92" s="319"/>
      <c r="E92" s="319"/>
      <c r="F92" s="319"/>
      <c r="G92" s="319"/>
      <c r="H92" s="319"/>
      <c r="I92" s="319"/>
      <c r="J92" s="319"/>
      <c r="K92" s="319"/>
      <c r="L92" s="319"/>
      <c r="M92" s="319"/>
      <c r="N92" s="319"/>
      <c r="O92" s="319"/>
      <c r="P92" s="319"/>
      <c r="Q92" s="319"/>
      <c r="R92" s="319"/>
      <c r="S92" s="319"/>
      <c r="T92" s="319"/>
      <c r="U92" s="319"/>
      <c r="V92" s="319"/>
      <c r="W92" s="319"/>
      <c r="X92" s="319"/>
      <c r="Y92" s="319"/>
    </row>
    <row r="93" spans="1:25" x14ac:dyDescent="0.2">
      <c r="A93" s="261" t="str">
        <f>name!A12</f>
        <v>Printing and recording</v>
      </c>
      <c r="C93" s="263"/>
    </row>
    <row r="94" spans="1:25" x14ac:dyDescent="0.2">
      <c r="A94" s="260" t="s">
        <v>356</v>
      </c>
      <c r="B94" s="300">
        <v>3.2389999999557095</v>
      </c>
      <c r="C94" s="300">
        <v>1.3489999999973208</v>
      </c>
      <c r="D94" s="300">
        <v>0.62500000000461264</v>
      </c>
      <c r="E94" s="300">
        <f>SUM(B94:D94)</f>
        <v>5.2129999999576428</v>
      </c>
      <c r="F94" s="300"/>
      <c r="G94" s="300">
        <v>2.2559999999646303</v>
      </c>
      <c r="H94" s="300">
        <v>1.2619999999988913</v>
      </c>
      <c r="I94" s="300">
        <v>1.6000000000127149E-2</v>
      </c>
      <c r="J94" s="300">
        <f>SUM(G94:I94)</f>
        <v>3.5339999999636484</v>
      </c>
      <c r="K94" s="300"/>
      <c r="L94" s="300">
        <v>2.3730000000000531</v>
      </c>
      <c r="M94" s="300">
        <v>0.73499999999503818</v>
      </c>
      <c r="N94" s="300">
        <v>0.56999999999460593</v>
      </c>
      <c r="O94" s="300">
        <f>SUM(L94:N94)</f>
        <v>3.6779999999896971</v>
      </c>
      <c r="P94" s="300"/>
      <c r="Q94" s="300">
        <v>2.2020000000633284</v>
      </c>
      <c r="R94" s="300">
        <v>0.68499999999393868</v>
      </c>
      <c r="S94" s="300">
        <v>0.52500000000681613</v>
      </c>
      <c r="T94" s="300">
        <f>SUM(Q94:S94)</f>
        <v>3.4120000000640833</v>
      </c>
      <c r="U94" s="300"/>
      <c r="V94" s="300">
        <v>1.8350000000062452</v>
      </c>
      <c r="W94" s="300">
        <v>0.57599999999855889</v>
      </c>
      <c r="X94" s="300">
        <v>0.43300000000187999</v>
      </c>
      <c r="Y94" s="300">
        <f>SUM(V94:X94)</f>
        <v>2.8440000000066843</v>
      </c>
    </row>
    <row r="95" spans="1:25" x14ac:dyDescent="0.2">
      <c r="A95" s="260" t="s">
        <v>355</v>
      </c>
      <c r="B95" s="300">
        <v>8.7909999999338702</v>
      </c>
      <c r="C95" s="300">
        <v>0.60000000000613585</v>
      </c>
      <c r="D95" s="300">
        <v>1.7450000000445973</v>
      </c>
      <c r="E95" s="300">
        <f t="shared" ref="E95:E96" si="212">SUM(B95:D95)</f>
        <v>11.135999999984602</v>
      </c>
      <c r="F95" s="300"/>
      <c r="G95" s="300">
        <v>5.8699999999708616</v>
      </c>
      <c r="H95" s="300">
        <v>0.94800000000452855</v>
      </c>
      <c r="I95" s="300">
        <v>0.9660000000013732</v>
      </c>
      <c r="J95" s="300">
        <f t="shared" ref="J95:J96" si="213">SUM(G95:I95)</f>
        <v>7.7839999999767633</v>
      </c>
      <c r="K95" s="300"/>
      <c r="L95" s="300">
        <v>5.6690000000085403</v>
      </c>
      <c r="M95" s="300">
        <v>0.64699999999818236</v>
      </c>
      <c r="N95" s="300">
        <v>1.3890000000509157</v>
      </c>
      <c r="O95" s="300">
        <f t="shared" ref="O95:O96" si="214">SUM(L95:N95)</f>
        <v>7.7050000000576384</v>
      </c>
      <c r="P95" s="300"/>
      <c r="Q95" s="300">
        <v>5.0740000000235757</v>
      </c>
      <c r="R95" s="300">
        <v>0.59899999999816389</v>
      </c>
      <c r="S95" s="300">
        <v>1.3070000001022581</v>
      </c>
      <c r="T95" s="300">
        <f t="shared" ref="T95:T96" si="215">SUM(Q95:S95)</f>
        <v>6.9800000001239972</v>
      </c>
      <c r="U95" s="300"/>
      <c r="V95" s="300">
        <v>3.9330000000333865</v>
      </c>
      <c r="W95" s="300">
        <v>0.49699999999688532</v>
      </c>
      <c r="X95" s="300">
        <v>1.1220000000680501</v>
      </c>
      <c r="Y95" s="300">
        <f t="shared" ref="Y95:Y96" si="216">SUM(V95:X95)</f>
        <v>5.5520000000983218</v>
      </c>
    </row>
    <row r="96" spans="1:25" x14ac:dyDescent="0.2">
      <c r="A96" s="260" t="s">
        <v>354</v>
      </c>
      <c r="B96" s="300">
        <f>SUM(B94:B95)</f>
        <v>12.029999999889579</v>
      </c>
      <c r="C96" s="300">
        <f t="shared" ref="C96" si="217">SUM(C94:C95)</f>
        <v>1.9490000000034566</v>
      </c>
      <c r="D96" s="300">
        <f t="shared" ref="D96" si="218">SUM(D94:D95)</f>
        <v>2.3700000000492101</v>
      </c>
      <c r="E96" s="300">
        <f t="shared" si="212"/>
        <v>16.348999999942247</v>
      </c>
      <c r="F96" s="300"/>
      <c r="G96" s="300">
        <f>SUM(G94:G95)</f>
        <v>8.125999999935491</v>
      </c>
      <c r="H96" s="300">
        <f t="shared" ref="H96" si="219">SUM(H94:H95)</f>
        <v>2.2100000000034199</v>
      </c>
      <c r="I96" s="300">
        <f t="shared" ref="I96" si="220">SUM(I94:I95)</f>
        <v>0.98200000000150034</v>
      </c>
      <c r="J96" s="300">
        <f t="shared" si="213"/>
        <v>11.317999999940412</v>
      </c>
      <c r="K96" s="300"/>
      <c r="L96" s="300">
        <f>SUM(L94:L95)</f>
        <v>8.0420000000085938</v>
      </c>
      <c r="M96" s="300">
        <f t="shared" ref="M96" si="221">SUM(M94:M95)</f>
        <v>1.3819999999932207</v>
      </c>
      <c r="N96" s="300">
        <f t="shared" ref="N96" si="222">SUM(N94:N95)</f>
        <v>1.9590000000455217</v>
      </c>
      <c r="O96" s="300">
        <f t="shared" si="214"/>
        <v>11.383000000047337</v>
      </c>
      <c r="P96" s="300"/>
      <c r="Q96" s="300">
        <f>SUM(Q94:Q95)</f>
        <v>7.2760000000869045</v>
      </c>
      <c r="R96" s="300">
        <f t="shared" ref="R96" si="223">SUM(R94:R95)</f>
        <v>1.2839999999921026</v>
      </c>
      <c r="S96" s="300">
        <f t="shared" ref="S96" si="224">SUM(S94:S95)</f>
        <v>1.8320000001090744</v>
      </c>
      <c r="T96" s="300">
        <f t="shared" si="215"/>
        <v>10.392000000188082</v>
      </c>
      <c r="U96" s="300"/>
      <c r="V96" s="300">
        <f>SUM(V94:V95)</f>
        <v>5.7680000000396312</v>
      </c>
      <c r="W96" s="300">
        <f t="shared" ref="W96" si="225">SUM(W94:W95)</f>
        <v>1.0729999999954443</v>
      </c>
      <c r="X96" s="300">
        <f t="shared" ref="X96" si="226">SUM(X94:X95)</f>
        <v>1.55500000006993</v>
      </c>
      <c r="Y96" s="300">
        <f t="shared" si="216"/>
        <v>8.3960000001050048</v>
      </c>
    </row>
    <row r="97" spans="1:25" x14ac:dyDescent="0.2">
      <c r="A97" s="262"/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1" t="str">
        <f>name!A13</f>
        <v>Coke and petroleum; Chemicals, etc</v>
      </c>
      <c r="C98" s="263"/>
    </row>
    <row r="99" spans="1:25" x14ac:dyDescent="0.2">
      <c r="A99" s="260" t="s">
        <v>356</v>
      </c>
      <c r="B99" s="300">
        <v>0.79599999999157733</v>
      </c>
      <c r="C99" s="300">
        <v>5.1000000001187776E-2</v>
      </c>
      <c r="D99" s="300">
        <v>3.7000000001295774E-2</v>
      </c>
      <c r="E99" s="300">
        <f>SUM(B99:D99)</f>
        <v>0.88399999999406087</v>
      </c>
      <c r="F99" s="300"/>
      <c r="G99" s="300">
        <v>0.66499999999122539</v>
      </c>
      <c r="H99" s="300">
        <v>8.8000000001832376E-2</v>
      </c>
      <c r="I99" s="300">
        <v>3.3000000001051494E-2</v>
      </c>
      <c r="J99" s="300">
        <f>SUM(G99:I99)</f>
        <v>0.7859999999941093</v>
      </c>
      <c r="K99" s="300"/>
      <c r="L99" s="300">
        <v>0.74999999999828004</v>
      </c>
      <c r="M99" s="300">
        <v>7.1999999999701816E-2</v>
      </c>
      <c r="N99" s="300">
        <v>0.14599999999590105</v>
      </c>
      <c r="O99" s="300">
        <f>SUM(L99:N99)</f>
        <v>0.96799999999388298</v>
      </c>
      <c r="P99" s="300"/>
      <c r="Q99" s="300">
        <v>0.65600000001700121</v>
      </c>
      <c r="R99" s="300">
        <v>6.2999999999830428E-2</v>
      </c>
      <c r="S99" s="300">
        <v>0.12299999999700612</v>
      </c>
      <c r="T99" s="300">
        <f>SUM(Q99:S99)</f>
        <v>0.84200000001383768</v>
      </c>
      <c r="U99" s="300"/>
      <c r="V99" s="300">
        <v>0.54500000000111704</v>
      </c>
      <c r="W99" s="300">
        <v>5.1999999999409803E-2</v>
      </c>
      <c r="X99" s="300">
        <v>9.5999999998496066E-2</v>
      </c>
      <c r="Y99" s="300">
        <f>SUM(V99:X99)</f>
        <v>0.69299999999902295</v>
      </c>
    </row>
    <row r="100" spans="1:25" x14ac:dyDescent="0.2">
      <c r="A100" s="260" t="s">
        <v>355</v>
      </c>
      <c r="B100" s="300">
        <v>1.7070000000068319</v>
      </c>
      <c r="C100" s="300">
        <v>4.0000000001272545E-2</v>
      </c>
      <c r="D100" s="300">
        <v>0.17000000000231255</v>
      </c>
      <c r="E100" s="300">
        <f t="shared" ref="E100:E101" si="227">SUM(B100:D100)</f>
        <v>1.917000000010417</v>
      </c>
      <c r="F100" s="300"/>
      <c r="G100" s="300">
        <v>1.4070000000048501</v>
      </c>
      <c r="H100" s="300">
        <v>4.1000000000921563E-2</v>
      </c>
      <c r="I100" s="300">
        <v>0.43100000000430305</v>
      </c>
      <c r="J100" s="300">
        <f t="shared" ref="J100:J101" si="228">SUM(G100:I100)</f>
        <v>1.8790000000100748</v>
      </c>
      <c r="K100" s="300"/>
      <c r="L100" s="300">
        <v>1.4189999999903018</v>
      </c>
      <c r="M100" s="300">
        <v>4.79999999991952E-2</v>
      </c>
      <c r="N100" s="300">
        <v>0.48500000000537657</v>
      </c>
      <c r="O100" s="300">
        <f t="shared" ref="O100:O101" si="229">SUM(L100:N100)</f>
        <v>1.9519999999948734</v>
      </c>
      <c r="P100" s="300"/>
      <c r="Q100" s="300">
        <v>1.2029999999955059</v>
      </c>
      <c r="R100" s="300">
        <v>4.0999999999157238E-2</v>
      </c>
      <c r="S100" s="300">
        <v>0.41700000000864962</v>
      </c>
      <c r="T100" s="300">
        <f t="shared" ref="T100:T101" si="230">SUM(Q100:S100)</f>
        <v>1.6610000000033127</v>
      </c>
      <c r="U100" s="300"/>
      <c r="V100" s="300">
        <v>0.94199999999532968</v>
      </c>
      <c r="W100" s="300">
        <v>3.4999999998703207E-2</v>
      </c>
      <c r="X100" s="300">
        <v>0.33400000000339464</v>
      </c>
      <c r="Y100" s="300">
        <f t="shared" ref="Y100:Y101" si="231">SUM(V100:X100)</f>
        <v>1.3109999999974276</v>
      </c>
    </row>
    <row r="101" spans="1:25" x14ac:dyDescent="0.2">
      <c r="A101" s="260" t="s">
        <v>354</v>
      </c>
      <c r="B101" s="300">
        <f>SUM(B99:B100)</f>
        <v>2.5029999999984094</v>
      </c>
      <c r="C101" s="300">
        <f t="shared" ref="C101" si="232">SUM(C99:C100)</f>
        <v>9.1000000002460321E-2</v>
      </c>
      <c r="D101" s="300">
        <f t="shared" ref="D101" si="233">SUM(D99:D100)</f>
        <v>0.20700000000360833</v>
      </c>
      <c r="E101" s="300">
        <f t="shared" si="227"/>
        <v>2.8010000000044784</v>
      </c>
      <c r="F101" s="300"/>
      <c r="G101" s="300">
        <f>SUM(G99:G100)</f>
        <v>2.0719999999960756</v>
      </c>
      <c r="H101" s="300">
        <f t="shared" ref="H101" si="234">SUM(H99:H100)</f>
        <v>0.12900000000275394</v>
      </c>
      <c r="I101" s="300">
        <f t="shared" ref="I101" si="235">SUM(I99:I100)</f>
        <v>0.46400000000535457</v>
      </c>
      <c r="J101" s="300">
        <f t="shared" si="228"/>
        <v>2.6650000000041842</v>
      </c>
      <c r="K101" s="300"/>
      <c r="L101" s="300">
        <f>SUM(L99:L100)</f>
        <v>2.1689999999885821</v>
      </c>
      <c r="M101" s="300">
        <f t="shared" ref="M101" si="236">SUM(M99:M100)</f>
        <v>0.11999999999889702</v>
      </c>
      <c r="N101" s="300">
        <f t="shared" ref="N101" si="237">SUM(N99:N100)</f>
        <v>0.63100000000127765</v>
      </c>
      <c r="O101" s="300">
        <f t="shared" si="229"/>
        <v>2.9199999999887565</v>
      </c>
      <c r="P101" s="300"/>
      <c r="Q101" s="300">
        <f>SUM(Q99:Q100)</f>
        <v>1.8590000000125071</v>
      </c>
      <c r="R101" s="300">
        <f t="shared" ref="R101" si="238">SUM(R99:R100)</f>
        <v>0.10399999999898767</v>
      </c>
      <c r="S101" s="300">
        <f t="shared" ref="S101" si="239">SUM(S99:S100)</f>
        <v>0.54000000000565573</v>
      </c>
      <c r="T101" s="300">
        <f t="shared" si="230"/>
        <v>2.5030000000171504</v>
      </c>
      <c r="U101" s="300"/>
      <c r="V101" s="300">
        <f>SUM(V99:V100)</f>
        <v>1.4869999999964467</v>
      </c>
      <c r="W101" s="300">
        <f t="shared" ref="W101" si="240">SUM(W99:W100)</f>
        <v>8.6999999998113003E-2</v>
      </c>
      <c r="X101" s="300">
        <f t="shared" ref="X101" si="241">SUM(X99:X100)</f>
        <v>0.4300000000018907</v>
      </c>
      <c r="Y101" s="300">
        <f t="shared" si="231"/>
        <v>2.0039999999964504</v>
      </c>
    </row>
    <row r="102" spans="1:25" x14ac:dyDescent="0.2">
      <c r="C102" s="319"/>
      <c r="D102" s="319"/>
      <c r="E102" s="319"/>
      <c r="F102" s="319"/>
      <c r="G102" s="319"/>
      <c r="H102" s="319"/>
      <c r="I102" s="319"/>
      <c r="J102" s="319"/>
      <c r="K102" s="319"/>
      <c r="L102" s="319"/>
      <c r="M102" s="319"/>
      <c r="N102" s="319"/>
      <c r="O102" s="319"/>
      <c r="P102" s="319"/>
      <c r="Q102" s="319"/>
      <c r="R102" s="319"/>
      <c r="S102" s="319"/>
      <c r="T102" s="319"/>
      <c r="U102" s="319"/>
      <c r="V102" s="319"/>
      <c r="W102" s="319"/>
      <c r="X102" s="319"/>
      <c r="Y102" s="319"/>
    </row>
    <row r="103" spans="1:25" x14ac:dyDescent="0.2">
      <c r="A103" s="261" t="str">
        <f>name!A14</f>
        <v>Pharmaceuticals</v>
      </c>
      <c r="C103" s="263"/>
    </row>
    <row r="104" spans="1:25" x14ac:dyDescent="0.2">
      <c r="A104" s="260" t="s">
        <v>356</v>
      </c>
      <c r="B104" s="300">
        <v>0.88199999998986123</v>
      </c>
      <c r="C104" s="300">
        <v>3.3999999999898382E-2</v>
      </c>
      <c r="D104" s="300">
        <v>0.11800000000416597</v>
      </c>
      <c r="E104" s="300">
        <f>SUM(B104:D104)</f>
        <v>1.0339999999939256</v>
      </c>
      <c r="F104" s="300"/>
      <c r="G104" s="300">
        <v>0.74499999999158739</v>
      </c>
      <c r="H104" s="300">
        <v>3.1000000000002463E-2</v>
      </c>
      <c r="I104" s="300">
        <v>1.6000000000510738E-2</v>
      </c>
      <c r="J104" s="300">
        <f>SUM(G104:I104)</f>
        <v>0.79199999999210058</v>
      </c>
      <c r="K104" s="300"/>
      <c r="L104" s="300">
        <v>0.89100000000602697</v>
      </c>
      <c r="M104" s="300">
        <v>2.1999999999764413E-2</v>
      </c>
      <c r="N104" s="300">
        <v>6.8999999998103134E-2</v>
      </c>
      <c r="O104" s="300">
        <f>SUM(L104:N104)</f>
        <v>0.98200000000389454</v>
      </c>
      <c r="P104" s="300"/>
      <c r="Q104" s="300">
        <v>0.81900000001585538</v>
      </c>
      <c r="R104" s="300">
        <v>2.1999999999619838E-2</v>
      </c>
      <c r="S104" s="300">
        <v>6.8999999998317213E-2</v>
      </c>
      <c r="T104" s="300">
        <f>SUM(Q104:S104)</f>
        <v>0.91000000001379244</v>
      </c>
      <c r="U104" s="300"/>
      <c r="V104" s="300">
        <v>0.65800000000432279</v>
      </c>
      <c r="W104" s="300">
        <v>1.9999999999860654E-2</v>
      </c>
      <c r="X104" s="300">
        <v>6.4999999999072702E-2</v>
      </c>
      <c r="Y104" s="300">
        <f>SUM(V104:X104)</f>
        <v>0.74300000000325617</v>
      </c>
    </row>
    <row r="105" spans="1:25" x14ac:dyDescent="0.2">
      <c r="A105" s="260" t="s">
        <v>355</v>
      </c>
      <c r="B105" s="300">
        <v>0.90999999999546355</v>
      </c>
      <c r="C105" s="300">
        <v>7.5000000002603637E-2</v>
      </c>
      <c r="D105" s="300">
        <v>0.12200000000169196</v>
      </c>
      <c r="E105" s="300">
        <f t="shared" ref="E105:E106" si="242">SUM(B105:D105)</f>
        <v>1.1069999999997591</v>
      </c>
      <c r="F105" s="300"/>
      <c r="G105" s="300">
        <v>0.70099999999792495</v>
      </c>
      <c r="H105" s="300">
        <v>3.4000000000847325E-2</v>
      </c>
      <c r="I105" s="300">
        <v>0.27699999999930686</v>
      </c>
      <c r="J105" s="300">
        <f t="shared" ref="J105:J106" si="243">SUM(G105:I105)</f>
        <v>1.0119999999980791</v>
      </c>
      <c r="K105" s="300"/>
      <c r="L105" s="300">
        <v>0.76800000000176638</v>
      </c>
      <c r="M105" s="300">
        <v>1.1999999999778199E-2</v>
      </c>
      <c r="N105" s="300">
        <v>0.41400000000421405</v>
      </c>
      <c r="O105" s="300">
        <f t="shared" ref="O105:O106" si="244">SUM(L105:N105)</f>
        <v>1.1940000000057587</v>
      </c>
      <c r="P105" s="300"/>
      <c r="Q105" s="300">
        <v>0.71700000000199116</v>
      </c>
      <c r="R105" s="300">
        <v>1.2999999999718343E-2</v>
      </c>
      <c r="S105" s="300">
        <v>0.40500000001239145</v>
      </c>
      <c r="T105" s="300">
        <f t="shared" ref="T105:T106" si="245">SUM(Q105:S105)</f>
        <v>1.135000000014101</v>
      </c>
      <c r="U105" s="300"/>
      <c r="V105" s="300">
        <v>0.60100000000367559</v>
      </c>
      <c r="W105" s="300">
        <v>1.3999999999494249E-2</v>
      </c>
      <c r="X105" s="300">
        <v>0.37000000000766919</v>
      </c>
      <c r="Y105" s="300">
        <f t="shared" ref="Y105:Y106" si="246">SUM(V105:X105)</f>
        <v>0.98500000001083898</v>
      </c>
    </row>
    <row r="106" spans="1:25" x14ac:dyDescent="0.2">
      <c r="A106" s="260" t="s">
        <v>354</v>
      </c>
      <c r="B106" s="300">
        <f>SUM(B104:B105)</f>
        <v>1.7919999999853249</v>
      </c>
      <c r="C106" s="300">
        <f t="shared" ref="C106" si="247">SUM(C104:C105)</f>
        <v>0.10900000000250201</v>
      </c>
      <c r="D106" s="300">
        <f t="shared" ref="D106" si="248">SUM(D104:D105)</f>
        <v>0.24000000000585792</v>
      </c>
      <c r="E106" s="300">
        <f t="shared" si="242"/>
        <v>2.1409999999936846</v>
      </c>
      <c r="F106" s="300"/>
      <c r="G106" s="300">
        <f>SUM(G104:G105)</f>
        <v>1.4459999999895123</v>
      </c>
      <c r="H106" s="300">
        <f t="shared" ref="H106" si="249">SUM(H104:H105)</f>
        <v>6.5000000000849795E-2</v>
      </c>
      <c r="I106" s="300">
        <f t="shared" ref="I106" si="250">SUM(I104:I105)</f>
        <v>0.29299999999981757</v>
      </c>
      <c r="J106" s="300">
        <f t="shared" si="243"/>
        <v>1.8039999999901797</v>
      </c>
      <c r="K106" s="300"/>
      <c r="L106" s="300">
        <f>SUM(L104:L105)</f>
        <v>1.6590000000077934</v>
      </c>
      <c r="M106" s="300">
        <f t="shared" ref="M106" si="251">SUM(M104:M105)</f>
        <v>3.3999999999542611E-2</v>
      </c>
      <c r="N106" s="300">
        <f t="shared" ref="N106" si="252">SUM(N104:N105)</f>
        <v>0.48300000000231719</v>
      </c>
      <c r="O106" s="300">
        <f t="shared" si="244"/>
        <v>2.1760000000096533</v>
      </c>
      <c r="P106" s="300"/>
      <c r="Q106" s="300">
        <f>SUM(Q104:Q105)</f>
        <v>1.5360000000178466</v>
      </c>
      <c r="R106" s="300">
        <f t="shared" ref="R106" si="253">SUM(R104:R105)</f>
        <v>3.4999999999338179E-2</v>
      </c>
      <c r="S106" s="300">
        <f t="shared" ref="S106" si="254">SUM(S104:S105)</f>
        <v>0.47400000001070863</v>
      </c>
      <c r="T106" s="300">
        <f t="shared" si="245"/>
        <v>2.0450000000278936</v>
      </c>
      <c r="U106" s="300"/>
      <c r="V106" s="300">
        <f>SUM(V104:V105)</f>
        <v>1.2590000000079984</v>
      </c>
      <c r="W106" s="300">
        <f t="shared" ref="W106" si="255">SUM(W104:W105)</f>
        <v>3.39999999993549E-2</v>
      </c>
      <c r="X106" s="300">
        <f t="shared" ref="X106" si="256">SUM(X104:X105)</f>
        <v>0.43500000000674188</v>
      </c>
      <c r="Y106" s="300">
        <f t="shared" si="246"/>
        <v>1.7280000000140951</v>
      </c>
    </row>
    <row r="107" spans="1:25" x14ac:dyDescent="0.2">
      <c r="C107" s="319"/>
      <c r="D107" s="319"/>
      <c r="E107" s="319"/>
      <c r="F107" s="319"/>
      <c r="G107" s="319"/>
      <c r="H107" s="319"/>
      <c r="I107" s="319"/>
      <c r="J107" s="319"/>
      <c r="K107" s="319"/>
      <c r="L107" s="319"/>
      <c r="M107" s="319"/>
      <c r="N107" s="319"/>
      <c r="O107" s="319"/>
      <c r="P107" s="319"/>
      <c r="Q107" s="319"/>
      <c r="R107" s="319"/>
      <c r="S107" s="319"/>
      <c r="T107" s="319"/>
      <c r="U107" s="319"/>
      <c r="V107" s="319"/>
      <c r="W107" s="319"/>
      <c r="X107" s="319"/>
      <c r="Y107" s="319"/>
    </row>
    <row r="108" spans="1:25" x14ac:dyDescent="0.2">
      <c r="A108" s="261" t="str">
        <f>name!A15</f>
        <v>Rubber and plastic</v>
      </c>
      <c r="C108" s="263"/>
    </row>
    <row r="109" spans="1:25" x14ac:dyDescent="0.2">
      <c r="A109" s="260" t="s">
        <v>356</v>
      </c>
      <c r="B109" s="300">
        <v>1.2739999999900029</v>
      </c>
      <c r="C109" s="300">
        <v>0.83700000001942221</v>
      </c>
      <c r="D109" s="300">
        <v>0.19499999999857287</v>
      </c>
      <c r="E109" s="300">
        <f>SUM(B109:D109)</f>
        <v>2.3060000000079981</v>
      </c>
      <c r="F109" s="300"/>
      <c r="G109" s="300">
        <v>1.2929999999840698</v>
      </c>
      <c r="H109" s="300">
        <v>0.25200000000554962</v>
      </c>
      <c r="I109" s="300">
        <v>3.9999999999718811E-3</v>
      </c>
      <c r="J109" s="300">
        <f>SUM(G109:I109)</f>
        <v>1.5489999999895911</v>
      </c>
      <c r="K109" s="300"/>
      <c r="L109" s="300">
        <v>1.5769999999898168</v>
      </c>
      <c r="M109" s="300">
        <v>0.20399999999768548</v>
      </c>
      <c r="N109" s="300">
        <v>0.18600000000230987</v>
      </c>
      <c r="O109" s="300">
        <f>SUM(L109:N109)</f>
        <v>1.966999999989812</v>
      </c>
      <c r="P109" s="300"/>
      <c r="Q109" s="300">
        <v>1.6250000000430294</v>
      </c>
      <c r="R109" s="300">
        <v>0.21799999999666914</v>
      </c>
      <c r="S109" s="300">
        <v>0.19100000000378214</v>
      </c>
      <c r="T109" s="300">
        <f>SUM(Q109:S109)</f>
        <v>2.0340000000434806</v>
      </c>
      <c r="U109" s="300"/>
      <c r="V109" s="300">
        <v>1.4310000000011014</v>
      </c>
      <c r="W109" s="300">
        <v>0.20899999999685445</v>
      </c>
      <c r="X109" s="300">
        <v>0.16800000000087442</v>
      </c>
      <c r="Y109" s="300">
        <f>SUM(V109:X109)</f>
        <v>1.8079999999988301</v>
      </c>
    </row>
    <row r="110" spans="1:25" x14ac:dyDescent="0.2">
      <c r="A110" s="260" t="s">
        <v>355</v>
      </c>
      <c r="B110" s="300">
        <v>4.0950000000516633</v>
      </c>
      <c r="C110" s="300">
        <v>0.75200000002556755</v>
      </c>
      <c r="D110" s="300">
        <v>0.57500000000684448</v>
      </c>
      <c r="E110" s="300">
        <f t="shared" ref="E110:E111" si="257">SUM(B110:D110)</f>
        <v>5.4220000000840756</v>
      </c>
      <c r="F110" s="300"/>
      <c r="G110" s="300">
        <v>3.9190000000390093</v>
      </c>
      <c r="H110" s="300">
        <v>0.13600000000332579</v>
      </c>
      <c r="I110" s="300">
        <v>0.74399999999858013</v>
      </c>
      <c r="J110" s="300">
        <f t="shared" ref="J110:J111" si="258">SUM(G110:I110)</f>
        <v>4.7990000000409152</v>
      </c>
      <c r="K110" s="300"/>
      <c r="L110" s="300">
        <v>4.1539999999442117</v>
      </c>
      <c r="M110" s="300">
        <v>0.16999999999688889</v>
      </c>
      <c r="N110" s="300">
        <v>0.93300000000438532</v>
      </c>
      <c r="O110" s="300">
        <f t="shared" ref="O110:O111" si="259">SUM(L110:N110)</f>
        <v>5.2569999999454859</v>
      </c>
      <c r="P110" s="300"/>
      <c r="Q110" s="300">
        <v>4.3789999999556795</v>
      </c>
      <c r="R110" s="300">
        <v>0.18399999999642752</v>
      </c>
      <c r="S110" s="300">
        <v>0.97100000002428022</v>
      </c>
      <c r="T110" s="300">
        <f t="shared" ref="T110:T111" si="260">SUM(Q110:S110)</f>
        <v>5.5339999999763876</v>
      </c>
      <c r="U110" s="300"/>
      <c r="V110" s="300">
        <v>4.0079999999410045</v>
      </c>
      <c r="W110" s="300">
        <v>0.17399999999423546</v>
      </c>
      <c r="X110" s="300">
        <v>0.91200000001744153</v>
      </c>
      <c r="Y110" s="300">
        <f t="shared" ref="Y110:Y111" si="261">SUM(V110:X110)</f>
        <v>5.0939999999526808</v>
      </c>
    </row>
    <row r="111" spans="1:25" x14ac:dyDescent="0.2">
      <c r="A111" s="260" t="s">
        <v>354</v>
      </c>
      <c r="B111" s="300">
        <f>SUM(B109:B110)</f>
        <v>5.369000000041666</v>
      </c>
      <c r="C111" s="300">
        <f t="shared" ref="C111" si="262">SUM(C109:C110)</f>
        <v>1.5890000000449898</v>
      </c>
      <c r="D111" s="300">
        <f t="shared" ref="D111" si="263">SUM(D109:D110)</f>
        <v>0.77000000000541735</v>
      </c>
      <c r="E111" s="300">
        <f t="shared" si="257"/>
        <v>7.7280000000920737</v>
      </c>
      <c r="F111" s="300"/>
      <c r="G111" s="300">
        <f>SUM(G109:G110)</f>
        <v>5.2120000000230791</v>
      </c>
      <c r="H111" s="300">
        <f t="shared" ref="H111" si="264">SUM(H109:H110)</f>
        <v>0.38800000000887541</v>
      </c>
      <c r="I111" s="300">
        <f t="shared" ref="I111" si="265">SUM(I109:I110)</f>
        <v>0.74799999999855205</v>
      </c>
      <c r="J111" s="300">
        <f t="shared" si="258"/>
        <v>6.3480000000305061</v>
      </c>
      <c r="K111" s="300"/>
      <c r="L111" s="300">
        <f>SUM(L109:L110)</f>
        <v>5.7309999999340286</v>
      </c>
      <c r="M111" s="300">
        <f t="shared" ref="M111" si="266">SUM(M109:M110)</f>
        <v>0.37399999999457434</v>
      </c>
      <c r="N111" s="300">
        <f t="shared" ref="N111" si="267">SUM(N109:N110)</f>
        <v>1.1190000000066953</v>
      </c>
      <c r="O111" s="300">
        <f t="shared" si="259"/>
        <v>7.2239999999352982</v>
      </c>
      <c r="P111" s="300"/>
      <c r="Q111" s="300">
        <f>SUM(Q109:Q110)</f>
        <v>6.003999999998709</v>
      </c>
      <c r="R111" s="300">
        <f t="shared" ref="R111" si="268">SUM(R109:R110)</f>
        <v>0.40199999999309666</v>
      </c>
      <c r="S111" s="300">
        <f t="shared" ref="S111" si="269">SUM(S109:S110)</f>
        <v>1.1620000000280624</v>
      </c>
      <c r="T111" s="300">
        <f t="shared" si="260"/>
        <v>7.5680000000198682</v>
      </c>
      <c r="U111" s="300"/>
      <c r="V111" s="300">
        <f>SUM(V109:V110)</f>
        <v>5.4389999999421059</v>
      </c>
      <c r="W111" s="300">
        <f t="shared" ref="W111" si="270">SUM(W109:W110)</f>
        <v>0.38299999999108991</v>
      </c>
      <c r="X111" s="300">
        <f t="shared" ref="X111" si="271">SUM(X109:X110)</f>
        <v>1.0800000000183159</v>
      </c>
      <c r="Y111" s="300">
        <f t="shared" si="261"/>
        <v>6.9019999999515118</v>
      </c>
    </row>
    <row r="112" spans="1:25" x14ac:dyDescent="0.2">
      <c r="C112" s="319"/>
      <c r="D112" s="319"/>
      <c r="E112" s="319"/>
      <c r="F112" s="319"/>
      <c r="G112" s="319"/>
      <c r="H112" s="319"/>
      <c r="I112" s="319"/>
      <c r="J112" s="319"/>
      <c r="K112" s="319"/>
      <c r="L112" s="319"/>
      <c r="M112" s="319"/>
      <c r="N112" s="319"/>
      <c r="O112" s="319"/>
      <c r="P112" s="319"/>
      <c r="Q112" s="319"/>
      <c r="R112" s="319"/>
      <c r="S112" s="319"/>
      <c r="T112" s="319"/>
      <c r="U112" s="319"/>
      <c r="V112" s="319"/>
      <c r="W112" s="319"/>
      <c r="X112" s="319"/>
      <c r="Y112" s="319"/>
    </row>
    <row r="113" spans="1:25" x14ac:dyDescent="0.2">
      <c r="A113" s="261" t="str">
        <f>name!A16</f>
        <v>Other non-metallic</v>
      </c>
      <c r="C113" s="263"/>
    </row>
    <row r="114" spans="1:25" x14ac:dyDescent="0.2">
      <c r="A114" s="260" t="s">
        <v>356</v>
      </c>
      <c r="B114" s="300">
        <v>0.57199999999403517</v>
      </c>
      <c r="C114" s="300">
        <v>4.1000000001324706E-2</v>
      </c>
      <c r="D114" s="300">
        <v>6.2000000001270213E-2</v>
      </c>
      <c r="E114" s="300">
        <f>SUM(B114:D114)</f>
        <v>0.67499999999663018</v>
      </c>
      <c r="F114" s="300"/>
      <c r="G114" s="300">
        <v>0.74599999998951383</v>
      </c>
      <c r="H114" s="300">
        <v>0.40400000001165387</v>
      </c>
      <c r="I114" s="300">
        <v>6.6000000001279757E-2</v>
      </c>
      <c r="J114" s="300">
        <f>SUM(G114:I114)</f>
        <v>1.2160000000024473</v>
      </c>
      <c r="K114" s="300"/>
      <c r="L114" s="300">
        <v>0.90899999999553782</v>
      </c>
      <c r="M114" s="300">
        <v>0.32599999999822976</v>
      </c>
      <c r="N114" s="300">
        <v>0.10699999999782776</v>
      </c>
      <c r="O114" s="300">
        <f>SUM(L114:N114)</f>
        <v>1.3419999999915952</v>
      </c>
      <c r="P114" s="300"/>
      <c r="Q114" s="300">
        <v>0.93700000002643424</v>
      </c>
      <c r="R114" s="300">
        <v>0.34999999999835629</v>
      </c>
      <c r="S114" s="300">
        <v>0.10999999999948751</v>
      </c>
      <c r="T114" s="300">
        <f>SUM(Q114:S114)</f>
        <v>1.3970000000242782</v>
      </c>
      <c r="U114" s="300"/>
      <c r="V114" s="300">
        <v>0.82500000000083729</v>
      </c>
      <c r="W114" s="300">
        <v>0.33499999999520558</v>
      </c>
      <c r="X114" s="300">
        <v>9.5999999999471924E-2</v>
      </c>
      <c r="Y114" s="300">
        <f>SUM(V114:X114)</f>
        <v>1.2559999999955147</v>
      </c>
    </row>
    <row r="115" spans="1:25" x14ac:dyDescent="0.2">
      <c r="A115" s="260" t="s">
        <v>355</v>
      </c>
      <c r="B115" s="300">
        <v>2.2520000000068663</v>
      </c>
      <c r="C115" s="300">
        <v>3.2000000000410526E-2</v>
      </c>
      <c r="D115" s="300">
        <v>0.26900000000304947</v>
      </c>
      <c r="E115" s="300">
        <f t="shared" ref="E115:E116" si="272">SUM(B115:D115)</f>
        <v>2.5530000000103259</v>
      </c>
      <c r="F115" s="300"/>
      <c r="G115" s="300">
        <v>2.7660000000082898</v>
      </c>
      <c r="H115" s="300">
        <v>0.1940000000014751</v>
      </c>
      <c r="I115" s="300">
        <v>0.6280000000103777</v>
      </c>
      <c r="J115" s="300">
        <f t="shared" ref="J115:J116" si="273">SUM(G115:I115)</f>
        <v>3.5880000000201426</v>
      </c>
      <c r="K115" s="300"/>
      <c r="L115" s="300">
        <v>2.9319999999812123</v>
      </c>
      <c r="M115" s="300">
        <v>0.24199999999860886</v>
      </c>
      <c r="N115" s="300">
        <v>0.40399999999515446</v>
      </c>
      <c r="O115" s="300">
        <f t="shared" ref="O115:O116" si="274">SUM(L115:N115)</f>
        <v>3.5779999999749754</v>
      </c>
      <c r="P115" s="300"/>
      <c r="Q115" s="300">
        <v>3.0899999999903063</v>
      </c>
      <c r="R115" s="300">
        <v>0.26199999999756951</v>
      </c>
      <c r="S115" s="300">
        <v>0.47799999999051102</v>
      </c>
      <c r="T115" s="300">
        <f t="shared" ref="T115:T116" si="275">SUM(Q115:S115)</f>
        <v>3.8299999999783867</v>
      </c>
      <c r="U115" s="300"/>
      <c r="V115" s="300">
        <v>2.8289999999916899</v>
      </c>
      <c r="W115" s="300">
        <v>0.24799999999599698</v>
      </c>
      <c r="X115" s="300">
        <v>0.51099999998913925</v>
      </c>
      <c r="Y115" s="300">
        <f t="shared" ref="Y115:Y116" si="276">SUM(V115:X115)</f>
        <v>3.5879999999768266</v>
      </c>
    </row>
    <row r="116" spans="1:25" x14ac:dyDescent="0.2">
      <c r="A116" s="260" t="s">
        <v>354</v>
      </c>
      <c r="B116" s="300">
        <f>SUM(B114:B115)</f>
        <v>2.8240000000009013</v>
      </c>
      <c r="C116" s="300">
        <f t="shared" ref="C116" si="277">SUM(C114:C115)</f>
        <v>7.3000000001735232E-2</v>
      </c>
      <c r="D116" s="300">
        <f t="shared" ref="D116" si="278">SUM(D114:D115)</f>
        <v>0.33100000000431967</v>
      </c>
      <c r="E116" s="300">
        <f t="shared" si="272"/>
        <v>3.228000000006956</v>
      </c>
      <c r="F116" s="300"/>
      <c r="G116" s="300">
        <f>SUM(G114:G115)</f>
        <v>3.5119999999978035</v>
      </c>
      <c r="H116" s="300">
        <f t="shared" ref="H116" si="279">SUM(H114:H115)</f>
        <v>0.59800000001312892</v>
      </c>
      <c r="I116" s="300">
        <f t="shared" ref="I116" si="280">SUM(I114:I115)</f>
        <v>0.69400000001165751</v>
      </c>
      <c r="J116" s="300">
        <f t="shared" si="273"/>
        <v>4.8040000000225902</v>
      </c>
      <c r="K116" s="300"/>
      <c r="L116" s="300">
        <f>SUM(L114:L115)</f>
        <v>3.8409999999767503</v>
      </c>
      <c r="M116" s="300">
        <f t="shared" ref="M116" si="281">SUM(M114:M115)</f>
        <v>0.56799999999683859</v>
      </c>
      <c r="N116" s="300">
        <f t="shared" ref="N116" si="282">SUM(N114:N115)</f>
        <v>0.51099999999298218</v>
      </c>
      <c r="O116" s="300">
        <f t="shared" si="274"/>
        <v>4.9199999999665707</v>
      </c>
      <c r="P116" s="300"/>
      <c r="Q116" s="300">
        <f>SUM(Q114:Q115)</f>
        <v>4.0270000000167405</v>
      </c>
      <c r="R116" s="300">
        <f t="shared" ref="R116" si="283">SUM(R114:R115)</f>
        <v>0.6119999999959258</v>
      </c>
      <c r="S116" s="300">
        <f t="shared" ref="S116" si="284">SUM(S114:S115)</f>
        <v>0.58799999998999852</v>
      </c>
      <c r="T116" s="300">
        <f t="shared" si="275"/>
        <v>5.2270000000026648</v>
      </c>
      <c r="U116" s="300"/>
      <c r="V116" s="300">
        <f>SUM(V114:V115)</f>
        <v>3.6539999999925272</v>
      </c>
      <c r="W116" s="300">
        <f t="shared" ref="W116" si="285">SUM(W114:W115)</f>
        <v>0.58299999999120256</v>
      </c>
      <c r="X116" s="300">
        <f t="shared" ref="X116" si="286">SUM(X114:X115)</f>
        <v>0.60699999998861121</v>
      </c>
      <c r="Y116" s="300">
        <f t="shared" si="276"/>
        <v>4.8439999999723407</v>
      </c>
    </row>
    <row r="117" spans="1:25" x14ac:dyDescent="0.2">
      <c r="C117" s="319"/>
      <c r="D117" s="319"/>
      <c r="E117" s="319"/>
      <c r="F117" s="319"/>
      <c r="G117" s="319"/>
      <c r="H117" s="319"/>
      <c r="I117" s="319"/>
      <c r="J117" s="319"/>
      <c r="K117" s="319"/>
      <c r="L117" s="319"/>
      <c r="M117" s="319"/>
      <c r="N117" s="319"/>
      <c r="O117" s="319"/>
      <c r="P117" s="319"/>
      <c r="Q117" s="319"/>
      <c r="R117" s="319"/>
      <c r="S117" s="319"/>
      <c r="T117" s="319"/>
      <c r="U117" s="319"/>
      <c r="V117" s="319"/>
      <c r="W117" s="319"/>
      <c r="X117" s="319"/>
      <c r="Y117" s="319"/>
    </row>
    <row r="118" spans="1:25" x14ac:dyDescent="0.2">
      <c r="A118" s="261" t="str">
        <f>name!A17</f>
        <v>Basic metals</v>
      </c>
      <c r="C118" s="263"/>
    </row>
    <row r="119" spans="1:25" x14ac:dyDescent="0.2">
      <c r="A119" s="260" t="s">
        <v>356</v>
      </c>
      <c r="B119" s="300">
        <v>6.8999999999473413E-2</v>
      </c>
      <c r="C119" s="300">
        <v>2.400000000042575E-2</v>
      </c>
      <c r="D119" s="300">
        <v>2.0000000000545185E-3</v>
      </c>
      <c r="E119" s="300">
        <f>SUM(B119:D119)</f>
        <v>9.4999999999953677E-2</v>
      </c>
      <c r="F119" s="300"/>
      <c r="G119" s="300">
        <v>7.4999999999105685E-2</v>
      </c>
      <c r="H119" s="300">
        <v>0.1080000000019226</v>
      </c>
      <c r="I119" s="300">
        <v>3.0000000000741604E-3</v>
      </c>
      <c r="J119" s="300">
        <f>SUM(G119:I119)</f>
        <v>0.18600000000110245</v>
      </c>
      <c r="K119" s="300"/>
      <c r="L119" s="300">
        <v>8.0999999999620195E-2</v>
      </c>
      <c r="M119" s="300">
        <v>7.4999999999193878E-2</v>
      </c>
      <c r="N119" s="300">
        <v>9.9999999997645653E-3</v>
      </c>
      <c r="O119" s="300">
        <f>SUM(L119:N119)</f>
        <v>0.16599999999857865</v>
      </c>
      <c r="P119" s="300"/>
      <c r="Q119" s="300">
        <v>8.100000000210858E-2</v>
      </c>
      <c r="R119" s="300">
        <v>7.2999999998917792E-2</v>
      </c>
      <c r="S119" s="300">
        <v>9.9999999998367384E-3</v>
      </c>
      <c r="T119" s="300">
        <f>SUM(Q119:S119)</f>
        <v>0.16400000000086312</v>
      </c>
      <c r="U119" s="300"/>
      <c r="V119" s="300">
        <v>7.6000000000119708E-2</v>
      </c>
      <c r="W119" s="300">
        <v>6.5999999999158454E-2</v>
      </c>
      <c r="X119" s="300">
        <v>8.9999999999045965E-3</v>
      </c>
      <c r="Y119" s="300">
        <f>SUM(V119:X119)</f>
        <v>0.15099999999918273</v>
      </c>
    </row>
    <row r="120" spans="1:25" x14ac:dyDescent="0.2">
      <c r="A120" s="260" t="s">
        <v>355</v>
      </c>
      <c r="B120" s="300">
        <v>0.406000000004406</v>
      </c>
      <c r="C120" s="300">
        <v>4.2000000001303064E-2</v>
      </c>
      <c r="D120" s="300">
        <v>3.1000000000466522E-2</v>
      </c>
      <c r="E120" s="300">
        <f t="shared" ref="E120:E121" si="287">SUM(B120:D120)</f>
        <v>0.4790000000061756</v>
      </c>
      <c r="F120" s="300"/>
      <c r="G120" s="300">
        <v>0.44200000000376627</v>
      </c>
      <c r="H120" s="300">
        <v>0.10000000000215421</v>
      </c>
      <c r="I120" s="300">
        <v>0.10400000000153539</v>
      </c>
      <c r="J120" s="300">
        <f t="shared" ref="J120:J121" si="288">SUM(G120:I120)</f>
        <v>0.64600000000745594</v>
      </c>
      <c r="K120" s="300"/>
      <c r="L120" s="300">
        <v>0.41499999999484005</v>
      </c>
      <c r="M120" s="300">
        <v>7.999999999870476E-2</v>
      </c>
      <c r="N120" s="300">
        <v>4.4999999999342587E-2</v>
      </c>
      <c r="O120" s="300">
        <f t="shared" ref="O120:O121" si="289">SUM(L120:N120)</f>
        <v>0.53999999999288739</v>
      </c>
      <c r="P120" s="300"/>
      <c r="Q120" s="300">
        <v>0.39899999999638852</v>
      </c>
      <c r="R120" s="300">
        <v>7.699999999867338E-2</v>
      </c>
      <c r="S120" s="300">
        <v>4.599999999904341E-2</v>
      </c>
      <c r="T120" s="300">
        <f t="shared" ref="T120:T121" si="290">SUM(Q120:S120)</f>
        <v>0.52199999999410529</v>
      </c>
      <c r="U120" s="300"/>
      <c r="V120" s="300">
        <v>0.34899999999668413</v>
      </c>
      <c r="W120" s="300">
        <v>6.5999999998124087E-2</v>
      </c>
      <c r="X120" s="300">
        <v>4.4999999998943857E-2</v>
      </c>
      <c r="Y120" s="300">
        <f t="shared" ref="Y120:Y121" si="291">SUM(V120:X120)</f>
        <v>0.45999999999375207</v>
      </c>
    </row>
    <row r="121" spans="1:25" x14ac:dyDescent="0.2">
      <c r="A121" s="260" t="s">
        <v>354</v>
      </c>
      <c r="B121" s="300">
        <f>SUM(B119:B120)</f>
        <v>0.47500000000387943</v>
      </c>
      <c r="C121" s="300">
        <f t="shared" ref="C121" si="292">SUM(C119:C120)</f>
        <v>6.6000000001728815E-2</v>
      </c>
      <c r="D121" s="300">
        <f t="shared" ref="D121" si="293">SUM(D119:D120)</f>
        <v>3.3000000000521043E-2</v>
      </c>
      <c r="E121" s="300">
        <f t="shared" si="287"/>
        <v>0.57400000000612927</v>
      </c>
      <c r="F121" s="300"/>
      <c r="G121" s="300">
        <f>SUM(G119:G120)</f>
        <v>0.51700000000287194</v>
      </c>
      <c r="H121" s="300">
        <f t="shared" ref="H121" si="294">SUM(H119:H120)</f>
        <v>0.20800000000407681</v>
      </c>
      <c r="I121" s="300">
        <f t="shared" ref="I121" si="295">SUM(I119:I120)</f>
        <v>0.10700000000160956</v>
      </c>
      <c r="J121" s="300">
        <f t="shared" si="288"/>
        <v>0.83200000000855834</v>
      </c>
      <c r="K121" s="300"/>
      <c r="L121" s="300">
        <f>SUM(L119:L120)</f>
        <v>0.49599999999446026</v>
      </c>
      <c r="M121" s="300">
        <f t="shared" ref="M121" si="296">SUM(M119:M120)</f>
        <v>0.15499999999789865</v>
      </c>
      <c r="N121" s="300">
        <f t="shared" ref="N121" si="297">SUM(N119:N120)</f>
        <v>5.4999999999107152E-2</v>
      </c>
      <c r="O121" s="300">
        <f t="shared" si="289"/>
        <v>0.70599999999146612</v>
      </c>
      <c r="P121" s="300"/>
      <c r="Q121" s="300">
        <f>SUM(Q119:Q120)</f>
        <v>0.47999999999849707</v>
      </c>
      <c r="R121" s="300">
        <f t="shared" ref="R121" si="298">SUM(R119:R120)</f>
        <v>0.14999999999759117</v>
      </c>
      <c r="S121" s="300">
        <f t="shared" ref="S121" si="299">SUM(S119:S120)</f>
        <v>5.5999999998880147E-2</v>
      </c>
      <c r="T121" s="300">
        <f t="shared" si="290"/>
        <v>0.68599999999496841</v>
      </c>
      <c r="U121" s="300"/>
      <c r="V121" s="300">
        <f>SUM(V119:V120)</f>
        <v>0.42499999999680382</v>
      </c>
      <c r="W121" s="300">
        <f t="shared" ref="W121" si="300">SUM(W119:W120)</f>
        <v>0.13199999999728254</v>
      </c>
      <c r="X121" s="300">
        <f t="shared" ref="X121" si="301">SUM(X119:X120)</f>
        <v>5.3999999998848455E-2</v>
      </c>
      <c r="Y121" s="300">
        <f t="shared" si="291"/>
        <v>0.61099999999293475</v>
      </c>
    </row>
    <row r="122" spans="1:25" x14ac:dyDescent="0.2">
      <c r="C122" s="319"/>
      <c r="D122" s="319"/>
      <c r="E122" s="319"/>
      <c r="F122" s="319"/>
      <c r="G122" s="319"/>
      <c r="H122" s="319"/>
      <c r="I122" s="319"/>
      <c r="J122" s="319"/>
      <c r="K122" s="319"/>
      <c r="L122" s="319"/>
      <c r="M122" s="319"/>
      <c r="N122" s="319"/>
      <c r="O122" s="319"/>
      <c r="P122" s="319"/>
      <c r="Q122" s="319"/>
      <c r="R122" s="319"/>
      <c r="S122" s="319"/>
      <c r="T122" s="319"/>
      <c r="U122" s="319"/>
      <c r="V122" s="319"/>
      <c r="W122" s="319"/>
      <c r="X122" s="319"/>
      <c r="Y122" s="319"/>
    </row>
    <row r="123" spans="1:25" x14ac:dyDescent="0.2">
      <c r="A123" s="261" t="str">
        <f>name!A18</f>
        <v>Metal products</v>
      </c>
      <c r="C123" s="263"/>
    </row>
    <row r="124" spans="1:25" x14ac:dyDescent="0.2">
      <c r="A124" s="260" t="s">
        <v>356</v>
      </c>
      <c r="B124" s="300">
        <v>1.0369999999914317</v>
      </c>
      <c r="C124" s="300">
        <v>0.71600000001582853</v>
      </c>
      <c r="D124" s="300">
        <v>4.2000000000383758E-2</v>
      </c>
      <c r="E124" s="300">
        <f>SUM(B124:D124)</f>
        <v>1.7950000000076438</v>
      </c>
      <c r="F124" s="300"/>
      <c r="G124" s="300">
        <v>1.1249999999856564</v>
      </c>
      <c r="H124" s="300">
        <v>0.63600000001335755</v>
      </c>
      <c r="I124" s="300">
        <v>6.3000000000525372E-2</v>
      </c>
      <c r="J124" s="300">
        <f>SUM(G124:I124)</f>
        <v>1.8239999999995391</v>
      </c>
      <c r="K124" s="300"/>
      <c r="L124" s="300">
        <v>1.2139999999928068</v>
      </c>
      <c r="M124" s="300">
        <v>0.44099999999559336</v>
      </c>
      <c r="N124" s="300">
        <v>0.15599999999908501</v>
      </c>
      <c r="O124" s="300">
        <f>SUM(L124:N124)</f>
        <v>1.8109999999874853</v>
      </c>
      <c r="P124" s="300"/>
      <c r="Q124" s="300">
        <v>1.2160000000334552</v>
      </c>
      <c r="R124" s="300">
        <v>0.43199999999483546</v>
      </c>
      <c r="S124" s="300">
        <v>0.15799999999976333</v>
      </c>
      <c r="T124" s="300">
        <f>SUM(Q124:S124)</f>
        <v>1.8060000000280541</v>
      </c>
      <c r="U124" s="300"/>
      <c r="V124" s="300">
        <v>1.143000000001847</v>
      </c>
      <c r="W124" s="300">
        <v>0.38899999999478307</v>
      </c>
      <c r="X124" s="300">
        <v>0.14799999999944327</v>
      </c>
      <c r="Y124" s="300">
        <f>SUM(V124:X124)</f>
        <v>1.6799999999960733</v>
      </c>
    </row>
    <row r="125" spans="1:25" x14ac:dyDescent="0.2">
      <c r="A125" s="260" t="s">
        <v>355</v>
      </c>
      <c r="B125" s="300">
        <v>6.2800000000302099</v>
      </c>
      <c r="C125" s="300">
        <v>0.812000000016743</v>
      </c>
      <c r="D125" s="300">
        <v>0.46900000000713937</v>
      </c>
      <c r="E125" s="300">
        <f t="shared" ref="E125:E126" si="302">SUM(B125:D125)</f>
        <v>7.5610000000540927</v>
      </c>
      <c r="F125" s="300"/>
      <c r="G125" s="300">
        <v>6.8450000000275297</v>
      </c>
      <c r="H125" s="300">
        <v>0.38300000000518819</v>
      </c>
      <c r="I125" s="300">
        <v>1.264000000028261</v>
      </c>
      <c r="J125" s="300">
        <f t="shared" ref="J125:J126" si="303">SUM(G125:I125)</f>
        <v>8.4920000000609779</v>
      </c>
      <c r="K125" s="300"/>
      <c r="L125" s="300">
        <v>6.4219999999443909</v>
      </c>
      <c r="M125" s="300">
        <v>0.30699999999667932</v>
      </c>
      <c r="N125" s="300">
        <v>1.1419999999878108</v>
      </c>
      <c r="O125" s="300">
        <f t="shared" ref="O125:O126" si="304">SUM(L125:N125)</f>
        <v>7.8709999999288813</v>
      </c>
      <c r="P125" s="300"/>
      <c r="Q125" s="300">
        <v>6.1789999999730583</v>
      </c>
      <c r="R125" s="300">
        <v>0.29499999999631538</v>
      </c>
      <c r="S125" s="300">
        <v>1.061999999980247</v>
      </c>
      <c r="T125" s="300">
        <f t="shared" ref="T125:T126" si="305">SUM(Q125:S125)</f>
        <v>7.5359999999496212</v>
      </c>
      <c r="U125" s="300"/>
      <c r="V125" s="300">
        <v>5.3979999999886576</v>
      </c>
      <c r="W125" s="300">
        <v>0.25399999999442679</v>
      </c>
      <c r="X125" s="300">
        <v>0.85699999999193077</v>
      </c>
      <c r="Y125" s="300">
        <f t="shared" ref="Y125:Y126" si="306">SUM(V125:X125)</f>
        <v>6.5089999999750159</v>
      </c>
    </row>
    <row r="126" spans="1:25" x14ac:dyDescent="0.2">
      <c r="A126" s="260" t="s">
        <v>354</v>
      </c>
      <c r="B126" s="300">
        <f>SUM(B124:B125)</f>
        <v>7.3170000000216415</v>
      </c>
      <c r="C126" s="300">
        <f t="shared" ref="C126" si="307">SUM(C124:C125)</f>
        <v>1.5280000000325715</v>
      </c>
      <c r="D126" s="300">
        <f t="shared" ref="D126" si="308">SUM(D124:D125)</f>
        <v>0.5110000000075231</v>
      </c>
      <c r="E126" s="300">
        <f t="shared" si="302"/>
        <v>9.3560000000617372</v>
      </c>
      <c r="F126" s="300"/>
      <c r="G126" s="300">
        <f>SUM(G124:G125)</f>
        <v>7.9700000000131865</v>
      </c>
      <c r="H126" s="300">
        <f t="shared" ref="H126" si="309">SUM(H124:H125)</f>
        <v>1.0190000000185457</v>
      </c>
      <c r="I126" s="300">
        <f t="shared" ref="I126" si="310">SUM(I124:I125)</f>
        <v>1.3270000000287863</v>
      </c>
      <c r="J126" s="300">
        <f t="shared" si="303"/>
        <v>10.316000000060518</v>
      </c>
      <c r="K126" s="300"/>
      <c r="L126" s="300">
        <f>SUM(L124:L125)</f>
        <v>7.6359999999371979</v>
      </c>
      <c r="M126" s="300">
        <f t="shared" ref="M126" si="311">SUM(M124:M125)</f>
        <v>0.74799999999227262</v>
      </c>
      <c r="N126" s="300">
        <f t="shared" ref="N126" si="312">SUM(N124:N125)</f>
        <v>1.2979999999868959</v>
      </c>
      <c r="O126" s="300">
        <f t="shared" si="304"/>
        <v>9.681999999916366</v>
      </c>
      <c r="P126" s="300"/>
      <c r="Q126" s="300">
        <f>SUM(Q124:Q125)</f>
        <v>7.3950000000065135</v>
      </c>
      <c r="R126" s="300">
        <f t="shared" ref="R126" si="313">SUM(R124:R125)</f>
        <v>0.72699999999115084</v>
      </c>
      <c r="S126" s="300">
        <f t="shared" ref="S126" si="314">SUM(S124:S125)</f>
        <v>1.2199999999800104</v>
      </c>
      <c r="T126" s="300">
        <f t="shared" si="305"/>
        <v>9.3419999999776735</v>
      </c>
      <c r="U126" s="300"/>
      <c r="V126" s="300">
        <f>SUM(V124:V125)</f>
        <v>6.5409999999905049</v>
      </c>
      <c r="W126" s="300">
        <f t="shared" ref="W126" si="315">SUM(W124:W125)</f>
        <v>0.64299999998920987</v>
      </c>
      <c r="X126" s="300">
        <f t="shared" ref="X126" si="316">SUM(X124:X125)</f>
        <v>1.0049999999913741</v>
      </c>
      <c r="Y126" s="300">
        <f t="shared" si="306"/>
        <v>8.1889999999710898</v>
      </c>
    </row>
    <row r="127" spans="1:25" x14ac:dyDescent="0.2">
      <c r="C127" s="319"/>
      <c r="D127" s="319"/>
      <c r="E127" s="319"/>
      <c r="F127" s="319"/>
      <c r="G127" s="319"/>
      <c r="H127" s="319"/>
      <c r="I127" s="319"/>
      <c r="J127" s="319"/>
      <c r="K127" s="319"/>
      <c r="L127" s="319"/>
      <c r="M127" s="319"/>
      <c r="N127" s="319"/>
      <c r="O127" s="319"/>
      <c r="P127" s="319"/>
      <c r="Q127" s="319"/>
      <c r="R127" s="319"/>
      <c r="S127" s="319"/>
      <c r="T127" s="319"/>
      <c r="U127" s="319"/>
      <c r="V127" s="319"/>
      <c r="W127" s="319"/>
      <c r="X127" s="319"/>
      <c r="Y127" s="319"/>
    </row>
    <row r="128" spans="1:25" x14ac:dyDescent="0.2">
      <c r="A128" s="261" t="str">
        <f>name!A22</f>
        <v>Motor vehicles, etc</v>
      </c>
      <c r="C128" s="263"/>
    </row>
    <row r="129" spans="1:25" x14ac:dyDescent="0.2">
      <c r="A129" s="260" t="s">
        <v>356</v>
      </c>
      <c r="B129" s="300">
        <v>0.29399999999909887</v>
      </c>
      <c r="C129" s="300">
        <v>0.2120000000051363</v>
      </c>
      <c r="D129" s="300">
        <v>9.0000000000337848E-3</v>
      </c>
      <c r="E129" s="300">
        <f>SUM(B129:D129)</f>
        <v>0.51500000000426893</v>
      </c>
      <c r="F129" s="300"/>
      <c r="G129" s="300">
        <v>0.29099999999789311</v>
      </c>
      <c r="H129" s="300">
        <v>0.223000000005045</v>
      </c>
      <c r="I129" s="300">
        <v>3.0000000000015704E-3</v>
      </c>
      <c r="J129" s="300">
        <f>SUM(G129:I129)</f>
        <v>0.51700000000293966</v>
      </c>
      <c r="K129" s="300"/>
      <c r="L129" s="300">
        <v>0.28799999999760123</v>
      </c>
      <c r="M129" s="300">
        <v>0.15099999999855399</v>
      </c>
      <c r="N129" s="300">
        <v>1.3000000000057143E-2</v>
      </c>
      <c r="O129" s="300">
        <f>SUM(L129:N129)</f>
        <v>0.45199999999621238</v>
      </c>
      <c r="P129" s="300"/>
      <c r="Q129" s="300">
        <v>0.24900000000455694</v>
      </c>
      <c r="R129" s="300">
        <v>0.12499999999845639</v>
      </c>
      <c r="S129" s="300">
        <v>1.1000000000067152E-2</v>
      </c>
      <c r="T129" s="300">
        <f>SUM(Q129:S129)</f>
        <v>0.38500000000308049</v>
      </c>
      <c r="U129" s="300"/>
      <c r="V129" s="300">
        <v>0.18899999999978417</v>
      </c>
      <c r="W129" s="300">
        <v>8.3999999998773014E-2</v>
      </c>
      <c r="X129" s="300">
        <v>8.0000000000069963E-3</v>
      </c>
      <c r="Y129" s="300">
        <f>SUM(V129:X129)</f>
        <v>0.28099999999856418</v>
      </c>
    </row>
    <row r="130" spans="1:25" x14ac:dyDescent="0.2">
      <c r="A130" s="260" t="s">
        <v>355</v>
      </c>
      <c r="B130" s="300">
        <v>3.04100000002403</v>
      </c>
      <c r="C130" s="300">
        <v>0.29300000001099286</v>
      </c>
      <c r="D130" s="300">
        <v>0.16800000000252752</v>
      </c>
      <c r="E130" s="300">
        <f t="shared" ref="E130:E131" si="317">SUM(B130:D130)</f>
        <v>3.5020000000375502</v>
      </c>
      <c r="F130" s="300"/>
      <c r="G130" s="300">
        <v>2.4940000000157485</v>
      </c>
      <c r="H130" s="300">
        <v>0.40100000001106861</v>
      </c>
      <c r="I130" s="300">
        <v>0.19200000000300785</v>
      </c>
      <c r="J130" s="300">
        <f t="shared" ref="J130:J131" si="318">SUM(G130:I130)</f>
        <v>3.0870000000298252</v>
      </c>
      <c r="K130" s="300"/>
      <c r="L130" s="300">
        <v>2.3959999999770947</v>
      </c>
      <c r="M130" s="300">
        <v>0.40799999999157416</v>
      </c>
      <c r="N130" s="300">
        <v>0.27099999999776414</v>
      </c>
      <c r="O130" s="300">
        <f t="shared" ref="O130:O131" si="319">SUM(L130:N130)</f>
        <v>3.0749999999664333</v>
      </c>
      <c r="P130" s="300"/>
      <c r="Q130" s="300">
        <v>1.9909999999869132</v>
      </c>
      <c r="R130" s="300">
        <v>0.3589999999924679</v>
      </c>
      <c r="S130" s="300">
        <v>0.23299999999650056</v>
      </c>
      <c r="T130" s="300">
        <f t="shared" ref="T130:T131" si="320">SUM(Q130:S130)</f>
        <v>2.5829999999758817</v>
      </c>
      <c r="U130" s="300"/>
      <c r="V130" s="300">
        <v>1.4109999999897844</v>
      </c>
      <c r="W130" s="300">
        <v>0.27399999999114177</v>
      </c>
      <c r="X130" s="300">
        <v>0.17499999999783389</v>
      </c>
      <c r="Y130" s="300">
        <f t="shared" ref="Y130:Y131" si="321">SUM(V130:X130)</f>
        <v>1.85999999997876</v>
      </c>
    </row>
    <row r="131" spans="1:25" x14ac:dyDescent="0.2">
      <c r="A131" s="260" t="s">
        <v>354</v>
      </c>
      <c r="B131" s="300">
        <f>SUM(B129:B130)</f>
        <v>3.335000000023129</v>
      </c>
      <c r="C131" s="300">
        <f t="shared" ref="C131" si="322">SUM(C129:C130)</f>
        <v>0.50500000001612921</v>
      </c>
      <c r="D131" s="300">
        <f t="shared" ref="D131" si="323">SUM(D129:D130)</f>
        <v>0.1770000000025613</v>
      </c>
      <c r="E131" s="300">
        <f t="shared" si="317"/>
        <v>4.0170000000418193</v>
      </c>
      <c r="F131" s="300"/>
      <c r="G131" s="300">
        <f>SUM(G129:G130)</f>
        <v>2.7850000000136417</v>
      </c>
      <c r="H131" s="300">
        <f t="shared" ref="H131" si="324">SUM(H129:H130)</f>
        <v>0.62400000001611367</v>
      </c>
      <c r="I131" s="300">
        <f t="shared" ref="I131" si="325">SUM(I129:I130)</f>
        <v>0.1950000000030094</v>
      </c>
      <c r="J131" s="300">
        <f t="shared" si="318"/>
        <v>3.604000000032765</v>
      </c>
      <c r="K131" s="300"/>
      <c r="L131" s="300">
        <f>SUM(L129:L130)</f>
        <v>2.683999999974696</v>
      </c>
      <c r="M131" s="300">
        <f t="shared" ref="M131" si="326">SUM(M129:M130)</f>
        <v>0.55899999999012817</v>
      </c>
      <c r="N131" s="300">
        <f t="shared" ref="N131" si="327">SUM(N129:N130)</f>
        <v>0.28399999999782127</v>
      </c>
      <c r="O131" s="300">
        <f t="shared" si="319"/>
        <v>3.5269999999626451</v>
      </c>
      <c r="P131" s="300"/>
      <c r="Q131" s="300">
        <f>SUM(Q129:Q130)</f>
        <v>2.2399999999914701</v>
      </c>
      <c r="R131" s="300">
        <f t="shared" ref="R131" si="328">SUM(R129:R130)</f>
        <v>0.4839999999909243</v>
      </c>
      <c r="S131" s="300">
        <f t="shared" ref="S131" si="329">SUM(S129:S130)</f>
        <v>0.24399999999656771</v>
      </c>
      <c r="T131" s="300">
        <f t="shared" si="320"/>
        <v>2.9679999999789621</v>
      </c>
      <c r="U131" s="300"/>
      <c r="V131" s="300">
        <f>SUM(V129:V130)</f>
        <v>1.5999999999895687</v>
      </c>
      <c r="W131" s="300">
        <f t="shared" ref="W131" si="330">SUM(W129:W130)</f>
        <v>0.35799999998991477</v>
      </c>
      <c r="X131" s="300">
        <f t="shared" ref="X131" si="331">SUM(X129:X130)</f>
        <v>0.18299999999784089</v>
      </c>
      <c r="Y131" s="300">
        <f t="shared" si="321"/>
        <v>2.1409999999773244</v>
      </c>
    </row>
    <row r="132" spans="1:25" x14ac:dyDescent="0.2">
      <c r="C132" s="319"/>
      <c r="D132" s="319"/>
      <c r="E132" s="319"/>
      <c r="F132" s="319"/>
      <c r="G132" s="319"/>
      <c r="H132" s="319"/>
      <c r="I132" s="319"/>
      <c r="J132" s="319"/>
      <c r="K132" s="319"/>
      <c r="L132" s="319"/>
      <c r="M132" s="319"/>
      <c r="N132" s="319"/>
      <c r="O132" s="319"/>
      <c r="P132" s="319"/>
      <c r="Q132" s="319"/>
      <c r="R132" s="319"/>
      <c r="S132" s="319"/>
      <c r="T132" s="319"/>
      <c r="U132" s="319"/>
      <c r="V132" s="319"/>
      <c r="W132" s="319"/>
      <c r="X132" s="319"/>
      <c r="Y132" s="319"/>
    </row>
    <row r="133" spans="1:25" x14ac:dyDescent="0.2">
      <c r="A133" s="261" t="str">
        <f>name!A23</f>
        <v>Other transport equipment</v>
      </c>
      <c r="C133" s="263"/>
    </row>
    <row r="134" spans="1:25" x14ac:dyDescent="0.2">
      <c r="A134" s="260" t="s">
        <v>356</v>
      </c>
      <c r="B134" s="300">
        <v>0.11499999999940157</v>
      </c>
      <c r="C134" s="300">
        <v>2.0000000000364023E-3</v>
      </c>
      <c r="D134" s="300">
        <v>4.0000000000351603E-3</v>
      </c>
      <c r="E134" s="300">
        <f>SUM(B134:D134)</f>
        <v>0.12099999999947313</v>
      </c>
      <c r="F134" s="300"/>
      <c r="G134" s="300">
        <v>0.22299999999802605</v>
      </c>
      <c r="H134" s="300">
        <v>4.8000000000802193E-2</v>
      </c>
      <c r="I134" s="300">
        <v>5.0000000000455635E-3</v>
      </c>
      <c r="J134" s="300">
        <f>SUM(G134:I134)</f>
        <v>0.27599999999887381</v>
      </c>
      <c r="K134" s="300"/>
      <c r="L134" s="300">
        <v>0.26899999999893975</v>
      </c>
      <c r="M134" s="300">
        <v>3.0999999999712737E-2</v>
      </c>
      <c r="N134" s="300">
        <v>7.999999999967939E-3</v>
      </c>
      <c r="O134" s="300">
        <f>SUM(L134:N134)</f>
        <v>0.30799999999862043</v>
      </c>
      <c r="P134" s="300"/>
      <c r="Q134" s="300">
        <v>0.22900000000463105</v>
      </c>
      <c r="R134" s="300">
        <v>2.5999999999685688E-2</v>
      </c>
      <c r="S134" s="300">
        <v>5.9999999999993331E-3</v>
      </c>
      <c r="T134" s="300">
        <f>SUM(Q134:S134)</f>
        <v>0.26100000000431606</v>
      </c>
      <c r="U134" s="300"/>
      <c r="V134" s="300">
        <v>0.19100000000035841</v>
      </c>
      <c r="W134" s="300">
        <v>1.9999999999792191E-2</v>
      </c>
      <c r="X134" s="300">
        <v>4.9999999999841612E-3</v>
      </c>
      <c r="Y134" s="300">
        <f>SUM(V134:X134)</f>
        <v>0.21600000000013475</v>
      </c>
    </row>
    <row r="135" spans="1:25" x14ac:dyDescent="0.2">
      <c r="A135" s="260" t="s">
        <v>355</v>
      </c>
      <c r="B135" s="300">
        <v>0.753000000002925</v>
      </c>
      <c r="C135" s="300">
        <v>4.0000000001687193E-3</v>
      </c>
      <c r="D135" s="300">
        <v>3.0000000000089476E-2</v>
      </c>
      <c r="E135" s="300">
        <f t="shared" ref="E135:E136" si="332">SUM(B135:D135)</f>
        <v>0.78700000000318326</v>
      </c>
      <c r="F135" s="300"/>
      <c r="G135" s="300">
        <v>1.3060000000039629</v>
      </c>
      <c r="H135" s="300">
        <v>9.0000000002792027E-2</v>
      </c>
      <c r="I135" s="300">
        <v>8.8000000003198839E-2</v>
      </c>
      <c r="J135" s="300">
        <f t="shared" ref="J135:J136" si="333">SUM(G135:I135)</f>
        <v>1.4840000000099538</v>
      </c>
      <c r="K135" s="300"/>
      <c r="L135" s="300">
        <v>1.3289999999915438</v>
      </c>
      <c r="M135" s="300">
        <v>6.4999999998485228E-2</v>
      </c>
      <c r="N135" s="300">
        <v>0.31199999998463368</v>
      </c>
      <c r="O135" s="300">
        <f t="shared" ref="O135:O136" si="334">SUM(L135:N135)</f>
        <v>1.7059999999746627</v>
      </c>
      <c r="P135" s="300"/>
      <c r="Q135" s="300">
        <v>1.0659999999967524</v>
      </c>
      <c r="R135" s="300">
        <v>5.3999999998612214E-2</v>
      </c>
      <c r="S135" s="300">
        <v>0.25099999997616185</v>
      </c>
      <c r="T135" s="300">
        <f t="shared" ref="T135:T136" si="335">SUM(Q135:S135)</f>
        <v>1.3709999999715266</v>
      </c>
      <c r="U135" s="300"/>
      <c r="V135" s="300">
        <v>0.78800000000011938</v>
      </c>
      <c r="W135" s="300">
        <v>4.1999999997948796E-2</v>
      </c>
      <c r="X135" s="300">
        <v>0.18699999998592665</v>
      </c>
      <c r="Y135" s="300">
        <f t="shared" ref="Y135:Y136" si="336">SUM(V135:X135)</f>
        <v>1.0169999999839949</v>
      </c>
    </row>
    <row r="136" spans="1:25" x14ac:dyDescent="0.2">
      <c r="A136" s="260" t="s">
        <v>354</v>
      </c>
      <c r="B136" s="300">
        <f>SUM(B134:B135)</f>
        <v>0.86800000000232658</v>
      </c>
      <c r="C136" s="300">
        <f t="shared" ref="C136" si="337">SUM(C134:C135)</f>
        <v>6.0000000002051216E-3</v>
      </c>
      <c r="D136" s="300">
        <f t="shared" ref="D136" si="338">SUM(D134:D135)</f>
        <v>3.4000000000124639E-2</v>
      </c>
      <c r="E136" s="300">
        <f t="shared" si="332"/>
        <v>0.90800000000265635</v>
      </c>
      <c r="F136" s="300"/>
      <c r="G136" s="300">
        <f>SUM(G134:G135)</f>
        <v>1.529000000001989</v>
      </c>
      <c r="H136" s="300">
        <f t="shared" ref="H136" si="339">SUM(H134:H135)</f>
        <v>0.13800000000359422</v>
      </c>
      <c r="I136" s="300">
        <f t="shared" ref="I136" si="340">SUM(I134:I135)</f>
        <v>9.3000000003244404E-2</v>
      </c>
      <c r="J136" s="300">
        <f t="shared" si="333"/>
        <v>1.7600000000088276</v>
      </c>
      <c r="K136" s="300"/>
      <c r="L136" s="300">
        <f>SUM(L134:L135)</f>
        <v>1.5979999999904835</v>
      </c>
      <c r="M136" s="300">
        <f t="shared" ref="M136" si="341">SUM(M134:M135)</f>
        <v>9.5999999998197971E-2</v>
      </c>
      <c r="N136" s="300">
        <f t="shared" ref="N136" si="342">SUM(N134:N135)</f>
        <v>0.3199999999846016</v>
      </c>
      <c r="O136" s="300">
        <f t="shared" si="334"/>
        <v>2.0139999999732829</v>
      </c>
      <c r="P136" s="300"/>
      <c r="Q136" s="300">
        <f>SUM(Q134:Q135)</f>
        <v>1.2950000000013835</v>
      </c>
      <c r="R136" s="300">
        <f t="shared" ref="R136" si="343">SUM(R134:R135)</f>
        <v>7.9999999998297905E-2</v>
      </c>
      <c r="S136" s="300">
        <f t="shared" ref="S136" si="344">SUM(S134:S135)</f>
        <v>0.25699999997616119</v>
      </c>
      <c r="T136" s="300">
        <f t="shared" si="335"/>
        <v>1.6319999999758426</v>
      </c>
      <c r="U136" s="300"/>
      <c r="V136" s="300">
        <f>SUM(V134:V135)</f>
        <v>0.97900000000047782</v>
      </c>
      <c r="W136" s="300">
        <f t="shared" ref="W136" si="345">SUM(W134:W135)</f>
        <v>6.1999999997740987E-2</v>
      </c>
      <c r="X136" s="300">
        <f t="shared" ref="X136" si="346">SUM(X134:X135)</f>
        <v>0.1919999999859108</v>
      </c>
      <c r="Y136" s="300">
        <f t="shared" si="336"/>
        <v>1.2329999999841297</v>
      </c>
    </row>
    <row r="137" spans="1:25" x14ac:dyDescent="0.2">
      <c r="C137" s="319"/>
      <c r="D137" s="319"/>
      <c r="E137" s="319"/>
      <c r="F137" s="319"/>
      <c r="G137" s="319"/>
      <c r="H137" s="319"/>
      <c r="I137" s="319"/>
      <c r="J137" s="319"/>
      <c r="K137" s="319"/>
      <c r="L137" s="319"/>
      <c r="M137" s="319"/>
      <c r="N137" s="319"/>
      <c r="O137" s="319"/>
      <c r="P137" s="319"/>
      <c r="Q137" s="319"/>
      <c r="R137" s="319"/>
      <c r="S137" s="319"/>
      <c r="T137" s="319"/>
      <c r="U137" s="319"/>
      <c r="V137" s="319"/>
      <c r="W137" s="319"/>
      <c r="X137" s="319"/>
      <c r="Y137" s="319"/>
    </row>
    <row r="138" spans="1:25" x14ac:dyDescent="0.2">
      <c r="A138" s="261" t="str">
        <f>name!A24</f>
        <v>Furniture</v>
      </c>
      <c r="C138" s="263"/>
    </row>
    <row r="139" spans="1:25" x14ac:dyDescent="0.2">
      <c r="A139" s="260" t="s">
        <v>356</v>
      </c>
      <c r="B139" s="300">
        <v>0.30399999999822697</v>
      </c>
      <c r="C139" s="300">
        <v>0.43000000000806682</v>
      </c>
      <c r="D139" s="300">
        <v>0.1799999999980553</v>
      </c>
      <c r="E139" s="300">
        <f>SUM(B139:D139)</f>
        <v>0.91400000000434911</v>
      </c>
      <c r="F139" s="300"/>
      <c r="G139" s="300">
        <v>0.17499999999828991</v>
      </c>
      <c r="H139" s="300">
        <v>0.98500000001689025</v>
      </c>
      <c r="I139" s="300">
        <v>6.9999999999300093E-3</v>
      </c>
      <c r="J139" s="300">
        <f>SUM(G139:I139)</f>
        <v>1.1670000000151102</v>
      </c>
      <c r="K139" s="300"/>
      <c r="L139" s="300">
        <v>0.20699999999943586</v>
      </c>
      <c r="M139" s="300">
        <v>0.67799999999624638</v>
      </c>
      <c r="N139" s="300">
        <v>0.19100000000303308</v>
      </c>
      <c r="O139" s="300">
        <f>SUM(L139:N139)</f>
        <v>1.0759999999987153</v>
      </c>
      <c r="P139" s="300"/>
      <c r="Q139" s="300">
        <v>0.17200000000368396</v>
      </c>
      <c r="R139" s="300">
        <v>0.56499999999857964</v>
      </c>
      <c r="S139" s="300">
        <v>0.1520000000029019</v>
      </c>
      <c r="T139" s="300">
        <f>SUM(Q139:S139)</f>
        <v>0.88900000000516555</v>
      </c>
      <c r="U139" s="300"/>
      <c r="V139" s="300">
        <v>0.1470000000005672</v>
      </c>
      <c r="W139" s="300">
        <v>0.47999999999601017</v>
      </c>
      <c r="X139" s="300">
        <v>0.12200000000044314</v>
      </c>
      <c r="Y139" s="300">
        <f>SUM(V139:X139)</f>
        <v>0.74899999999702049</v>
      </c>
    </row>
    <row r="140" spans="1:25" x14ac:dyDescent="0.2">
      <c r="A140" s="260" t="s">
        <v>355</v>
      </c>
      <c r="B140" s="300">
        <v>2.8620000000143362</v>
      </c>
      <c r="C140" s="300">
        <v>0.28700000000682796</v>
      </c>
      <c r="D140" s="300">
        <v>0.76300000000658041</v>
      </c>
      <c r="E140" s="300">
        <f t="shared" ref="E140:E141" si="347">SUM(B140:D140)</f>
        <v>3.9120000000277444</v>
      </c>
      <c r="F140" s="300"/>
      <c r="G140" s="300">
        <v>1.8560000000075063</v>
      </c>
      <c r="H140" s="300">
        <v>0.30000000000486232</v>
      </c>
      <c r="I140" s="300">
        <v>0.76600000000870561</v>
      </c>
      <c r="J140" s="300">
        <f t="shared" ref="J140:J141" si="348">SUM(G140:I140)</f>
        <v>2.922000000021074</v>
      </c>
      <c r="K140" s="300"/>
      <c r="L140" s="300">
        <v>1.9989999999831343</v>
      </c>
      <c r="M140" s="300">
        <v>0.29199999999637199</v>
      </c>
      <c r="N140" s="300">
        <v>0.58299999999477159</v>
      </c>
      <c r="O140" s="300">
        <f t="shared" ref="O140:O141" si="349">SUM(L140:N140)</f>
        <v>2.8739999999742776</v>
      </c>
      <c r="P140" s="300"/>
      <c r="Q140" s="300">
        <v>1.6649999999936573</v>
      </c>
      <c r="R140" s="300">
        <v>0.23899999999526056</v>
      </c>
      <c r="S140" s="300">
        <v>0.50299999999352929</v>
      </c>
      <c r="T140" s="300">
        <f t="shared" ref="T140:T141" si="350">SUM(Q140:S140)</f>
        <v>2.406999999982447</v>
      </c>
      <c r="U140" s="300"/>
      <c r="V140" s="300">
        <v>1.4079999999959514</v>
      </c>
      <c r="W140" s="300">
        <v>0.19899999999142459</v>
      </c>
      <c r="X140" s="300">
        <v>0.41999999999578486</v>
      </c>
      <c r="Y140" s="300">
        <f t="shared" ref="Y140:Y141" si="351">SUM(V140:X140)</f>
        <v>2.0269999999831612</v>
      </c>
    </row>
    <row r="141" spans="1:25" x14ac:dyDescent="0.2">
      <c r="A141" s="260" t="s">
        <v>354</v>
      </c>
      <c r="B141" s="300">
        <f>SUM(B139:B140)</f>
        <v>3.1660000000125632</v>
      </c>
      <c r="C141" s="300">
        <f t="shared" ref="C141" si="352">SUM(C139:C140)</f>
        <v>0.71700000001489483</v>
      </c>
      <c r="D141" s="300">
        <f t="shared" ref="D141" si="353">SUM(D139:D140)</f>
        <v>0.94300000000463569</v>
      </c>
      <c r="E141" s="300">
        <f t="shared" si="347"/>
        <v>4.826000000032094</v>
      </c>
      <c r="F141" s="300"/>
      <c r="G141" s="300">
        <f>SUM(G139:G140)</f>
        <v>2.0310000000057964</v>
      </c>
      <c r="H141" s="300">
        <f t="shared" ref="H141" si="354">SUM(H139:H140)</f>
        <v>1.2850000000217525</v>
      </c>
      <c r="I141" s="300">
        <f t="shared" ref="I141" si="355">SUM(I139:I140)</f>
        <v>0.77300000000863567</v>
      </c>
      <c r="J141" s="300">
        <f t="shared" si="348"/>
        <v>4.0890000000361848</v>
      </c>
      <c r="K141" s="300"/>
      <c r="L141" s="300">
        <f>SUM(L139:L140)</f>
        <v>2.2059999999825699</v>
      </c>
      <c r="M141" s="300">
        <f t="shared" ref="M141" si="356">SUM(M139:M140)</f>
        <v>0.96999999999261832</v>
      </c>
      <c r="N141" s="300">
        <f t="shared" ref="N141" si="357">SUM(N139:N140)</f>
        <v>0.77399999999780467</v>
      </c>
      <c r="O141" s="300">
        <f t="shared" si="349"/>
        <v>3.9499999999729924</v>
      </c>
      <c r="P141" s="300"/>
      <c r="Q141" s="300">
        <f>SUM(Q139:Q140)</f>
        <v>1.8369999999973412</v>
      </c>
      <c r="R141" s="300">
        <f t="shared" ref="R141" si="358">SUM(R139:R140)</f>
        <v>0.8039999999938402</v>
      </c>
      <c r="S141" s="300">
        <f t="shared" ref="S141" si="359">SUM(S139:S140)</f>
        <v>0.65499999999643121</v>
      </c>
      <c r="T141" s="300">
        <f t="shared" si="350"/>
        <v>3.2959999999876124</v>
      </c>
      <c r="U141" s="300"/>
      <c r="V141" s="300">
        <f>SUM(V139:V140)</f>
        <v>1.5549999999965185</v>
      </c>
      <c r="W141" s="300">
        <f t="shared" ref="W141" si="360">SUM(W139:W140)</f>
        <v>0.67899999998743477</v>
      </c>
      <c r="X141" s="300">
        <f t="shared" ref="X141" si="361">SUM(X139:X140)</f>
        <v>0.54199999999622794</v>
      </c>
      <c r="Y141" s="300">
        <f t="shared" si="351"/>
        <v>2.775999999980181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1" t="str">
        <f>name!A25</f>
        <v>Other manufacturing</v>
      </c>
      <c r="C143" s="263"/>
    </row>
    <row r="144" spans="1:25" x14ac:dyDescent="0.2">
      <c r="A144" s="260" t="s">
        <v>356</v>
      </c>
      <c r="B144" s="300">
        <v>2.1049999999871583</v>
      </c>
      <c r="C144" s="300">
        <v>0.59100000001090691</v>
      </c>
      <c r="D144" s="300">
        <v>0.27899999999699016</v>
      </c>
      <c r="E144" s="300">
        <f>SUM(B144:D144)</f>
        <v>2.9749999999950556</v>
      </c>
      <c r="F144" s="300"/>
      <c r="G144" s="300">
        <v>2.9859999999702374</v>
      </c>
      <c r="H144" s="300">
        <v>0.45300000000765045</v>
      </c>
      <c r="I144" s="300">
        <v>0.14599999999854174</v>
      </c>
      <c r="J144" s="300">
        <f>SUM(G144:I144)</f>
        <v>3.5849999999764295</v>
      </c>
      <c r="K144" s="300"/>
      <c r="L144" s="300">
        <v>3.5179999999901801</v>
      </c>
      <c r="M144" s="300">
        <v>0.31199999999803263</v>
      </c>
      <c r="N144" s="300">
        <v>0.54000000000856885</v>
      </c>
      <c r="O144" s="300">
        <f>SUM(L144:N144)</f>
        <v>4.3699999999967813</v>
      </c>
      <c r="P144" s="300"/>
      <c r="Q144" s="300">
        <v>2.9360000000635194</v>
      </c>
      <c r="R144" s="300">
        <v>0.25999999999886458</v>
      </c>
      <c r="S144" s="300">
        <v>0.43100000000822392</v>
      </c>
      <c r="T144" s="300">
        <f>SUM(Q144:S144)</f>
        <v>3.6270000000706082</v>
      </c>
      <c r="U144" s="300"/>
      <c r="V144" s="300">
        <v>2.5090000000092338</v>
      </c>
      <c r="W144" s="300">
        <v>0.2209999999980555</v>
      </c>
      <c r="X144" s="300">
        <v>0.3460000000012548</v>
      </c>
      <c r="Y144" s="300">
        <f>SUM(V144:X144)</f>
        <v>3.0760000000085439</v>
      </c>
    </row>
    <row r="145" spans="1:25" x14ac:dyDescent="0.2">
      <c r="A145" s="260" t="s">
        <v>355</v>
      </c>
      <c r="B145" s="300">
        <v>2.0980000000066963</v>
      </c>
      <c r="C145" s="300">
        <v>0.62500000001425404</v>
      </c>
      <c r="D145" s="300">
        <v>0.57900000000509488</v>
      </c>
      <c r="E145" s="300">
        <f t="shared" ref="E145:E146" si="362">SUM(B145:D145)</f>
        <v>3.302000000026045</v>
      </c>
      <c r="F145" s="300"/>
      <c r="G145" s="300">
        <v>3.3500000000078787</v>
      </c>
      <c r="H145" s="300">
        <v>0.21800000000271144</v>
      </c>
      <c r="I145" s="300">
        <v>1.0590000000119761</v>
      </c>
      <c r="J145" s="300">
        <f t="shared" ref="J145:J146" si="363">SUM(G145:I145)</f>
        <v>4.6270000000225666</v>
      </c>
      <c r="K145" s="300"/>
      <c r="L145" s="300">
        <v>3.6069999999769711</v>
      </c>
      <c r="M145" s="300">
        <v>0.21199999999831987</v>
      </c>
      <c r="N145" s="300">
        <v>1.5479999999864757</v>
      </c>
      <c r="O145" s="300">
        <f t="shared" ref="O145:O146" si="364">SUM(L145:N145)</f>
        <v>5.3669999999617666</v>
      </c>
      <c r="P145" s="300"/>
      <c r="Q145" s="300">
        <v>3.0049999999950563</v>
      </c>
      <c r="R145" s="300">
        <v>0.17399999999826962</v>
      </c>
      <c r="S145" s="300">
        <v>1.2289999999845351</v>
      </c>
      <c r="T145" s="300">
        <f t="shared" ref="T145:T146" si="365">SUM(Q145:S145)</f>
        <v>4.4079999999778607</v>
      </c>
      <c r="U145" s="300"/>
      <c r="V145" s="300">
        <v>2.541000000001576</v>
      </c>
      <c r="W145" s="300">
        <v>0.14399999999681465</v>
      </c>
      <c r="X145" s="300">
        <v>0.9569999999901978</v>
      </c>
      <c r="Y145" s="300">
        <f t="shared" ref="Y145:Y146" si="366">SUM(V145:X145)</f>
        <v>3.6419999999885886</v>
      </c>
    </row>
    <row r="146" spans="1:25" x14ac:dyDescent="0.2">
      <c r="A146" s="260" t="s">
        <v>354</v>
      </c>
      <c r="B146" s="300">
        <f>SUM(B144:B145)</f>
        <v>4.202999999993855</v>
      </c>
      <c r="C146" s="300">
        <f t="shared" ref="C146" si="367">SUM(C144:C145)</f>
        <v>1.216000000025161</v>
      </c>
      <c r="D146" s="300">
        <f t="shared" ref="D146" si="368">SUM(D144:D145)</f>
        <v>0.85800000000208509</v>
      </c>
      <c r="E146" s="300">
        <f t="shared" si="362"/>
        <v>6.2770000000211015</v>
      </c>
      <c r="F146" s="300"/>
      <c r="G146" s="300">
        <f>SUM(G144:G145)</f>
        <v>6.3359999999781156</v>
      </c>
      <c r="H146" s="300">
        <f t="shared" ref="H146" si="369">SUM(H144:H145)</f>
        <v>0.67100000001036186</v>
      </c>
      <c r="I146" s="300">
        <f t="shared" ref="I146" si="370">SUM(I144:I145)</f>
        <v>1.2050000000105179</v>
      </c>
      <c r="J146" s="300">
        <f t="shared" si="363"/>
        <v>8.2119999999989943</v>
      </c>
      <c r="K146" s="300"/>
      <c r="L146" s="300">
        <f>SUM(L144:L145)</f>
        <v>7.1249999999671516</v>
      </c>
      <c r="M146" s="300">
        <f t="shared" ref="M146" si="371">SUM(M144:M145)</f>
        <v>0.52399999999635249</v>
      </c>
      <c r="N146" s="300">
        <f t="shared" ref="N146" si="372">SUM(N144:N145)</f>
        <v>2.0879999999950445</v>
      </c>
      <c r="O146" s="300">
        <f t="shared" si="364"/>
        <v>9.7369999999585488</v>
      </c>
      <c r="P146" s="300"/>
      <c r="Q146" s="300">
        <f>SUM(Q144:Q145)</f>
        <v>5.9410000000585761</v>
      </c>
      <c r="R146" s="300">
        <f t="shared" ref="R146" si="373">SUM(R144:R145)</f>
        <v>0.43399999999713423</v>
      </c>
      <c r="S146" s="300">
        <f t="shared" ref="S146" si="374">SUM(S144:S145)</f>
        <v>1.659999999992759</v>
      </c>
      <c r="T146" s="300">
        <f t="shared" si="365"/>
        <v>8.0350000000484698</v>
      </c>
      <c r="U146" s="300"/>
      <c r="V146" s="300">
        <f>SUM(V144:V145)</f>
        <v>5.0500000000108098</v>
      </c>
      <c r="W146" s="300">
        <f t="shared" ref="W146" si="375">SUM(W144:W145)</f>
        <v>0.36499999999487015</v>
      </c>
      <c r="X146" s="300">
        <f t="shared" ref="X146" si="376">SUM(X144:X145)</f>
        <v>1.3029999999914526</v>
      </c>
      <c r="Y146" s="300">
        <f t="shared" si="366"/>
        <v>6.7179999999971329</v>
      </c>
    </row>
    <row r="147" spans="1:25" x14ac:dyDescent="0.2">
      <c r="C147" s="319"/>
      <c r="D147" s="319"/>
      <c r="E147" s="319"/>
      <c r="F147" s="319"/>
      <c r="G147" s="319"/>
      <c r="H147" s="319"/>
      <c r="I147" s="319"/>
      <c r="J147" s="319"/>
      <c r="K147" s="319"/>
      <c r="L147" s="319"/>
      <c r="M147" s="319"/>
      <c r="N147" s="319"/>
      <c r="O147" s="319"/>
      <c r="P147" s="319"/>
      <c r="Q147" s="319"/>
      <c r="R147" s="319"/>
      <c r="S147" s="319"/>
      <c r="T147" s="319"/>
      <c r="U147" s="319"/>
      <c r="V147" s="319"/>
      <c r="W147" s="319"/>
      <c r="X147" s="319"/>
      <c r="Y147" s="319"/>
    </row>
    <row r="148" spans="1:25" x14ac:dyDescent="0.2">
      <c r="A148" s="261" t="str">
        <f>name!A26</f>
        <v>Repair and installation</v>
      </c>
      <c r="C148" s="263"/>
    </row>
    <row r="149" spans="1:25" x14ac:dyDescent="0.2">
      <c r="A149" s="260" t="s">
        <v>356</v>
      </c>
      <c r="B149" s="300">
        <v>0.32499999999858836</v>
      </c>
      <c r="C149" s="300">
        <v>0.11700000000224262</v>
      </c>
      <c r="D149" s="300">
        <v>0.17599999999839799</v>
      </c>
      <c r="E149" s="300">
        <f>SUM(B149:D149)</f>
        <v>0.61799999999922894</v>
      </c>
      <c r="F149" s="300"/>
      <c r="G149" s="300">
        <v>0.39199999999708918</v>
      </c>
      <c r="H149" s="300">
        <v>0.635000000011685</v>
      </c>
      <c r="I149" s="300">
        <v>4.4999999999566491E-2</v>
      </c>
      <c r="J149" s="300">
        <f>SUM(G149:I149)</f>
        <v>1.0720000000083407</v>
      </c>
      <c r="K149" s="300"/>
      <c r="L149" s="300">
        <v>0.46199999999760866</v>
      </c>
      <c r="M149" s="300">
        <v>0.43699999999530748</v>
      </c>
      <c r="N149" s="300">
        <v>0.32400000000498502</v>
      </c>
      <c r="O149" s="300">
        <f>SUM(L149:N149)</f>
        <v>1.2229999999979011</v>
      </c>
      <c r="P149" s="300"/>
      <c r="Q149" s="300">
        <v>0.3860000000065994</v>
      </c>
      <c r="R149" s="300">
        <v>0.36399999999499411</v>
      </c>
      <c r="S149" s="300">
        <v>0.25900000000295675</v>
      </c>
      <c r="T149" s="300">
        <f>SUM(Q149:S149)</f>
        <v>1.0090000000045503</v>
      </c>
      <c r="U149" s="300"/>
      <c r="V149" s="300">
        <v>0.33000000000000551</v>
      </c>
      <c r="W149" s="300">
        <v>0.30999999999602751</v>
      </c>
      <c r="X149" s="300">
        <v>0.20800000000044408</v>
      </c>
      <c r="Y149" s="300">
        <f>SUM(V149:X149)</f>
        <v>0.84799999999647713</v>
      </c>
    </row>
    <row r="150" spans="1:25" x14ac:dyDescent="0.2">
      <c r="A150" s="260" t="s">
        <v>355</v>
      </c>
      <c r="B150" s="300">
        <v>4.6720000000099153</v>
      </c>
      <c r="C150" s="300">
        <v>0.27900000000429881</v>
      </c>
      <c r="D150" s="300">
        <v>1.4090000000201448</v>
      </c>
      <c r="E150" s="300">
        <f t="shared" ref="E150:E151" si="377">SUM(B150:D150)</f>
        <v>6.3600000000343586</v>
      </c>
      <c r="F150" s="300"/>
      <c r="G150" s="300">
        <v>6.3390000000113398</v>
      </c>
      <c r="H150" s="300">
        <v>0.6900000000060611</v>
      </c>
      <c r="I150" s="300">
        <v>2.4540000000325426</v>
      </c>
      <c r="J150" s="300">
        <f t="shared" ref="J150:J151" si="378">SUM(G150:I150)</f>
        <v>9.4830000000499446</v>
      </c>
      <c r="K150" s="300"/>
      <c r="L150" s="300">
        <v>6.8269999999623003</v>
      </c>
      <c r="M150" s="300">
        <v>0.67199999999585114</v>
      </c>
      <c r="N150" s="300">
        <v>4.6769999999804392</v>
      </c>
      <c r="O150" s="300">
        <f t="shared" ref="O150:O151" si="379">SUM(L150:N150)</f>
        <v>12.17599999993859</v>
      </c>
      <c r="P150" s="300"/>
      <c r="Q150" s="300">
        <v>5.6869999999893572</v>
      </c>
      <c r="R150" s="300">
        <v>0.54999999999647287</v>
      </c>
      <c r="S150" s="300">
        <v>4.081999999985344</v>
      </c>
      <c r="T150" s="300">
        <f t="shared" ref="T150:T151" si="380">SUM(Q150:S150)</f>
        <v>10.318999999971174</v>
      </c>
      <c r="U150" s="300"/>
      <c r="V150" s="300">
        <v>4.8090000000032873</v>
      </c>
      <c r="W150" s="300">
        <v>0.45699999999521235</v>
      </c>
      <c r="X150" s="300">
        <v>3.8989999999981286</v>
      </c>
      <c r="Y150" s="300">
        <f t="shared" ref="Y150:Y151" si="381">SUM(V150:X150)</f>
        <v>9.1649999999966276</v>
      </c>
    </row>
    <row r="151" spans="1:25" x14ac:dyDescent="0.2">
      <c r="A151" s="260" t="s">
        <v>354</v>
      </c>
      <c r="B151" s="300">
        <f>SUM(B149:B150)</f>
        <v>4.9970000000085033</v>
      </c>
      <c r="C151" s="300">
        <f t="shared" ref="C151" si="382">SUM(C149:C150)</f>
        <v>0.39600000000654145</v>
      </c>
      <c r="D151" s="300">
        <f t="shared" ref="D151" si="383">SUM(D149:D150)</f>
        <v>1.5850000000185429</v>
      </c>
      <c r="E151" s="300">
        <f t="shared" si="377"/>
        <v>6.9780000000335871</v>
      </c>
      <c r="F151" s="300"/>
      <c r="G151" s="300">
        <f>SUM(G149:G150)</f>
        <v>6.7310000000084287</v>
      </c>
      <c r="H151" s="300">
        <f t="shared" ref="H151" si="384">SUM(H149:H150)</f>
        <v>1.325000000017746</v>
      </c>
      <c r="I151" s="300">
        <f t="shared" ref="I151" si="385">SUM(I149:I150)</f>
        <v>2.4990000000321091</v>
      </c>
      <c r="J151" s="300">
        <f t="shared" si="378"/>
        <v>10.555000000058282</v>
      </c>
      <c r="K151" s="300"/>
      <c r="L151" s="300">
        <f>SUM(L149:L150)</f>
        <v>7.2889999999599091</v>
      </c>
      <c r="M151" s="300">
        <f t="shared" ref="M151" si="386">SUM(M149:M150)</f>
        <v>1.1089999999911586</v>
      </c>
      <c r="N151" s="300">
        <f t="shared" ref="N151" si="387">SUM(N149:N150)</f>
        <v>5.0009999999854244</v>
      </c>
      <c r="O151" s="300">
        <f t="shared" si="379"/>
        <v>13.398999999936493</v>
      </c>
      <c r="P151" s="300"/>
      <c r="Q151" s="300">
        <f>SUM(Q149:Q150)</f>
        <v>6.0729999999959565</v>
      </c>
      <c r="R151" s="300">
        <f t="shared" ref="R151" si="388">SUM(R149:R150)</f>
        <v>0.91399999999146697</v>
      </c>
      <c r="S151" s="300">
        <f t="shared" ref="S151" si="389">SUM(S149:S150)</f>
        <v>4.3409999999883011</v>
      </c>
      <c r="T151" s="300">
        <f t="shared" si="380"/>
        <v>11.327999999975724</v>
      </c>
      <c r="U151" s="300"/>
      <c r="V151" s="300">
        <f>SUM(V149:V150)</f>
        <v>5.1390000000032927</v>
      </c>
      <c r="W151" s="300">
        <f t="shared" ref="W151" si="390">SUM(W149:W150)</f>
        <v>0.7669999999912398</v>
      </c>
      <c r="X151" s="300">
        <f t="shared" ref="X151" si="391">SUM(X149:X150)</f>
        <v>4.1069999999985729</v>
      </c>
      <c r="Y151" s="300">
        <f t="shared" si="381"/>
        <v>10.012999999993106</v>
      </c>
    </row>
    <row r="152" spans="1:25" x14ac:dyDescent="0.2">
      <c r="C152" s="263"/>
    </row>
    <row r="153" spans="1:25" x14ac:dyDescent="0.2">
      <c r="A153" s="261" t="s">
        <v>370</v>
      </c>
    </row>
    <row r="154" spans="1:25" x14ac:dyDescent="0.2">
      <c r="A154" s="260" t="s">
        <v>356</v>
      </c>
      <c r="B154" s="300">
        <f>SUM(B74,B79,B84,B89,B94,B99,B104,B109,B114,B119,B124,B129,B134,B139,B144,B149)</f>
        <v>17.104999999859711</v>
      </c>
      <c r="C154" s="300">
        <f t="shared" ref="C154:D155" si="392">SUM(C74,C79,C84,C89,C94,C99,C104,C109,C114,C119,C124,C129,C134,C139,C144,C149)</f>
        <v>6.1010000001104707</v>
      </c>
      <c r="D154" s="300">
        <f t="shared" si="392"/>
        <v>3.6450000000387499</v>
      </c>
      <c r="E154" s="300">
        <f>SUM(B154:D154)</f>
        <v>26.851000000008931</v>
      </c>
      <c r="F154" s="300"/>
      <c r="G154" s="300">
        <f>SUM(G74,G79,G84,G89,G94,G99,G104,G109,G114,G119,G124,G129,G134,G139,G144,G149)</f>
        <v>14.503999999830755</v>
      </c>
      <c r="H154" s="300">
        <f t="shared" ref="H154:I154" si="393">SUM(H74,H79,H84,H89,H94,H99,H104,H109,H114,H119,H124,H129,H134,H139,H144,H149)</f>
        <v>5.8560000000929238</v>
      </c>
      <c r="I154" s="300">
        <f t="shared" si="393"/>
        <v>0.8560000000090443</v>
      </c>
      <c r="J154" s="300">
        <f>SUM(G154:I154)</f>
        <v>21.215999999932723</v>
      </c>
      <c r="K154" s="300"/>
      <c r="L154" s="300">
        <f>SUM(L74,L79,L84,L89,L94,L99,L104,L109,L114,L119,L124,L129,L134,L139,L144,L149)</f>
        <v>16.523999999937576</v>
      </c>
      <c r="M154" s="300">
        <f t="shared" ref="M154:N154" si="394">SUM(M74,M79,M84,M89,M94,M99,M104,M109,M114,M119,M124,M129,M134,M139,M144,M149)</f>
        <v>3.9719999999730096</v>
      </c>
      <c r="N154" s="300">
        <f t="shared" si="394"/>
        <v>4.93099999995726</v>
      </c>
      <c r="O154" s="300">
        <f>SUM(L154:N154)</f>
        <v>25.426999999867846</v>
      </c>
      <c r="P154" s="300"/>
      <c r="Q154" s="300">
        <f>SUM(Q74,Q79,Q84,Q89,Q94,Q99,Q104,Q109,Q114,Q119,Q124,Q129,Q134,Q139,Q144,Q149)</f>
        <v>15.2030000003708</v>
      </c>
      <c r="R154" s="300">
        <f t="shared" ref="R154:S154" si="395">SUM(R74,R79,R84,R89,R94,R99,R104,R109,R114,R119,R124,R129,R134,R139,R144,R149)</f>
        <v>3.6249999999752158</v>
      </c>
      <c r="S154" s="300">
        <f t="shared" si="395"/>
        <v>4.3330000000203421</v>
      </c>
      <c r="T154" s="300">
        <f>SUM(Q154:S154)</f>
        <v>23.161000000366357</v>
      </c>
      <c r="U154" s="300"/>
      <c r="V154" s="300">
        <f>SUM(V74,V79,V84,V89,V94,V99,V104,V109,V114,V119,V124,V129,V134,V139,V144,V149)</f>
        <v>13.241000000030127</v>
      </c>
      <c r="W154" s="300">
        <f t="shared" ref="W154:X154" si="396">SUM(W74,W79,W84,W89,W94,W99,W104,W109,W114,W119,W124,W129,W134,W139,W144,W149)</f>
        <v>3.1609999999683795</v>
      </c>
      <c r="X154" s="300">
        <f t="shared" si="396"/>
        <v>3.6740000000141206</v>
      </c>
      <c r="Y154" s="300">
        <f>SUM(V154:X154)</f>
        <v>20.076000000012627</v>
      </c>
    </row>
    <row r="155" spans="1:25" x14ac:dyDescent="0.2">
      <c r="A155" s="260" t="s">
        <v>355</v>
      </c>
      <c r="B155" s="300">
        <f>SUM(B75,B80,B85,B90,B95,B100,B105,B110,B115,B120,B125,B130,B135,B140,B145,B150)</f>
        <v>45.053000000203859</v>
      </c>
      <c r="C155" s="300">
        <f t="shared" si="392"/>
        <v>5.7800000001663179</v>
      </c>
      <c r="D155" s="300">
        <f t="shared" si="392"/>
        <v>8.0340000001194021</v>
      </c>
      <c r="E155" s="300">
        <f t="shared" ref="E155:E156" si="397">SUM(B155:D155)</f>
        <v>58.867000000489583</v>
      </c>
      <c r="F155" s="300"/>
      <c r="G155" s="300">
        <f>SUM(G75,G80,G85,G90,G95,G100,G105,G110,G115,G120,G125,G130,G135,G140,G145,G150)</f>
        <v>42.560000000151078</v>
      </c>
      <c r="H155" s="300">
        <f t="shared" ref="H155:I155" si="398">SUM(H75,H80,H85,H90,H95,H100,H105,H110,H115,H120,H125,H130,H135,H140,H145,H150)</f>
        <v>4.0540000000600678</v>
      </c>
      <c r="I155" s="300">
        <f t="shared" si="398"/>
        <v>10.823000000140535</v>
      </c>
      <c r="J155" s="300">
        <f t="shared" ref="J155:J156" si="399">SUM(G155:I155)</f>
        <v>57.437000000351688</v>
      </c>
      <c r="K155" s="300"/>
      <c r="L155" s="300">
        <f>SUM(L75,L80,L85,L90,L95,L100,L105,L110,L115,L120,L125,L130,L135,L140,L145,L150)</f>
        <v>43.322999999684939</v>
      </c>
      <c r="M155" s="300">
        <f t="shared" ref="M155:N155" si="400">SUM(M75,M80,M85,M90,M95,M100,M105,M110,M115,M120,M125,M130,M135,M140,M145,M150)</f>
        <v>3.691999999957237</v>
      </c>
      <c r="N155" s="300">
        <f t="shared" si="400"/>
        <v>15.510999999928998</v>
      </c>
      <c r="O155" s="300">
        <f t="shared" ref="O155:O156" si="401">SUM(L155:N155)</f>
        <v>62.525999999571177</v>
      </c>
      <c r="P155" s="300"/>
      <c r="Q155" s="300">
        <f>SUM(Q75,Q80,Q85,Q90,Q95,Q100,Q105,Q110,Q115,Q120,Q125,Q130,Q135,Q140,Q145,Q150)</f>
        <v>39.797999999846411</v>
      </c>
      <c r="R155" s="300">
        <f t="shared" ref="R155:S155" si="402">SUM(R75,R80,R85,R90,R95,R100,R105,R110,R115,R120,R125,R130,R135,R140,R145,R150)</f>
        <v>3.3469999999570255</v>
      </c>
      <c r="S155" s="300">
        <f t="shared" si="402"/>
        <v>14.227999999922444</v>
      </c>
      <c r="T155" s="300">
        <f t="shared" ref="T155:T156" si="403">SUM(Q155:S155)</f>
        <v>57.372999999725884</v>
      </c>
      <c r="U155" s="300"/>
      <c r="V155" s="300">
        <f>SUM(V75,V80,V85,V90,V95,V100,V105,V110,V115,V120,V125,V130,V135,V140,V145,V150)</f>
        <v>34.081999999876672</v>
      </c>
      <c r="W155" s="300">
        <f t="shared" ref="W155" si="404">SUM(W75,W80,W85,W90,W95,W100,W105,W110,W115,W120,W125,W130,W135,W140,W145,W150)</f>
        <v>2.8759999999349706</v>
      </c>
      <c r="X155" s="300">
        <f>SUM(X75,X80,X85,X90,X95,X100,X105,X110,X115,X120,X125,X130,X135,X140,X145,X150)</f>
        <v>12.83299999993973</v>
      </c>
      <c r="Y155" s="300">
        <f t="shared" ref="Y155:Y156" si="405">SUM(V155:X155)</f>
        <v>49.790999999751371</v>
      </c>
    </row>
    <row r="156" spans="1:25" x14ac:dyDescent="0.2">
      <c r="A156" s="264" t="s">
        <v>354</v>
      </c>
      <c r="B156" s="301">
        <f>SUM(B154:B155)</f>
        <v>62.158000000063566</v>
      </c>
      <c r="C156" s="301">
        <f t="shared" ref="C156" si="406">SUM(C154:C155)</f>
        <v>11.881000000276789</v>
      </c>
      <c r="D156" s="301">
        <f t="shared" ref="D156" si="407">SUM(D154:D155)</f>
        <v>11.679000000158151</v>
      </c>
      <c r="E156" s="301">
        <f t="shared" si="397"/>
        <v>85.718000000498506</v>
      </c>
      <c r="F156" s="301"/>
      <c r="G156" s="301">
        <f>SUM(G154:G155)</f>
        <v>57.063999999981831</v>
      </c>
      <c r="H156" s="301">
        <f t="shared" ref="H156" si="408">SUM(H154:H155)</f>
        <v>9.9100000001529907</v>
      </c>
      <c r="I156" s="301">
        <f t="shared" ref="I156" si="409">SUM(I154:I155)</f>
        <v>11.67900000014958</v>
      </c>
      <c r="J156" s="301">
        <f t="shared" si="399"/>
        <v>78.653000000284408</v>
      </c>
      <c r="K156" s="301"/>
      <c r="L156" s="301">
        <f>SUM(L154:L155)</f>
        <v>59.846999999622511</v>
      </c>
      <c r="M156" s="301">
        <f t="shared" ref="M156" si="410">SUM(M154:M155)</f>
        <v>7.6639999999302466</v>
      </c>
      <c r="N156" s="301">
        <f t="shared" ref="N156" si="411">SUM(N154:N155)</f>
        <v>20.441999999886256</v>
      </c>
      <c r="O156" s="301">
        <f t="shared" si="401"/>
        <v>87.952999999439015</v>
      </c>
      <c r="P156" s="301"/>
      <c r="Q156" s="301">
        <f>SUM(Q154:Q155)</f>
        <v>55.001000000217211</v>
      </c>
      <c r="R156" s="301">
        <f t="shared" ref="R156" si="412">SUM(R154:R155)</f>
        <v>6.9719999999322413</v>
      </c>
      <c r="S156" s="301">
        <f t="shared" ref="S156" si="413">SUM(S154:S155)</f>
        <v>18.560999999942787</v>
      </c>
      <c r="T156" s="301">
        <f t="shared" si="403"/>
        <v>80.534000000092249</v>
      </c>
      <c r="U156" s="301"/>
      <c r="V156" s="301">
        <f>SUM(V154:V155)</f>
        <v>47.322999999906799</v>
      </c>
      <c r="W156" s="301">
        <f t="shared" ref="W156" si="414">SUM(W154:W155)</f>
        <v>6.0369999999033501</v>
      </c>
      <c r="X156" s="301">
        <f t="shared" ref="X156" si="415">SUM(X154:X155)</f>
        <v>16.506999999953852</v>
      </c>
      <c r="Y156" s="301">
        <f t="shared" si="405"/>
        <v>69.866999999764005</v>
      </c>
    </row>
    <row r="157" spans="1:25" x14ac:dyDescent="0.2">
      <c r="C157" s="263"/>
    </row>
    <row r="158" spans="1:25" x14ac:dyDescent="0.2">
      <c r="C158" s="263"/>
    </row>
    <row r="159" spans="1:25" x14ac:dyDescent="0.2">
      <c r="C159" s="263"/>
    </row>
    <row r="160" spans="1:25" ht="15" x14ac:dyDescent="0.25">
      <c r="A160" s="265" t="str">
        <f>"Industry 6 : "&amp; name!B9</f>
        <v>Industry 6 : Electricity and gas</v>
      </c>
      <c r="B160" s="371">
        <f>$B$5</f>
        <v>2015</v>
      </c>
      <c r="C160" s="371"/>
      <c r="D160" s="371"/>
      <c r="E160" s="371"/>
      <c r="F160" s="320"/>
      <c r="G160" s="371">
        <f>$G$5</f>
        <v>2019</v>
      </c>
      <c r="H160" s="371"/>
      <c r="I160" s="371"/>
      <c r="J160" s="371"/>
      <c r="K160" s="320"/>
      <c r="L160" s="371">
        <f>$L$5</f>
        <v>2020</v>
      </c>
      <c r="M160" s="371"/>
      <c r="N160" s="371"/>
      <c r="O160" s="371"/>
      <c r="P160" s="318"/>
      <c r="Q160" s="371">
        <f>$Q$5</f>
        <v>2025</v>
      </c>
      <c r="R160" s="371"/>
      <c r="S160" s="371"/>
      <c r="T160" s="371"/>
      <c r="U160" s="320"/>
      <c r="V160" s="371">
        <f>$V$5</f>
        <v>2035</v>
      </c>
      <c r="W160" s="371"/>
      <c r="X160" s="371"/>
      <c r="Y160" s="371"/>
    </row>
    <row r="161" spans="1:25" x14ac:dyDescent="0.2">
      <c r="A161" s="264"/>
      <c r="B161" s="268" t="str">
        <f>$B$6</f>
        <v>FT</v>
      </c>
      <c r="C161" s="268" t="str">
        <f>$C$6</f>
        <v>PT</v>
      </c>
      <c r="D161" s="268" t="str">
        <f>$D$6</f>
        <v>SE</v>
      </c>
      <c r="E161" s="268" t="str">
        <f>$E$6</f>
        <v>Total</v>
      </c>
      <c r="F161" s="268"/>
      <c r="G161" s="268" t="str">
        <f>$B$6</f>
        <v>FT</v>
      </c>
      <c r="H161" s="268" t="str">
        <f>$C$6</f>
        <v>PT</v>
      </c>
      <c r="I161" s="268" t="str">
        <f>$D$6</f>
        <v>SE</v>
      </c>
      <c r="J161" s="268" t="str">
        <f>$E$6</f>
        <v>Total</v>
      </c>
      <c r="K161" s="268"/>
      <c r="L161" s="268" t="str">
        <f>$L$6</f>
        <v>FT</v>
      </c>
      <c r="M161" s="268" t="str">
        <f>$M$6</f>
        <v>PT</v>
      </c>
      <c r="N161" s="268" t="str">
        <f>$N$6</f>
        <v>SE</v>
      </c>
      <c r="O161" s="268" t="str">
        <f>$O$6</f>
        <v>Total</v>
      </c>
      <c r="P161" s="268"/>
      <c r="Q161" s="268" t="str">
        <f>$L$6</f>
        <v>FT</v>
      </c>
      <c r="R161" s="268" t="str">
        <f>$M$6</f>
        <v>PT</v>
      </c>
      <c r="S161" s="268" t="str">
        <f>$N$6</f>
        <v>SE</v>
      </c>
      <c r="T161" s="268" t="str">
        <f>$O$6</f>
        <v>Total</v>
      </c>
      <c r="U161" s="268"/>
      <c r="V161" s="268" t="str">
        <f>$V$6</f>
        <v>FT</v>
      </c>
      <c r="W161" s="268" t="str">
        <f>$W$6</f>
        <v>PT</v>
      </c>
      <c r="X161" s="268" t="str">
        <f>$X$6</f>
        <v>SE</v>
      </c>
      <c r="Y161" s="268" t="str">
        <f>$Y$6</f>
        <v>Total</v>
      </c>
    </row>
    <row r="162" spans="1:25" x14ac:dyDescent="0.2">
      <c r="C162" s="319"/>
      <c r="D162" s="319"/>
      <c r="E162" s="319"/>
      <c r="F162" s="319"/>
      <c r="G162" s="319"/>
      <c r="H162" s="319"/>
      <c r="I162" s="319"/>
      <c r="J162" s="319"/>
      <c r="K162" s="319"/>
      <c r="L162" s="319"/>
      <c r="M162" s="319"/>
      <c r="N162" s="319"/>
      <c r="O162" s="319"/>
      <c r="P162" s="319"/>
      <c r="Q162" s="319"/>
      <c r="R162" s="319"/>
      <c r="S162" s="319"/>
      <c r="T162" s="319"/>
      <c r="U162" s="319"/>
      <c r="V162" s="319"/>
      <c r="W162" s="319"/>
      <c r="X162" s="319"/>
      <c r="Y162" s="319"/>
    </row>
    <row r="163" spans="1:25" x14ac:dyDescent="0.2">
      <c r="A163" s="261" t="str">
        <f>name!A27</f>
        <v>Electricity, gas, etc</v>
      </c>
      <c r="C163" s="263"/>
    </row>
    <row r="164" spans="1:25" x14ac:dyDescent="0.2">
      <c r="A164" s="260" t="s">
        <v>356</v>
      </c>
      <c r="B164" s="300">
        <v>1.9449999999993699</v>
      </c>
      <c r="C164" s="300">
        <v>0.39100000001065965</v>
      </c>
      <c r="D164" s="300">
        <v>1.0000000000201824E-3</v>
      </c>
      <c r="E164" s="300">
        <f>SUM(B164:D164)</f>
        <v>2.3370000000100499</v>
      </c>
      <c r="F164" s="300"/>
      <c r="G164" s="300">
        <v>2.9179999999972406</v>
      </c>
      <c r="H164" s="300">
        <v>0.75800000002101264</v>
      </c>
      <c r="I164" s="300">
        <v>1.0000000000196896E-3</v>
      </c>
      <c r="J164" s="300">
        <f>SUM(G164:I164)</f>
        <v>3.677000000018273</v>
      </c>
      <c r="K164" s="300"/>
      <c r="L164" s="300">
        <v>2.1789999999765506</v>
      </c>
      <c r="M164" s="300">
        <v>0.48499999999651738</v>
      </c>
      <c r="N164" s="300">
        <v>0</v>
      </c>
      <c r="O164" s="300">
        <f>SUM(L164:N164)</f>
        <v>2.6639999999730679</v>
      </c>
      <c r="P164" s="300"/>
      <c r="Q164" s="300">
        <v>2.1650000000063683</v>
      </c>
      <c r="R164" s="300">
        <v>0.47799999999570747</v>
      </c>
      <c r="S164" s="300">
        <v>0</v>
      </c>
      <c r="T164" s="300">
        <f>SUM(Q164:S164)</f>
        <v>2.6430000000020759</v>
      </c>
      <c r="U164" s="300"/>
      <c r="V164" s="300">
        <v>2.2519999999788447</v>
      </c>
      <c r="W164" s="300">
        <v>0.48699999999137833</v>
      </c>
      <c r="X164" s="300">
        <v>0</v>
      </c>
      <c r="Y164" s="300">
        <f>SUM(V164:X164)</f>
        <v>2.7389999999702228</v>
      </c>
    </row>
    <row r="165" spans="1:25" x14ac:dyDescent="0.2">
      <c r="A165" s="260" t="s">
        <v>355</v>
      </c>
      <c r="B165" s="300">
        <v>6.5399999999475256</v>
      </c>
      <c r="C165" s="300">
        <v>6.1000000000428559E-2</v>
      </c>
      <c r="D165" s="300">
        <v>1.3549999999947906</v>
      </c>
      <c r="E165" s="300">
        <f t="shared" ref="E165:E166" si="416">SUM(B165:D165)</f>
        <v>7.9559999999427449</v>
      </c>
      <c r="F165" s="300"/>
      <c r="G165" s="300">
        <v>9.8489999999448976</v>
      </c>
      <c r="H165" s="300">
        <v>0.23800000000107691</v>
      </c>
      <c r="I165" s="300">
        <v>1.4509999999938499</v>
      </c>
      <c r="J165" s="300">
        <f t="shared" ref="J165:J166" si="417">SUM(G165:I165)</f>
        <v>11.537999999939824</v>
      </c>
      <c r="K165" s="300"/>
      <c r="L165" s="300">
        <v>7.2229999999973282</v>
      </c>
      <c r="M165" s="300">
        <v>8.7999999999617926E-2</v>
      </c>
      <c r="N165" s="300">
        <v>2.4480000000245146</v>
      </c>
      <c r="O165" s="300">
        <f t="shared" ref="O165:O166" si="418">SUM(L165:N165)</f>
        <v>9.7590000000214605</v>
      </c>
      <c r="P165" s="300"/>
      <c r="Q165" s="300">
        <v>7.0670000000263737</v>
      </c>
      <c r="R165" s="300">
        <v>8.7999999999647471E-2</v>
      </c>
      <c r="S165" s="300">
        <v>2.4200000000511013</v>
      </c>
      <c r="T165" s="300">
        <f t="shared" ref="T165:T166" si="419">SUM(Q165:S165)</f>
        <v>9.5750000000771216</v>
      </c>
      <c r="U165" s="300"/>
      <c r="V165" s="300">
        <v>7.1200000000316388</v>
      </c>
      <c r="W165" s="300">
        <v>9.2999999999606522E-2</v>
      </c>
      <c r="X165" s="300">
        <v>2.4970000000544692</v>
      </c>
      <c r="Y165" s="300">
        <f t="shared" ref="Y165:Y166" si="420">SUM(V165:X165)</f>
        <v>9.7100000000857136</v>
      </c>
    </row>
    <row r="166" spans="1:25" x14ac:dyDescent="0.2">
      <c r="A166" s="264" t="s">
        <v>354</v>
      </c>
      <c r="B166" s="301">
        <f>SUM(B164:B165)</f>
        <v>8.4849999999468952</v>
      </c>
      <c r="C166" s="301">
        <f t="shared" ref="C166" si="421">SUM(C164:C165)</f>
        <v>0.4520000000110882</v>
      </c>
      <c r="D166" s="301">
        <f t="shared" ref="D166" si="422">SUM(D164:D165)</f>
        <v>1.3559999999948107</v>
      </c>
      <c r="E166" s="301">
        <f t="shared" si="416"/>
        <v>10.292999999952794</v>
      </c>
      <c r="F166" s="301"/>
      <c r="G166" s="301">
        <f>SUM(G164:G165)</f>
        <v>12.766999999942138</v>
      </c>
      <c r="H166" s="301">
        <f t="shared" ref="H166" si="423">SUM(H164:H165)</f>
        <v>0.99600000002208955</v>
      </c>
      <c r="I166" s="301">
        <f t="shared" ref="I166" si="424">SUM(I164:I165)</f>
        <v>1.4519999999938695</v>
      </c>
      <c r="J166" s="301">
        <f t="shared" si="417"/>
        <v>15.214999999958097</v>
      </c>
      <c r="K166" s="301"/>
      <c r="L166" s="301">
        <f>SUM(L164:L165)</f>
        <v>9.4019999999738779</v>
      </c>
      <c r="M166" s="301">
        <f t="shared" ref="M166" si="425">SUM(M164:M165)</f>
        <v>0.57299999999613527</v>
      </c>
      <c r="N166" s="301">
        <f t="shared" ref="N166" si="426">SUM(N164:N165)</f>
        <v>2.4480000000245146</v>
      </c>
      <c r="O166" s="301">
        <f t="shared" si="418"/>
        <v>12.422999999994527</v>
      </c>
      <c r="P166" s="301"/>
      <c r="Q166" s="301">
        <f>SUM(Q164:Q165)</f>
        <v>9.2320000000327411</v>
      </c>
      <c r="R166" s="301">
        <f t="shared" ref="R166" si="427">SUM(R164:R165)</f>
        <v>0.56599999999535489</v>
      </c>
      <c r="S166" s="301">
        <f t="shared" ref="S166" si="428">SUM(S164:S165)</f>
        <v>2.4200000000511013</v>
      </c>
      <c r="T166" s="301">
        <f t="shared" si="419"/>
        <v>12.218000000079197</v>
      </c>
      <c r="U166" s="301"/>
      <c r="V166" s="301">
        <f>SUM(V164:V165)</f>
        <v>9.3720000000104839</v>
      </c>
      <c r="W166" s="301">
        <f t="shared" ref="W166" si="429">SUM(W164:W165)</f>
        <v>0.57999999999098484</v>
      </c>
      <c r="X166" s="301">
        <f t="shared" ref="X166" si="430">SUM(X164:X165)</f>
        <v>2.4970000000544692</v>
      </c>
      <c r="Y166" s="301">
        <f t="shared" si="420"/>
        <v>12.449000000055939</v>
      </c>
    </row>
    <row r="167" spans="1:25" x14ac:dyDescent="0.2">
      <c r="C167" s="263"/>
    </row>
    <row r="168" spans="1:25" x14ac:dyDescent="0.2">
      <c r="C168" s="263"/>
    </row>
    <row r="169" spans="1:25" x14ac:dyDescent="0.2">
      <c r="C169" s="263"/>
    </row>
    <row r="170" spans="1:25" ht="15" x14ac:dyDescent="0.25">
      <c r="A170" s="265" t="str">
        <f>"Industry 7 : "&amp; name!B10</f>
        <v>Industry 7 : Water and sewerage</v>
      </c>
      <c r="B170" s="371">
        <f>$B$5</f>
        <v>2015</v>
      </c>
      <c r="C170" s="371"/>
      <c r="D170" s="371"/>
      <c r="E170" s="371"/>
      <c r="F170" s="320"/>
      <c r="G170" s="371">
        <f>$G$5</f>
        <v>2019</v>
      </c>
      <c r="H170" s="371"/>
      <c r="I170" s="371"/>
      <c r="J170" s="371"/>
      <c r="K170" s="320"/>
      <c r="L170" s="371">
        <f>$L$5</f>
        <v>2020</v>
      </c>
      <c r="M170" s="371"/>
      <c r="N170" s="371"/>
      <c r="O170" s="371"/>
      <c r="P170" s="318"/>
      <c r="Q170" s="371">
        <f>$Q$5</f>
        <v>2025</v>
      </c>
      <c r="R170" s="371"/>
      <c r="S170" s="371"/>
      <c r="T170" s="371"/>
      <c r="U170" s="320"/>
      <c r="V170" s="371">
        <f>$V$5</f>
        <v>2035</v>
      </c>
      <c r="W170" s="371"/>
      <c r="X170" s="371"/>
      <c r="Y170" s="371"/>
    </row>
    <row r="171" spans="1:25" x14ac:dyDescent="0.2">
      <c r="A171" s="264"/>
      <c r="B171" s="268" t="str">
        <f>$B$6</f>
        <v>FT</v>
      </c>
      <c r="C171" s="268" t="str">
        <f>$C$6</f>
        <v>PT</v>
      </c>
      <c r="D171" s="268" t="str">
        <f>$D$6</f>
        <v>SE</v>
      </c>
      <c r="E171" s="268" t="str">
        <f>$E$6</f>
        <v>Total</v>
      </c>
      <c r="F171" s="268"/>
      <c r="G171" s="268" t="str">
        <f>$B$6</f>
        <v>FT</v>
      </c>
      <c r="H171" s="268" t="str">
        <f>$C$6</f>
        <v>PT</v>
      </c>
      <c r="I171" s="268" t="str">
        <f>$D$6</f>
        <v>SE</v>
      </c>
      <c r="J171" s="268" t="str">
        <f>$E$6</f>
        <v>Total</v>
      </c>
      <c r="K171" s="268"/>
      <c r="L171" s="268" t="str">
        <f>$L$6</f>
        <v>FT</v>
      </c>
      <c r="M171" s="268" t="str">
        <f>$M$6</f>
        <v>PT</v>
      </c>
      <c r="N171" s="268" t="str">
        <f>$N$6</f>
        <v>SE</v>
      </c>
      <c r="O171" s="268" t="str">
        <f>$O$6</f>
        <v>Total</v>
      </c>
      <c r="P171" s="268"/>
      <c r="Q171" s="268" t="str">
        <f>$L$6</f>
        <v>FT</v>
      </c>
      <c r="R171" s="268" t="str">
        <f>$M$6</f>
        <v>PT</v>
      </c>
      <c r="S171" s="268" t="str">
        <f>$N$6</f>
        <v>SE</v>
      </c>
      <c r="T171" s="268" t="str">
        <f>$O$6</f>
        <v>Total</v>
      </c>
      <c r="U171" s="268"/>
      <c r="V171" s="268" t="str">
        <f>$V$6</f>
        <v>FT</v>
      </c>
      <c r="W171" s="268" t="str">
        <f>$W$6</f>
        <v>PT</v>
      </c>
      <c r="X171" s="268" t="str">
        <f>$X$6</f>
        <v>SE</v>
      </c>
      <c r="Y171" s="268" t="str">
        <f>$Y$6</f>
        <v>Total</v>
      </c>
    </row>
    <row r="172" spans="1:25" x14ac:dyDescent="0.2">
      <c r="C172" s="319"/>
      <c r="D172" s="319"/>
      <c r="E172" s="319"/>
      <c r="F172" s="319"/>
      <c r="G172" s="319"/>
      <c r="H172" s="319"/>
      <c r="I172" s="319"/>
      <c r="J172" s="319"/>
      <c r="K172" s="319"/>
      <c r="L172" s="319"/>
      <c r="M172" s="319"/>
      <c r="N172" s="319"/>
      <c r="O172" s="319"/>
      <c r="P172" s="319"/>
      <c r="Q172" s="319"/>
      <c r="R172" s="319"/>
      <c r="S172" s="319"/>
      <c r="T172" s="319"/>
      <c r="U172" s="319"/>
      <c r="V172" s="319"/>
      <c r="W172" s="319"/>
      <c r="X172" s="319"/>
      <c r="Y172" s="319"/>
    </row>
    <row r="173" spans="1:25" x14ac:dyDescent="0.2">
      <c r="A173" s="261" t="str">
        <f>name!A28</f>
        <v>Water</v>
      </c>
      <c r="C173" s="263"/>
    </row>
    <row r="174" spans="1:25" x14ac:dyDescent="0.2">
      <c r="A174" s="260" t="s">
        <v>356</v>
      </c>
      <c r="B174" s="300">
        <v>2.1999999999746358E-2</v>
      </c>
      <c r="C174" s="300">
        <v>0.24299999999911784</v>
      </c>
      <c r="D174" s="300">
        <v>0</v>
      </c>
      <c r="E174" s="300">
        <f>SUM(B174:D174)</f>
        <v>0.2649999999988642</v>
      </c>
      <c r="F174" s="300"/>
      <c r="G174" s="300">
        <v>1.2999999999858862E-2</v>
      </c>
      <c r="H174" s="300">
        <v>1.099999999998714E-2</v>
      </c>
      <c r="I174" s="300">
        <v>0</v>
      </c>
      <c r="J174" s="300">
        <f>SUM(G174:I174)</f>
        <v>2.3999999999846002E-2</v>
      </c>
      <c r="K174" s="300"/>
      <c r="L174" s="300">
        <v>1.1999999999987934E-2</v>
      </c>
      <c r="M174" s="300">
        <v>8.9999999999138287E-3</v>
      </c>
      <c r="N174" s="300">
        <v>4.9999999999284488E-3</v>
      </c>
      <c r="O174" s="300">
        <f>SUM(L174:N174)</f>
        <v>2.5999999999830214E-2</v>
      </c>
      <c r="P174" s="300"/>
      <c r="Q174" s="300">
        <v>1.3000000000244248E-2</v>
      </c>
      <c r="R174" s="300">
        <v>9.9999999998293884E-3</v>
      </c>
      <c r="S174" s="300">
        <v>4.9999999999241493E-3</v>
      </c>
      <c r="T174" s="300">
        <f>SUM(Q174:S174)</f>
        <v>2.7999999999997784E-2</v>
      </c>
      <c r="U174" s="300"/>
      <c r="V174" s="300">
        <v>1.6999999999989093E-2</v>
      </c>
      <c r="W174" s="300">
        <v>1.1999999999932303E-2</v>
      </c>
      <c r="X174" s="300">
        <v>6.000000000112359E-3</v>
      </c>
      <c r="Y174" s="300">
        <f>SUM(V174:X174)</f>
        <v>3.5000000000033754E-2</v>
      </c>
    </row>
    <row r="175" spans="1:25" x14ac:dyDescent="0.2">
      <c r="A175" s="260" t="s">
        <v>355</v>
      </c>
      <c r="B175" s="300">
        <v>0.46399999999572666</v>
      </c>
      <c r="C175" s="300">
        <v>0.1260000000026435</v>
      </c>
      <c r="D175" s="300">
        <v>0</v>
      </c>
      <c r="E175" s="300">
        <f t="shared" ref="E175:E176" si="431">SUM(B175:D175)</f>
        <v>0.58999999999837016</v>
      </c>
      <c r="F175" s="300"/>
      <c r="G175" s="300">
        <v>0.52099999999679392</v>
      </c>
      <c r="H175" s="300">
        <v>2.0000000000376418E-3</v>
      </c>
      <c r="I175" s="300">
        <v>6.0000000001852625E-3</v>
      </c>
      <c r="J175" s="300">
        <f t="shared" ref="J175:J176" si="432">SUM(G175:I175)</f>
        <v>0.52899999999701686</v>
      </c>
      <c r="K175" s="300"/>
      <c r="L175" s="300">
        <v>0.514000000000706</v>
      </c>
      <c r="M175" s="300">
        <v>4.9999999999240652E-3</v>
      </c>
      <c r="N175" s="300">
        <v>6.8999999998692926E-2</v>
      </c>
      <c r="O175" s="300">
        <f t="shared" ref="O175:O176" si="433">SUM(L175:N175)</f>
        <v>0.58799999999932295</v>
      </c>
      <c r="P175" s="300"/>
      <c r="Q175" s="300">
        <v>0.55700000000299699</v>
      </c>
      <c r="R175" s="300">
        <v>5.9999999998591839E-3</v>
      </c>
      <c r="S175" s="300">
        <v>7.3999999997935925E-2</v>
      </c>
      <c r="T175" s="300">
        <f t="shared" ref="T175:T176" si="434">SUM(Q175:S175)</f>
        <v>0.63700000000079215</v>
      </c>
      <c r="U175" s="300"/>
      <c r="V175" s="300">
        <v>0.63200000000253598</v>
      </c>
      <c r="W175" s="300">
        <v>6.9999999997066914E-3</v>
      </c>
      <c r="X175" s="300">
        <v>8.2999999997928717E-2</v>
      </c>
      <c r="Y175" s="300">
        <f t="shared" ref="Y175:Y176" si="435">SUM(V175:X175)</f>
        <v>0.72200000000017139</v>
      </c>
    </row>
    <row r="176" spans="1:25" x14ac:dyDescent="0.2">
      <c r="A176" s="260" t="s">
        <v>354</v>
      </c>
      <c r="B176" s="300">
        <f>SUM(B174:B175)</f>
        <v>0.485999999995473</v>
      </c>
      <c r="C176" s="300">
        <f t="shared" ref="C176" si="436">SUM(C174:C175)</f>
        <v>0.36900000000176136</v>
      </c>
      <c r="D176" s="300">
        <f t="shared" ref="D176" si="437">SUM(D174:D175)</f>
        <v>0</v>
      </c>
      <c r="E176" s="300">
        <f t="shared" si="431"/>
        <v>0.85499999999723442</v>
      </c>
      <c r="F176" s="300"/>
      <c r="G176" s="300">
        <f>SUM(G174:G175)</f>
        <v>0.53399999999665282</v>
      </c>
      <c r="H176" s="300">
        <f t="shared" ref="H176" si="438">SUM(H174:H175)</f>
        <v>1.3000000000024782E-2</v>
      </c>
      <c r="I176" s="300">
        <f t="shared" ref="I176" si="439">SUM(I174:I175)</f>
        <v>6.0000000001852625E-3</v>
      </c>
      <c r="J176" s="300">
        <f t="shared" si="432"/>
        <v>0.55299999999686289</v>
      </c>
      <c r="K176" s="300"/>
      <c r="L176" s="300">
        <f>SUM(L174:L175)</f>
        <v>0.52600000000069391</v>
      </c>
      <c r="M176" s="300">
        <f t="shared" ref="M176" si="440">SUM(M174:M175)</f>
        <v>1.3999999999837894E-2</v>
      </c>
      <c r="N176" s="300">
        <f t="shared" ref="N176" si="441">SUM(N174:N175)</f>
        <v>7.3999999998621377E-2</v>
      </c>
      <c r="O176" s="300">
        <f t="shared" si="433"/>
        <v>0.61399999999915322</v>
      </c>
      <c r="P176" s="300"/>
      <c r="Q176" s="300">
        <f>SUM(Q174:Q175)</f>
        <v>0.57000000000324125</v>
      </c>
      <c r="R176" s="300">
        <f t="shared" ref="R176" si="442">SUM(R174:R175)</f>
        <v>1.5999999999688572E-2</v>
      </c>
      <c r="S176" s="300">
        <f t="shared" ref="S176" si="443">SUM(S174:S175)</f>
        <v>7.8999999997860074E-2</v>
      </c>
      <c r="T176" s="300">
        <f t="shared" si="434"/>
        <v>0.66500000000078996</v>
      </c>
      <c r="U176" s="300"/>
      <c r="V176" s="300">
        <f>SUM(V174:V175)</f>
        <v>0.64900000000252511</v>
      </c>
      <c r="W176" s="300">
        <f t="shared" ref="W176" si="444">SUM(W174:W175)</f>
        <v>1.8999999999638993E-2</v>
      </c>
      <c r="X176" s="300">
        <f t="shared" ref="X176" si="445">SUM(X174:X175)</f>
        <v>8.8999999998041077E-2</v>
      </c>
      <c r="Y176" s="300">
        <f t="shared" si="435"/>
        <v>0.75700000000020518</v>
      </c>
    </row>
    <row r="177" spans="1:25" x14ac:dyDescent="0.2">
      <c r="C177" s="319"/>
      <c r="D177" s="319"/>
      <c r="E177" s="319"/>
      <c r="F177" s="319"/>
      <c r="G177" s="319"/>
      <c r="H177" s="319"/>
      <c r="I177" s="319"/>
      <c r="J177" s="319"/>
      <c r="K177" s="319"/>
      <c r="L177" s="319"/>
      <c r="M177" s="319"/>
      <c r="N177" s="319"/>
      <c r="O177" s="319"/>
      <c r="P177" s="319"/>
      <c r="Q177" s="319"/>
      <c r="R177" s="319"/>
      <c r="S177" s="319"/>
      <c r="T177" s="319"/>
      <c r="U177" s="319"/>
      <c r="V177" s="319"/>
      <c r="W177" s="319"/>
      <c r="X177" s="319"/>
      <c r="Y177" s="319"/>
    </row>
    <row r="178" spans="1:25" x14ac:dyDescent="0.2">
      <c r="A178" s="261" t="str">
        <f>name!A29</f>
        <v>Sewerage</v>
      </c>
      <c r="C178" s="263"/>
    </row>
    <row r="179" spans="1:25" x14ac:dyDescent="0.2">
      <c r="A179" s="260" t="s">
        <v>356</v>
      </c>
      <c r="B179" s="300">
        <v>0.42299999999857912</v>
      </c>
      <c r="C179" s="300">
        <v>0.63100000000546619</v>
      </c>
      <c r="D179" s="300">
        <v>0</v>
      </c>
      <c r="E179" s="300">
        <f>SUM(B179:D179)</f>
        <v>1.0540000000040453</v>
      </c>
      <c r="F179" s="300"/>
      <c r="G179" s="300">
        <v>0.17899999999939165</v>
      </c>
      <c r="H179" s="300">
        <v>0.31900000000222173</v>
      </c>
      <c r="I179" s="300">
        <v>0</v>
      </c>
      <c r="J179" s="300">
        <f>SUM(G179:I179)</f>
        <v>0.49800000000161337</v>
      </c>
      <c r="K179" s="300"/>
      <c r="L179" s="300">
        <v>0.1659999999996731</v>
      </c>
      <c r="M179" s="300">
        <v>0.26800000000007651</v>
      </c>
      <c r="N179" s="300">
        <v>1.2999999999833853E-2</v>
      </c>
      <c r="O179" s="300">
        <f>SUM(L179:N179)</f>
        <v>0.44699999999958345</v>
      </c>
      <c r="P179" s="300"/>
      <c r="Q179" s="300">
        <v>0.18800000000132799</v>
      </c>
      <c r="R179" s="300">
        <v>0.29600000000138699</v>
      </c>
      <c r="S179" s="300">
        <v>1.3999999999835035E-2</v>
      </c>
      <c r="T179" s="300">
        <f>SUM(Q179:S179)</f>
        <v>0.49800000000255001</v>
      </c>
      <c r="U179" s="300"/>
      <c r="V179" s="300">
        <v>0.23400000000009799</v>
      </c>
      <c r="W179" s="300">
        <v>0.34799999999924408</v>
      </c>
      <c r="X179" s="300">
        <v>1.5999999999837942E-2</v>
      </c>
      <c r="Y179" s="300">
        <f>SUM(V179:X179)</f>
        <v>0.59799999999917997</v>
      </c>
    </row>
    <row r="180" spans="1:25" x14ac:dyDescent="0.2">
      <c r="A180" s="260" t="s">
        <v>355</v>
      </c>
      <c r="B180" s="300">
        <v>2.2730000000480248</v>
      </c>
      <c r="C180" s="300">
        <v>0.29600000001371846</v>
      </c>
      <c r="D180" s="300">
        <v>0</v>
      </c>
      <c r="E180" s="300">
        <f t="shared" ref="E180:E181" si="446">SUM(B180:D180)</f>
        <v>2.5690000000617434</v>
      </c>
      <c r="F180" s="300"/>
      <c r="G180" s="300">
        <v>1.0800000000171761</v>
      </c>
      <c r="H180" s="300">
        <v>5.7000000002167178E-2</v>
      </c>
      <c r="I180" s="300">
        <v>2.5000000000556341E-2</v>
      </c>
      <c r="J180" s="300">
        <f t="shared" ref="J180:J181" si="447">SUM(G180:I180)</f>
        <v>1.1620000000198996</v>
      </c>
      <c r="K180" s="300"/>
      <c r="L180" s="300">
        <v>1.064999999985216</v>
      </c>
      <c r="M180" s="300">
        <v>0.14499999999583654</v>
      </c>
      <c r="N180" s="300">
        <v>3.7999999999333851E-2</v>
      </c>
      <c r="O180" s="300">
        <f t="shared" ref="O180:O181" si="448">SUM(L180:N180)</f>
        <v>1.2479999999803864</v>
      </c>
      <c r="P180" s="300"/>
      <c r="Q180" s="300">
        <v>1.1529999999811691</v>
      </c>
      <c r="R180" s="300">
        <v>0.15799999999439729</v>
      </c>
      <c r="S180" s="300">
        <v>3.9999999998861578E-2</v>
      </c>
      <c r="T180" s="300">
        <f t="shared" ref="T180:T181" si="449">SUM(Q180:S180)</f>
        <v>1.350999999974428</v>
      </c>
      <c r="U180" s="300"/>
      <c r="V180" s="300">
        <v>1.3089999999630104</v>
      </c>
      <c r="W180" s="300">
        <v>0.18299999998875394</v>
      </c>
      <c r="X180" s="300">
        <v>4.5999999998502579E-2</v>
      </c>
      <c r="Y180" s="300">
        <f t="shared" ref="Y180:Y181" si="450">SUM(V180:X180)</f>
        <v>1.5379999999502669</v>
      </c>
    </row>
    <row r="181" spans="1:25" x14ac:dyDescent="0.2">
      <c r="A181" s="260" t="s">
        <v>354</v>
      </c>
      <c r="B181" s="300">
        <f>SUM(B179:B180)</f>
        <v>2.6960000000466038</v>
      </c>
      <c r="C181" s="300">
        <f t="shared" ref="C181" si="451">SUM(C179:C180)</f>
        <v>0.9270000000191847</v>
      </c>
      <c r="D181" s="300">
        <f t="shared" ref="D181" si="452">SUM(D179:D180)</f>
        <v>0</v>
      </c>
      <c r="E181" s="300">
        <f t="shared" si="446"/>
        <v>3.6230000000657885</v>
      </c>
      <c r="F181" s="300"/>
      <c r="G181" s="300">
        <f>SUM(G179:G180)</f>
        <v>1.2590000000165678</v>
      </c>
      <c r="H181" s="300">
        <f t="shared" ref="H181" si="453">SUM(H179:H180)</f>
        <v>0.37600000000438893</v>
      </c>
      <c r="I181" s="300">
        <f t="shared" ref="I181" si="454">SUM(I179:I180)</f>
        <v>2.5000000000556341E-2</v>
      </c>
      <c r="J181" s="300">
        <f t="shared" si="447"/>
        <v>1.6600000000215132</v>
      </c>
      <c r="K181" s="300"/>
      <c r="L181" s="300">
        <f>SUM(L179:L180)</f>
        <v>1.2309999999848891</v>
      </c>
      <c r="M181" s="300">
        <f t="shared" ref="M181" si="455">SUM(M179:M180)</f>
        <v>0.41299999999591308</v>
      </c>
      <c r="N181" s="300">
        <f t="shared" ref="N181" si="456">SUM(N179:N180)</f>
        <v>5.0999999999167704E-2</v>
      </c>
      <c r="O181" s="300">
        <f t="shared" si="448"/>
        <v>1.6949999999799699</v>
      </c>
      <c r="P181" s="300"/>
      <c r="Q181" s="300">
        <f>SUM(Q179:Q180)</f>
        <v>1.3409999999824971</v>
      </c>
      <c r="R181" s="300">
        <f t="shared" ref="R181" si="457">SUM(R179:R180)</f>
        <v>0.45399999999578428</v>
      </c>
      <c r="S181" s="300">
        <f t="shared" ref="S181" si="458">SUM(S179:S180)</f>
        <v>5.3999999998696611E-2</v>
      </c>
      <c r="T181" s="300">
        <f t="shared" si="449"/>
        <v>1.8489999999769779</v>
      </c>
      <c r="U181" s="300"/>
      <c r="V181" s="300">
        <f>SUM(V179:V180)</f>
        <v>1.5429999999631083</v>
      </c>
      <c r="W181" s="300">
        <f t="shared" ref="W181" si="459">SUM(W179:W180)</f>
        <v>0.53099999998799796</v>
      </c>
      <c r="X181" s="300">
        <f t="shared" ref="X181" si="460">SUM(X179:X180)</f>
        <v>6.1999999998340521E-2</v>
      </c>
      <c r="Y181" s="300">
        <f t="shared" si="450"/>
        <v>2.1359999999494472</v>
      </c>
    </row>
    <row r="182" spans="1:25" x14ac:dyDescent="0.2">
      <c r="C182" s="319"/>
      <c r="D182" s="319"/>
      <c r="E182" s="319"/>
      <c r="F182" s="319"/>
      <c r="G182" s="319"/>
      <c r="H182" s="319"/>
      <c r="I182" s="319"/>
      <c r="J182" s="319"/>
      <c r="K182" s="319"/>
      <c r="L182" s="319"/>
      <c r="M182" s="319"/>
      <c r="N182" s="319"/>
      <c r="O182" s="319"/>
      <c r="P182" s="319"/>
      <c r="Q182" s="319"/>
      <c r="R182" s="319"/>
      <c r="S182" s="319"/>
      <c r="T182" s="319"/>
      <c r="U182" s="319"/>
      <c r="V182" s="319"/>
      <c r="W182" s="319"/>
      <c r="X182" s="319"/>
      <c r="Y182" s="319"/>
    </row>
    <row r="183" spans="1:25" x14ac:dyDescent="0.2">
      <c r="A183" s="261" t="str">
        <f>name!A30</f>
        <v>Waste management</v>
      </c>
      <c r="C183" s="263"/>
    </row>
    <row r="184" spans="1:25" x14ac:dyDescent="0.2">
      <c r="A184" s="260" t="s">
        <v>356</v>
      </c>
      <c r="B184" s="300">
        <v>3.3039999999857108</v>
      </c>
      <c r="C184" s="300">
        <v>0.49500000000095296</v>
      </c>
      <c r="D184" s="300">
        <v>0</v>
      </c>
      <c r="E184" s="300">
        <f>SUM(B184:D184)</f>
        <v>3.7989999999866639</v>
      </c>
      <c r="F184" s="300"/>
      <c r="G184" s="300">
        <v>2.283999999988978</v>
      </c>
      <c r="H184" s="300">
        <v>1.0330000000029314</v>
      </c>
      <c r="I184" s="300">
        <v>0</v>
      </c>
      <c r="J184" s="300">
        <f>SUM(G184:I184)</f>
        <v>3.3169999999919093</v>
      </c>
      <c r="K184" s="300"/>
      <c r="L184" s="300">
        <v>2.1209999999951683</v>
      </c>
      <c r="M184" s="300">
        <v>0.86899999999704303</v>
      </c>
      <c r="N184" s="300">
        <v>6.1999999998838339E-2</v>
      </c>
      <c r="O184" s="300">
        <f>SUM(L184:N184)</f>
        <v>3.0519999999910499</v>
      </c>
      <c r="P184" s="300"/>
      <c r="Q184" s="300">
        <v>2.4020000000235444</v>
      </c>
      <c r="R184" s="300">
        <v>0.95899999999615615</v>
      </c>
      <c r="S184" s="300">
        <v>6.6999999998940116E-2</v>
      </c>
      <c r="T184" s="300">
        <f>SUM(Q184:S184)</f>
        <v>3.4280000000186406</v>
      </c>
      <c r="U184" s="300"/>
      <c r="V184" s="300">
        <v>2.9790000000026549</v>
      </c>
      <c r="W184" s="300">
        <v>1.1289999999948828</v>
      </c>
      <c r="X184" s="300">
        <v>7.499999999913462E-2</v>
      </c>
      <c r="Y184" s="300">
        <f>SUM(V184:X184)</f>
        <v>4.1829999999966718</v>
      </c>
    </row>
    <row r="185" spans="1:25" x14ac:dyDescent="0.2">
      <c r="A185" s="260" t="s">
        <v>355</v>
      </c>
      <c r="B185" s="300">
        <v>7.3970000001336063</v>
      </c>
      <c r="C185" s="300">
        <v>0.1690000000074279</v>
      </c>
      <c r="D185" s="300">
        <v>0</v>
      </c>
      <c r="E185" s="300">
        <f t="shared" ref="E185:E186" si="461">SUM(B185:D185)</f>
        <v>7.5660000001410346</v>
      </c>
      <c r="F185" s="300"/>
      <c r="G185" s="300">
        <v>9.8140000001286118</v>
      </c>
      <c r="H185" s="300">
        <v>0.1860000000067091</v>
      </c>
      <c r="I185" s="300">
        <v>1.4010000000369844</v>
      </c>
      <c r="J185" s="300">
        <f t="shared" ref="J185:J186" si="462">SUM(G185:I185)</f>
        <v>11.401000000172306</v>
      </c>
      <c r="K185" s="300"/>
      <c r="L185" s="300">
        <v>9.6819999998832671</v>
      </c>
      <c r="M185" s="300">
        <v>0.47399999998698167</v>
      </c>
      <c r="N185" s="300">
        <v>1.1999999999652293</v>
      </c>
      <c r="O185" s="300">
        <f t="shared" ref="O185:O186" si="463">SUM(L185:N185)</f>
        <v>11.355999999835477</v>
      </c>
      <c r="P185" s="300"/>
      <c r="Q185" s="300">
        <v>10.478999999865907</v>
      </c>
      <c r="R185" s="300">
        <v>0.51899999998999757</v>
      </c>
      <c r="S185" s="300">
        <v>1.2569999999387127</v>
      </c>
      <c r="T185" s="300">
        <f t="shared" ref="T185:T186" si="464">SUM(Q185:S185)</f>
        <v>12.254999999794617</v>
      </c>
      <c r="U185" s="300"/>
      <c r="V185" s="300">
        <v>11.902999999750433</v>
      </c>
      <c r="W185" s="300">
        <v>0.59899999998558018</v>
      </c>
      <c r="X185" s="300">
        <v>1.3199999999495573</v>
      </c>
      <c r="Y185" s="300">
        <f t="shared" ref="Y185:Y186" si="465">SUM(V185:X185)</f>
        <v>13.82199999968557</v>
      </c>
    </row>
    <row r="186" spans="1:25" x14ac:dyDescent="0.2">
      <c r="A186" s="260" t="s">
        <v>354</v>
      </c>
      <c r="B186" s="300">
        <f>SUM(B184:B185)</f>
        <v>10.701000000119317</v>
      </c>
      <c r="C186" s="300">
        <f t="shared" ref="C186" si="466">SUM(C184:C185)</f>
        <v>0.66400000000838089</v>
      </c>
      <c r="D186" s="300">
        <f t="shared" ref="D186" si="467">SUM(D184:D185)</f>
        <v>0</v>
      </c>
      <c r="E186" s="300">
        <f t="shared" si="461"/>
        <v>11.365000000127697</v>
      </c>
      <c r="F186" s="300"/>
      <c r="G186" s="300">
        <f>SUM(G184:G185)</f>
        <v>12.09800000011759</v>
      </c>
      <c r="H186" s="300">
        <f t="shared" ref="H186" si="468">SUM(H184:H185)</f>
        <v>1.2190000000096404</v>
      </c>
      <c r="I186" s="300">
        <f t="shared" ref="I186" si="469">SUM(I184:I185)</f>
        <v>1.4010000000369844</v>
      </c>
      <c r="J186" s="300">
        <f t="shared" si="462"/>
        <v>14.718000000164214</v>
      </c>
      <c r="K186" s="300"/>
      <c r="L186" s="300">
        <f>SUM(L184:L185)</f>
        <v>11.802999999878436</v>
      </c>
      <c r="M186" s="300">
        <f t="shared" ref="M186" si="470">SUM(M184:M185)</f>
        <v>1.3429999999840248</v>
      </c>
      <c r="N186" s="300">
        <f t="shared" ref="N186" si="471">SUM(N184:N185)</f>
        <v>1.2619999999640676</v>
      </c>
      <c r="O186" s="300">
        <f t="shared" si="463"/>
        <v>14.407999999826529</v>
      </c>
      <c r="P186" s="300"/>
      <c r="Q186" s="300">
        <f>SUM(Q184:Q185)</f>
        <v>12.880999999889452</v>
      </c>
      <c r="R186" s="300">
        <f t="shared" ref="R186" si="472">SUM(R184:R185)</f>
        <v>1.4779999999861537</v>
      </c>
      <c r="S186" s="300">
        <f t="shared" ref="S186" si="473">SUM(S184:S185)</f>
        <v>1.3239999999376528</v>
      </c>
      <c r="T186" s="300">
        <f t="shared" si="464"/>
        <v>15.682999999813259</v>
      </c>
      <c r="U186" s="300"/>
      <c r="V186" s="300">
        <f>SUM(V184:V185)</f>
        <v>14.881999999753088</v>
      </c>
      <c r="W186" s="300">
        <f t="shared" ref="W186" si="474">SUM(W184:W185)</f>
        <v>1.7279999999804629</v>
      </c>
      <c r="X186" s="300">
        <f t="shared" ref="X186" si="475">SUM(X184:X185)</f>
        <v>1.3949999999486919</v>
      </c>
      <c r="Y186" s="300">
        <f t="shared" si="465"/>
        <v>18.004999999682241</v>
      </c>
    </row>
    <row r="188" spans="1:25" x14ac:dyDescent="0.2">
      <c r="A188" s="261" t="s">
        <v>369</v>
      </c>
      <c r="C188" s="263"/>
    </row>
    <row r="189" spans="1:25" x14ac:dyDescent="0.2">
      <c r="A189" s="260" t="s">
        <v>356</v>
      </c>
      <c r="B189" s="300">
        <f>SUM(B174,B179,B184)</f>
        <v>3.7489999999840364</v>
      </c>
      <c r="C189" s="300">
        <f t="shared" ref="C189:D189" si="476">SUM(C174,C179,C184)</f>
        <v>1.3690000000055369</v>
      </c>
      <c r="D189" s="300">
        <f t="shared" si="476"/>
        <v>0</v>
      </c>
      <c r="E189" s="300">
        <f>SUM(B189:D189)</f>
        <v>5.1179999999895731</v>
      </c>
      <c r="F189" s="300"/>
      <c r="G189" s="300">
        <f>SUM(G174,G179,G184)</f>
        <v>2.4759999999882285</v>
      </c>
      <c r="H189" s="300">
        <f t="shared" ref="H189:I189" si="477">SUM(H174,H179,H184)</f>
        <v>1.3630000000051403</v>
      </c>
      <c r="I189" s="300">
        <f t="shared" si="477"/>
        <v>0</v>
      </c>
      <c r="J189" s="300">
        <f>SUM(G189:I189)</f>
        <v>3.8389999999933688</v>
      </c>
      <c r="K189" s="300"/>
      <c r="L189" s="300">
        <f>SUM(L174,L179,L184)</f>
        <v>2.2989999999948294</v>
      </c>
      <c r="M189" s="300">
        <f t="shared" ref="M189:N189" si="478">SUM(M174,M179,M184)</f>
        <v>1.1459999999970334</v>
      </c>
      <c r="N189" s="300">
        <f t="shared" si="478"/>
        <v>7.9999999998600635E-2</v>
      </c>
      <c r="O189" s="300">
        <f>SUM(L189:N189)</f>
        <v>3.5249999999904635</v>
      </c>
      <c r="P189" s="300"/>
      <c r="Q189" s="300">
        <f>SUM(Q174,Q179,Q184)</f>
        <v>2.6030000000251166</v>
      </c>
      <c r="R189" s="300">
        <f t="shared" ref="R189:S189" si="479">SUM(R174,R179,R184)</f>
        <v>1.2649999999973724</v>
      </c>
      <c r="S189" s="300">
        <f t="shared" si="479"/>
        <v>8.5999999998699297E-2</v>
      </c>
      <c r="T189" s="300">
        <f>SUM(Q189:S189)</f>
        <v>3.9540000000211881</v>
      </c>
      <c r="U189" s="300"/>
      <c r="V189" s="300">
        <f>SUM(V174,V179,V184)</f>
        <v>3.2300000000027418</v>
      </c>
      <c r="W189" s="300">
        <f t="shared" ref="W189:X189" si="480">SUM(W174,W179,W184)</f>
        <v>1.4889999999940591</v>
      </c>
      <c r="X189" s="300">
        <f t="shared" si="480"/>
        <v>9.6999999999084929E-2</v>
      </c>
      <c r="Y189" s="300">
        <f>SUM(V189:X189)</f>
        <v>4.8159999999958858</v>
      </c>
    </row>
    <row r="190" spans="1:25" x14ac:dyDescent="0.2">
      <c r="A190" s="260" t="s">
        <v>355</v>
      </c>
      <c r="B190" s="300">
        <f>SUM(B175,B180,B185)</f>
        <v>10.134000000177357</v>
      </c>
      <c r="C190" s="300">
        <f t="shared" ref="C190:D190" si="481">SUM(C175,C180,C185)</f>
        <v>0.59100000002378983</v>
      </c>
      <c r="D190" s="300">
        <f t="shared" si="481"/>
        <v>0</v>
      </c>
      <c r="E190" s="300">
        <f t="shared" ref="E190:E191" si="482">SUM(B190:D190)</f>
        <v>10.725000000201147</v>
      </c>
      <c r="F190" s="300"/>
      <c r="G190" s="300">
        <f>SUM(G175,G180,G185)</f>
        <v>11.415000000142582</v>
      </c>
      <c r="H190" s="300">
        <f t="shared" ref="H190:I190" si="483">SUM(H175,H180,H185)</f>
        <v>0.24500000000891392</v>
      </c>
      <c r="I190" s="300">
        <f t="shared" si="483"/>
        <v>1.432000000037726</v>
      </c>
      <c r="J190" s="300">
        <f t="shared" ref="J190:J191" si="484">SUM(G190:I190)</f>
        <v>13.092000000189223</v>
      </c>
      <c r="K190" s="300"/>
      <c r="L190" s="300">
        <f>SUM(L175,L180,L185)</f>
        <v>11.260999999869188</v>
      </c>
      <c r="M190" s="300">
        <f t="shared" ref="M190:N190" si="485">SUM(M175,M180,M185)</f>
        <v>0.62399999998274225</v>
      </c>
      <c r="N190" s="300">
        <f t="shared" si="485"/>
        <v>1.306999999963256</v>
      </c>
      <c r="O190" s="300">
        <f t="shared" ref="O190:O191" si="486">SUM(L190:N190)</f>
        <v>13.191999999815186</v>
      </c>
      <c r="P190" s="300"/>
      <c r="Q190" s="300">
        <f>SUM(Q175,Q180,Q185)</f>
        <v>12.188999999850074</v>
      </c>
      <c r="R190" s="300">
        <f t="shared" ref="R190:S190" si="487">SUM(R175,R180,R185)</f>
        <v>0.68299999998425398</v>
      </c>
      <c r="S190" s="300">
        <f t="shared" si="487"/>
        <v>1.3709999999355102</v>
      </c>
      <c r="T190" s="300">
        <f t="shared" ref="T190:T191" si="488">SUM(Q190:S190)</f>
        <v>14.242999999769838</v>
      </c>
      <c r="U190" s="300"/>
      <c r="V190" s="300">
        <f>SUM(V175,V180,V185)</f>
        <v>13.843999999715979</v>
      </c>
      <c r="W190" s="300">
        <f t="shared" ref="W190:X190" si="489">SUM(W175,W180,W185)</f>
        <v>0.7889999999740408</v>
      </c>
      <c r="X190" s="300">
        <f t="shared" si="489"/>
        <v>1.4489999999459886</v>
      </c>
      <c r="Y190" s="300">
        <f t="shared" ref="Y190:Y191" si="490">SUM(V190:X190)</f>
        <v>16.081999999636007</v>
      </c>
    </row>
    <row r="191" spans="1:25" x14ac:dyDescent="0.2">
      <c r="A191" s="264" t="s">
        <v>354</v>
      </c>
      <c r="B191" s="301">
        <f>SUM(B189:B190)</f>
        <v>13.883000000161394</v>
      </c>
      <c r="C191" s="301">
        <f t="shared" ref="C191" si="491">SUM(C189:C190)</f>
        <v>1.9600000000293267</v>
      </c>
      <c r="D191" s="301">
        <f t="shared" ref="D191" si="492">SUM(D189:D190)</f>
        <v>0</v>
      </c>
      <c r="E191" s="301">
        <f t="shared" si="482"/>
        <v>15.84300000019072</v>
      </c>
      <c r="F191" s="301"/>
      <c r="G191" s="301">
        <f>SUM(G189:G190)</f>
        <v>13.891000000130811</v>
      </c>
      <c r="H191" s="301">
        <f t="shared" ref="H191" si="493">SUM(H189:H190)</f>
        <v>1.6080000000140542</v>
      </c>
      <c r="I191" s="301">
        <f t="shared" ref="I191" si="494">SUM(I189:I190)</f>
        <v>1.432000000037726</v>
      </c>
      <c r="J191" s="301">
        <f t="shared" si="484"/>
        <v>16.931000000182589</v>
      </c>
      <c r="K191" s="301"/>
      <c r="L191" s="301">
        <f>SUM(L189:L190)</f>
        <v>13.559999999864019</v>
      </c>
      <c r="M191" s="301">
        <f t="shared" ref="M191" si="495">SUM(M189:M190)</f>
        <v>1.7699999999797758</v>
      </c>
      <c r="N191" s="301">
        <f t="shared" ref="N191" si="496">SUM(N189:N190)</f>
        <v>1.3869999999618567</v>
      </c>
      <c r="O191" s="301">
        <f t="shared" si="486"/>
        <v>16.716999999805651</v>
      </c>
      <c r="P191" s="301"/>
      <c r="Q191" s="301">
        <f>SUM(Q189:Q190)</f>
        <v>14.791999999875191</v>
      </c>
      <c r="R191" s="301">
        <f t="shared" ref="R191" si="497">SUM(R189:R190)</f>
        <v>1.9479999999816264</v>
      </c>
      <c r="S191" s="301">
        <f t="shared" ref="S191" si="498">SUM(S189:S190)</f>
        <v>1.4569999999342096</v>
      </c>
      <c r="T191" s="301">
        <f t="shared" si="488"/>
        <v>18.196999999791025</v>
      </c>
      <c r="U191" s="301"/>
      <c r="V191" s="301">
        <f>SUM(V189:V190)</f>
        <v>17.073999999718723</v>
      </c>
      <c r="W191" s="301">
        <f t="shared" ref="W191" si="499">SUM(W189:W190)</f>
        <v>2.2779999999680998</v>
      </c>
      <c r="X191" s="301">
        <f t="shared" ref="X191" si="500">SUM(X189:X190)</f>
        <v>1.5459999999450735</v>
      </c>
      <c r="Y191" s="301">
        <f t="shared" si="490"/>
        <v>20.897999999631896</v>
      </c>
    </row>
    <row r="195" spans="1:25" ht="15" x14ac:dyDescent="0.25">
      <c r="A195" s="265" t="str">
        <f>"Industry 8 : "&amp; name!B11</f>
        <v>Industry 8 : Construction</v>
      </c>
      <c r="B195" s="371">
        <f>$B$5</f>
        <v>2015</v>
      </c>
      <c r="C195" s="371"/>
      <c r="D195" s="371"/>
      <c r="E195" s="371"/>
      <c r="F195" s="320"/>
      <c r="G195" s="371">
        <f>$G$5</f>
        <v>2019</v>
      </c>
      <c r="H195" s="371"/>
      <c r="I195" s="371"/>
      <c r="J195" s="371"/>
      <c r="K195" s="320"/>
      <c r="L195" s="371">
        <f>$L$5</f>
        <v>2020</v>
      </c>
      <c r="M195" s="371"/>
      <c r="N195" s="371"/>
      <c r="O195" s="371"/>
      <c r="P195" s="318"/>
      <c r="Q195" s="371">
        <f>$Q$5</f>
        <v>2025</v>
      </c>
      <c r="R195" s="371"/>
      <c r="S195" s="371"/>
      <c r="T195" s="371"/>
      <c r="U195" s="320"/>
      <c r="V195" s="371">
        <f>$V$5</f>
        <v>2035</v>
      </c>
      <c r="W195" s="371"/>
      <c r="X195" s="371"/>
      <c r="Y195" s="371"/>
    </row>
    <row r="196" spans="1:25" x14ac:dyDescent="0.2">
      <c r="A196" s="264"/>
      <c r="B196" s="268" t="str">
        <f>$B$6</f>
        <v>FT</v>
      </c>
      <c r="C196" s="268" t="str">
        <f>$C$6</f>
        <v>PT</v>
      </c>
      <c r="D196" s="268" t="str">
        <f>$D$6</f>
        <v>SE</v>
      </c>
      <c r="E196" s="268" t="str">
        <f>$E$6</f>
        <v>Total</v>
      </c>
      <c r="F196" s="268"/>
      <c r="G196" s="268" t="str">
        <f>$B$6</f>
        <v>FT</v>
      </c>
      <c r="H196" s="268" t="str">
        <f>$C$6</f>
        <v>PT</v>
      </c>
      <c r="I196" s="268" t="str">
        <f>$D$6</f>
        <v>SE</v>
      </c>
      <c r="J196" s="268" t="str">
        <f>$E$6</f>
        <v>Total</v>
      </c>
      <c r="K196" s="268"/>
      <c r="L196" s="268" t="str">
        <f>$L$6</f>
        <v>FT</v>
      </c>
      <c r="M196" s="268" t="str">
        <f>$M$6</f>
        <v>PT</v>
      </c>
      <c r="N196" s="268" t="str">
        <f>$N$6</f>
        <v>SE</v>
      </c>
      <c r="O196" s="268" t="str">
        <f>$O$6</f>
        <v>Total</v>
      </c>
      <c r="P196" s="268"/>
      <c r="Q196" s="268" t="str">
        <f>$L$6</f>
        <v>FT</v>
      </c>
      <c r="R196" s="268" t="str">
        <f>$M$6</f>
        <v>PT</v>
      </c>
      <c r="S196" s="268" t="str">
        <f>$N$6</f>
        <v>SE</v>
      </c>
      <c r="T196" s="268" t="str">
        <f>$O$6</f>
        <v>Total</v>
      </c>
      <c r="U196" s="268"/>
      <c r="V196" s="268" t="str">
        <f>$V$6</f>
        <v>FT</v>
      </c>
      <c r="W196" s="268" t="str">
        <f>$W$6</f>
        <v>PT</v>
      </c>
      <c r="X196" s="268" t="str">
        <f>$X$6</f>
        <v>SE</v>
      </c>
      <c r="Y196" s="268" t="str">
        <f>$Y$6</f>
        <v>Total</v>
      </c>
    </row>
    <row r="197" spans="1:25" x14ac:dyDescent="0.2">
      <c r="C197" s="319"/>
      <c r="D197" s="319"/>
      <c r="E197" s="319"/>
      <c r="F197" s="319"/>
      <c r="G197" s="319"/>
      <c r="H197" s="319"/>
      <c r="I197" s="319"/>
      <c r="J197" s="319"/>
      <c r="K197" s="319"/>
      <c r="L197" s="319"/>
      <c r="M197" s="319"/>
      <c r="N197" s="319"/>
      <c r="O197" s="319"/>
      <c r="P197" s="319"/>
      <c r="Q197" s="319"/>
      <c r="R197" s="319"/>
      <c r="S197" s="319"/>
      <c r="T197" s="319"/>
      <c r="U197" s="319"/>
      <c r="V197" s="319"/>
      <c r="W197" s="319"/>
      <c r="X197" s="319"/>
      <c r="Y197" s="319"/>
    </row>
    <row r="198" spans="1:25" x14ac:dyDescent="0.2">
      <c r="A198" s="261" t="str">
        <f>name!A31</f>
        <v>Construction</v>
      </c>
      <c r="C198" s="263"/>
    </row>
    <row r="199" spans="1:25" x14ac:dyDescent="0.2">
      <c r="A199" s="260" t="s">
        <v>356</v>
      </c>
      <c r="B199" s="300">
        <v>11.615999999926451</v>
      </c>
      <c r="C199" s="300">
        <v>5.1680000000763746</v>
      </c>
      <c r="D199" s="300">
        <v>3.2330000000913452</v>
      </c>
      <c r="E199" s="300">
        <f>SUM(B199:D199)</f>
        <v>20.017000000094171</v>
      </c>
      <c r="F199" s="300"/>
      <c r="G199" s="300">
        <v>19.670999999793164</v>
      </c>
      <c r="H199" s="300">
        <v>6.7040000000948492</v>
      </c>
      <c r="I199" s="300">
        <v>6.8700000001781154</v>
      </c>
      <c r="J199" s="300">
        <f>SUM(G199:I199)</f>
        <v>33.245000000066128</v>
      </c>
      <c r="K199" s="300"/>
      <c r="L199" s="300">
        <v>19.708999999870521</v>
      </c>
      <c r="M199" s="300">
        <v>7.4449999999405208</v>
      </c>
      <c r="N199" s="300">
        <v>3.2989999999121951</v>
      </c>
      <c r="O199" s="300">
        <f>SUM(L199:N199)</f>
        <v>30.452999999723236</v>
      </c>
      <c r="P199" s="300"/>
      <c r="Q199" s="300">
        <v>21.996000000491261</v>
      </c>
      <c r="R199" s="300">
        <v>8.3639999999198249</v>
      </c>
      <c r="S199" s="300">
        <v>3.656999999923209</v>
      </c>
      <c r="T199" s="300">
        <f>SUM(Q199:S199)</f>
        <v>34.017000000334292</v>
      </c>
      <c r="U199" s="300"/>
      <c r="V199" s="300">
        <v>25.669999999998574</v>
      </c>
      <c r="W199" s="300">
        <v>9.8699999998809052</v>
      </c>
      <c r="X199" s="300">
        <v>4.3669999999425091</v>
      </c>
      <c r="Y199" s="300">
        <f>SUM(V199:X199)</f>
        <v>39.906999999821984</v>
      </c>
    </row>
    <row r="200" spans="1:25" x14ac:dyDescent="0.2">
      <c r="A200" s="260" t="s">
        <v>355</v>
      </c>
      <c r="B200" s="300">
        <v>38.862000000677178</v>
      </c>
      <c r="C200" s="300">
        <v>3.7430000000911052</v>
      </c>
      <c r="D200" s="300">
        <v>49.969999999410859</v>
      </c>
      <c r="E200" s="300">
        <f t="shared" ref="E200:E201" si="501">SUM(B200:D200)</f>
        <v>92.575000000179145</v>
      </c>
      <c r="F200" s="300"/>
      <c r="G200" s="300">
        <v>59.233000000826884</v>
      </c>
      <c r="H200" s="300">
        <v>5.3410000001015785</v>
      </c>
      <c r="I200" s="300">
        <v>43.059000001961429</v>
      </c>
      <c r="J200" s="300">
        <f t="shared" ref="J200:J201" si="502">SUM(G200:I200)</f>
        <v>107.6330000028899</v>
      </c>
      <c r="K200" s="300"/>
      <c r="L200" s="300">
        <v>59.719999998975638</v>
      </c>
      <c r="M200" s="300">
        <v>6.2569999999096213</v>
      </c>
      <c r="N200" s="300">
        <v>35.344999997540064</v>
      </c>
      <c r="O200" s="300">
        <f t="shared" ref="O200:O201" si="503">SUM(L200:N200)</f>
        <v>101.32199999642532</v>
      </c>
      <c r="P200" s="300"/>
      <c r="Q200" s="300">
        <v>65.524999999051914</v>
      </c>
      <c r="R200" s="300">
        <v>7.079999999887753</v>
      </c>
      <c r="S200" s="300">
        <v>39.66999999429472</v>
      </c>
      <c r="T200" s="300">
        <f t="shared" ref="T200:T201" si="504">SUM(Q200:S200)</f>
        <v>112.27499999323439</v>
      </c>
      <c r="U200" s="300"/>
      <c r="V200" s="300">
        <v>73.053999998634225</v>
      </c>
      <c r="W200" s="300">
        <v>8.4469999997957714</v>
      </c>
      <c r="X200" s="300">
        <v>46.679999994016811</v>
      </c>
      <c r="Y200" s="300">
        <f t="shared" ref="Y200:Y201" si="505">SUM(V200:X200)</f>
        <v>128.1809999924468</v>
      </c>
    </row>
    <row r="201" spans="1:25" x14ac:dyDescent="0.2">
      <c r="A201" s="260" t="s">
        <v>354</v>
      </c>
      <c r="B201" s="300">
        <f>SUM(B199:B200)</f>
        <v>50.478000000603629</v>
      </c>
      <c r="C201" s="300">
        <f t="shared" ref="C201" si="506">SUM(C199:C200)</f>
        <v>8.9110000001674798</v>
      </c>
      <c r="D201" s="300">
        <f t="shared" ref="D201" si="507">SUM(D199:D200)</f>
        <v>53.202999999502204</v>
      </c>
      <c r="E201" s="300">
        <f t="shared" si="501"/>
        <v>112.59200000027332</v>
      </c>
      <c r="F201" s="300"/>
      <c r="G201" s="300">
        <f>SUM(G199:G200)</f>
        <v>78.904000000620044</v>
      </c>
      <c r="H201" s="300">
        <f t="shared" ref="H201" si="508">SUM(H199:H200)</f>
        <v>12.045000000196428</v>
      </c>
      <c r="I201" s="300">
        <f t="shared" ref="I201" si="509">SUM(I199:I200)</f>
        <v>49.929000002139546</v>
      </c>
      <c r="J201" s="300">
        <f t="shared" si="502"/>
        <v>140.87800000295601</v>
      </c>
      <c r="K201" s="300"/>
      <c r="L201" s="300">
        <f>SUM(L199:L200)</f>
        <v>79.428999998846166</v>
      </c>
      <c r="M201" s="300">
        <f t="shared" ref="M201" si="510">SUM(M199:M200)</f>
        <v>13.701999999850141</v>
      </c>
      <c r="N201" s="300">
        <f t="shared" ref="N201" si="511">SUM(N199:N200)</f>
        <v>38.643999997452262</v>
      </c>
      <c r="O201" s="300">
        <f t="shared" si="503"/>
        <v>131.77499999614858</v>
      </c>
      <c r="P201" s="300"/>
      <c r="Q201" s="300">
        <f>SUM(Q199:Q200)</f>
        <v>87.520999999543179</v>
      </c>
      <c r="R201" s="300">
        <f t="shared" ref="R201" si="512">SUM(R199:R200)</f>
        <v>15.443999999807577</v>
      </c>
      <c r="S201" s="300">
        <f t="shared" ref="S201" si="513">SUM(S199:S200)</f>
        <v>43.326999994217928</v>
      </c>
      <c r="T201" s="300">
        <f t="shared" si="504"/>
        <v>146.29199999356868</v>
      </c>
      <c r="U201" s="300"/>
      <c r="V201" s="300">
        <f>SUM(V199:V200)</f>
        <v>98.723999998632792</v>
      </c>
      <c r="W201" s="300">
        <f t="shared" ref="W201" si="514">SUM(W199:W200)</f>
        <v>18.316999999676675</v>
      </c>
      <c r="X201" s="300">
        <f t="shared" ref="X201" si="515">SUM(X199:X200)</f>
        <v>51.046999993959318</v>
      </c>
      <c r="Y201" s="300">
        <f t="shared" si="505"/>
        <v>168.08799999226881</v>
      </c>
    </row>
    <row r="202" spans="1:25" x14ac:dyDescent="0.2">
      <c r="C202" s="319"/>
      <c r="D202" s="319"/>
      <c r="E202" s="319"/>
      <c r="F202" s="319"/>
      <c r="G202" s="319"/>
      <c r="H202" s="319"/>
      <c r="I202" s="319"/>
      <c r="J202" s="319"/>
      <c r="K202" s="319"/>
      <c r="L202" s="319"/>
      <c r="M202" s="319"/>
      <c r="N202" s="319"/>
      <c r="O202" s="319"/>
      <c r="P202" s="319"/>
      <c r="Q202" s="319"/>
      <c r="R202" s="319"/>
      <c r="S202" s="319"/>
      <c r="T202" s="319"/>
      <c r="U202" s="319"/>
      <c r="V202" s="319"/>
      <c r="W202" s="319"/>
      <c r="X202" s="319"/>
      <c r="Y202" s="319"/>
    </row>
    <row r="203" spans="1:25" x14ac:dyDescent="0.2">
      <c r="A203" s="261" t="str">
        <f>name!A32</f>
        <v>Civil engineering</v>
      </c>
      <c r="C203" s="263"/>
    </row>
    <row r="204" spans="1:25" x14ac:dyDescent="0.2">
      <c r="A204" s="260" t="s">
        <v>356</v>
      </c>
      <c r="B204" s="300">
        <v>2.0379999999870968</v>
      </c>
      <c r="C204" s="300">
        <v>0.86100000001272425</v>
      </c>
      <c r="D204" s="300">
        <v>0.72400000002045561</v>
      </c>
      <c r="E204" s="300">
        <f>SUM(B204:D204)</f>
        <v>3.6230000000202764</v>
      </c>
      <c r="F204" s="300"/>
      <c r="G204" s="300">
        <v>1.967999999979307</v>
      </c>
      <c r="H204" s="300">
        <v>0.93300000001320038</v>
      </c>
      <c r="I204" s="300">
        <v>0.90800000002354053</v>
      </c>
      <c r="J204" s="300">
        <f>SUM(G204:I204)</f>
        <v>3.8090000000160478</v>
      </c>
      <c r="K204" s="300"/>
      <c r="L204" s="300">
        <v>1.9719999999870441</v>
      </c>
      <c r="M204" s="300">
        <v>1.035999999991724</v>
      </c>
      <c r="N204" s="300">
        <v>0.18099999999518221</v>
      </c>
      <c r="O204" s="300">
        <f>SUM(L204:N204)</f>
        <v>3.1889999999739502</v>
      </c>
      <c r="P204" s="300"/>
      <c r="Q204" s="300">
        <v>2.2010000000491572</v>
      </c>
      <c r="R204" s="300">
        <v>1.16399999998884</v>
      </c>
      <c r="S204" s="300">
        <v>0.23199999999512844</v>
      </c>
      <c r="T204" s="300">
        <f>SUM(Q204:S204)</f>
        <v>3.5970000000331259</v>
      </c>
      <c r="U204" s="300"/>
      <c r="V204" s="300">
        <v>2.5679999999998548</v>
      </c>
      <c r="W204" s="300">
        <v>1.3729999999834326</v>
      </c>
      <c r="X204" s="300">
        <v>0.33299999999561608</v>
      </c>
      <c r="Y204" s="300">
        <f>SUM(V204:X204)</f>
        <v>4.2739999999789031</v>
      </c>
    </row>
    <row r="205" spans="1:25" x14ac:dyDescent="0.2">
      <c r="A205" s="260" t="s">
        <v>355</v>
      </c>
      <c r="B205" s="300">
        <v>21.279000000370793</v>
      </c>
      <c r="C205" s="300">
        <v>0.58100000001414154</v>
      </c>
      <c r="D205" s="300">
        <v>27.204999999679252</v>
      </c>
      <c r="E205" s="300">
        <f t="shared" ref="E205:E206" si="516">SUM(B205:D205)</f>
        <v>49.065000000064188</v>
      </c>
      <c r="F205" s="300"/>
      <c r="G205" s="300">
        <v>18.499000000258246</v>
      </c>
      <c r="H205" s="300">
        <v>0.69200000001316131</v>
      </c>
      <c r="I205" s="300">
        <v>13.838000000630347</v>
      </c>
      <c r="J205" s="300">
        <f t="shared" ref="J205:J206" si="517">SUM(G205:I205)</f>
        <v>33.029000000901753</v>
      </c>
      <c r="K205" s="300"/>
      <c r="L205" s="300">
        <v>18.650999999680081</v>
      </c>
      <c r="M205" s="300">
        <v>0.80999999998830063</v>
      </c>
      <c r="N205" s="300">
        <v>11.358999999209455</v>
      </c>
      <c r="O205" s="300">
        <f t="shared" ref="O205:O206" si="518">SUM(L205:N205)</f>
        <v>30.819999998877837</v>
      </c>
      <c r="P205" s="300"/>
      <c r="Q205" s="300">
        <v>20.46399999970394</v>
      </c>
      <c r="R205" s="300">
        <v>0.91699999998546211</v>
      </c>
      <c r="S205" s="300">
        <v>12.747999998166597</v>
      </c>
      <c r="T205" s="300">
        <f t="shared" ref="T205:T206" si="519">SUM(Q205:S205)</f>
        <v>34.128999997855999</v>
      </c>
      <c r="U205" s="300"/>
      <c r="V205" s="300">
        <v>22.815999999573453</v>
      </c>
      <c r="W205" s="300">
        <v>1.0939999999735501</v>
      </c>
      <c r="X205" s="300">
        <v>15.000999998077241</v>
      </c>
      <c r="Y205" s="300">
        <f t="shared" ref="Y205:Y206" si="520">SUM(V205:X205)</f>
        <v>38.910999997624245</v>
      </c>
    </row>
    <row r="206" spans="1:25" x14ac:dyDescent="0.2">
      <c r="A206" s="260" t="s">
        <v>354</v>
      </c>
      <c r="B206" s="300">
        <f>SUM(B204:B205)</f>
        <v>23.31700000035789</v>
      </c>
      <c r="C206" s="300">
        <f t="shared" ref="C206" si="521">SUM(C204:C205)</f>
        <v>1.4420000000268658</v>
      </c>
      <c r="D206" s="300">
        <f t="shared" ref="D206" si="522">SUM(D204:D205)</f>
        <v>27.928999999699709</v>
      </c>
      <c r="E206" s="300">
        <f t="shared" si="516"/>
        <v>52.688000000084465</v>
      </c>
      <c r="F206" s="300"/>
      <c r="G206" s="300">
        <f>SUM(G204:G205)</f>
        <v>20.467000000237551</v>
      </c>
      <c r="H206" s="300">
        <f t="shared" ref="H206" si="523">SUM(H204:H205)</f>
        <v>1.6250000000263616</v>
      </c>
      <c r="I206" s="300">
        <f t="shared" ref="I206" si="524">SUM(I204:I205)</f>
        <v>14.746000000653886</v>
      </c>
      <c r="J206" s="300">
        <f t="shared" si="517"/>
        <v>36.838000000917802</v>
      </c>
      <c r="K206" s="300"/>
      <c r="L206" s="300">
        <f>SUM(L204:L205)</f>
        <v>20.622999999667126</v>
      </c>
      <c r="M206" s="300">
        <f t="shared" ref="M206" si="525">SUM(M204:M205)</f>
        <v>1.8459999999800245</v>
      </c>
      <c r="N206" s="300">
        <f t="shared" ref="N206" si="526">SUM(N204:N205)</f>
        <v>11.539999999204637</v>
      </c>
      <c r="O206" s="300">
        <f t="shared" si="518"/>
        <v>34.008999998851785</v>
      </c>
      <c r="P206" s="300"/>
      <c r="Q206" s="300">
        <f>SUM(Q204:Q205)</f>
        <v>22.664999999753096</v>
      </c>
      <c r="R206" s="300">
        <f t="shared" ref="R206" si="527">SUM(R204:R205)</f>
        <v>2.0809999999743019</v>
      </c>
      <c r="S206" s="300">
        <f t="shared" ref="S206" si="528">SUM(S204:S205)</f>
        <v>12.979999998161725</v>
      </c>
      <c r="T206" s="300">
        <f t="shared" si="519"/>
        <v>37.725999997889126</v>
      </c>
      <c r="U206" s="300"/>
      <c r="V206" s="300">
        <f>SUM(V204:V205)</f>
        <v>25.383999999573309</v>
      </c>
      <c r="W206" s="300">
        <f t="shared" ref="W206" si="529">SUM(W204:W205)</f>
        <v>2.4669999999569825</v>
      </c>
      <c r="X206" s="300">
        <f t="shared" ref="X206" si="530">SUM(X204:X205)</f>
        <v>15.333999998072857</v>
      </c>
      <c r="Y206" s="300">
        <f t="shared" si="520"/>
        <v>43.18499999760315</v>
      </c>
    </row>
    <row r="207" spans="1:25" x14ac:dyDescent="0.2">
      <c r="C207" s="319"/>
      <c r="D207" s="319"/>
      <c r="E207" s="319"/>
      <c r="F207" s="319"/>
      <c r="G207" s="319"/>
      <c r="H207" s="319"/>
      <c r="I207" s="319"/>
      <c r="J207" s="319"/>
      <c r="K207" s="319"/>
      <c r="L207" s="319"/>
      <c r="M207" s="319"/>
      <c r="N207" s="319"/>
      <c r="O207" s="319"/>
      <c r="P207" s="319"/>
      <c r="Q207" s="319"/>
      <c r="R207" s="319"/>
      <c r="S207" s="319"/>
      <c r="T207" s="319"/>
      <c r="U207" s="319"/>
      <c r="V207" s="319"/>
      <c r="W207" s="319"/>
      <c r="X207" s="319"/>
      <c r="Y207" s="319"/>
    </row>
    <row r="208" spans="1:25" x14ac:dyDescent="0.2">
      <c r="A208" s="261" t="str">
        <f>name!A33</f>
        <v>Specialised construction</v>
      </c>
      <c r="C208" s="263"/>
    </row>
    <row r="209" spans="1:25" x14ac:dyDescent="0.2">
      <c r="A209" s="260" t="s">
        <v>356</v>
      </c>
      <c r="B209" s="300">
        <v>6.9929999999557246</v>
      </c>
      <c r="C209" s="300">
        <v>5.0070000000740009</v>
      </c>
      <c r="D209" s="300">
        <v>2.2530000000636572</v>
      </c>
      <c r="E209" s="300">
        <f>SUM(B209:D209)</f>
        <v>14.253000000093383</v>
      </c>
      <c r="F209" s="300"/>
      <c r="G209" s="300">
        <v>10.732999999887154</v>
      </c>
      <c r="H209" s="300">
        <v>8.2600000001168699</v>
      </c>
      <c r="I209" s="300">
        <v>4.5560000001181198</v>
      </c>
      <c r="J209" s="300">
        <f>SUM(G209:I209)</f>
        <v>23.549000000122142</v>
      </c>
      <c r="K209" s="300"/>
      <c r="L209" s="300">
        <v>10.752999999929351</v>
      </c>
      <c r="M209" s="300">
        <v>9.1729999999267235</v>
      </c>
      <c r="N209" s="300">
        <v>1.222999999967449</v>
      </c>
      <c r="O209" s="300">
        <f>SUM(L209:N209)</f>
        <v>21.148999999823523</v>
      </c>
      <c r="P209" s="300"/>
      <c r="Q209" s="300">
        <v>12.001000000268037</v>
      </c>
      <c r="R209" s="300">
        <v>10.304999999901202</v>
      </c>
      <c r="S209" s="300">
        <v>1.3829999999709608</v>
      </c>
      <c r="T209" s="300">
        <f>SUM(Q209:S209)</f>
        <v>23.689000000140201</v>
      </c>
      <c r="U209" s="300"/>
      <c r="V209" s="300">
        <v>14.005999999999222</v>
      </c>
      <c r="W209" s="300">
        <v>12.160999999853249</v>
      </c>
      <c r="X209" s="300">
        <v>1.6269999999785811</v>
      </c>
      <c r="Y209" s="300">
        <f>SUM(V209:X209)</f>
        <v>27.793999999831051</v>
      </c>
    </row>
    <row r="210" spans="1:25" x14ac:dyDescent="0.2">
      <c r="A210" s="260" t="s">
        <v>355</v>
      </c>
      <c r="B210" s="300">
        <v>44.62400000077762</v>
      </c>
      <c r="C210" s="300">
        <v>3.2850000000799544</v>
      </c>
      <c r="D210" s="300">
        <v>61.991999999269126</v>
      </c>
      <c r="E210" s="300">
        <f t="shared" ref="E210:E211" si="531">SUM(B210:D210)</f>
        <v>109.9010000001267</v>
      </c>
      <c r="F210" s="300"/>
      <c r="G210" s="300">
        <v>61.649000000860632</v>
      </c>
      <c r="H210" s="300">
        <v>5.9610000001133665</v>
      </c>
      <c r="I210" s="300">
        <v>50.840000002315882</v>
      </c>
      <c r="J210" s="300">
        <f t="shared" ref="J210:J211" si="532">SUM(G210:I210)</f>
        <v>118.45000000328989</v>
      </c>
      <c r="K210" s="300"/>
      <c r="L210" s="300">
        <v>62.154999998933896</v>
      </c>
      <c r="M210" s="300">
        <v>6.982999999899147</v>
      </c>
      <c r="N210" s="300">
        <v>41.731999997095521</v>
      </c>
      <c r="O210" s="300">
        <f t="shared" ref="O210:O211" si="533">SUM(L210:N210)</f>
        <v>110.86999999592857</v>
      </c>
      <c r="P210" s="300"/>
      <c r="Q210" s="300">
        <v>68.196999999013272</v>
      </c>
      <c r="R210" s="300">
        <v>7.9009999998747364</v>
      </c>
      <c r="S210" s="300">
        <v>46.837999993263843</v>
      </c>
      <c r="T210" s="300">
        <f t="shared" ref="T210:T211" si="534">SUM(Q210:S210)</f>
        <v>122.93599999215186</v>
      </c>
      <c r="U210" s="300"/>
      <c r="V210" s="300">
        <v>76.032999998578489</v>
      </c>
      <c r="W210" s="300">
        <v>9.4269999997720841</v>
      </c>
      <c r="X210" s="300">
        <v>55.114999992935665</v>
      </c>
      <c r="Y210" s="300">
        <f t="shared" ref="Y210:Y211" si="535">SUM(V210:X210)</f>
        <v>140.57499999128623</v>
      </c>
    </row>
    <row r="211" spans="1:25" x14ac:dyDescent="0.2">
      <c r="A211" s="260" t="s">
        <v>354</v>
      </c>
      <c r="B211" s="300">
        <f>SUM(B209:B210)</f>
        <v>51.617000000733341</v>
      </c>
      <c r="C211" s="300">
        <f t="shared" ref="C211" si="536">SUM(C209:C210)</f>
        <v>8.2920000001539549</v>
      </c>
      <c r="D211" s="300">
        <f t="shared" ref="D211" si="537">SUM(D209:D210)</f>
        <v>64.244999999332776</v>
      </c>
      <c r="E211" s="300">
        <f t="shared" si="531"/>
        <v>124.15400000022007</v>
      </c>
      <c r="F211" s="300"/>
      <c r="G211" s="300">
        <f>SUM(G209:G210)</f>
        <v>72.38200000074778</v>
      </c>
      <c r="H211" s="300">
        <f t="shared" ref="H211" si="538">SUM(H209:H210)</f>
        <v>14.221000000230237</v>
      </c>
      <c r="I211" s="300">
        <f t="shared" ref="I211" si="539">SUM(I209:I210)</f>
        <v>55.396000002434</v>
      </c>
      <c r="J211" s="300">
        <f t="shared" si="532"/>
        <v>141.99900000341202</v>
      </c>
      <c r="K211" s="300"/>
      <c r="L211" s="300">
        <f>SUM(L209:L210)</f>
        <v>72.907999998863247</v>
      </c>
      <c r="M211" s="300">
        <f t="shared" ref="M211" si="540">SUM(M209:M210)</f>
        <v>16.15599999982587</v>
      </c>
      <c r="N211" s="300">
        <f t="shared" ref="N211" si="541">SUM(N209:N210)</f>
        <v>42.95499999706297</v>
      </c>
      <c r="O211" s="300">
        <f t="shared" si="533"/>
        <v>132.0189999957521</v>
      </c>
      <c r="P211" s="300"/>
      <c r="Q211" s="300">
        <f>SUM(Q209:Q210)</f>
        <v>80.197999999281308</v>
      </c>
      <c r="R211" s="300">
        <f t="shared" ref="R211" si="542">SUM(R209:R210)</f>
        <v>18.205999999775941</v>
      </c>
      <c r="S211" s="300">
        <f t="shared" ref="S211" si="543">SUM(S209:S210)</f>
        <v>48.220999993234805</v>
      </c>
      <c r="T211" s="300">
        <f t="shared" si="534"/>
        <v>146.62499999229206</v>
      </c>
      <c r="U211" s="300"/>
      <c r="V211" s="300">
        <f>SUM(V209:V210)</f>
        <v>90.038999998577708</v>
      </c>
      <c r="W211" s="300">
        <f t="shared" ref="W211" si="544">SUM(W209:W210)</f>
        <v>21.587999999625332</v>
      </c>
      <c r="X211" s="300">
        <f t="shared" ref="X211" si="545">SUM(X209:X210)</f>
        <v>56.741999992914245</v>
      </c>
      <c r="Y211" s="300">
        <f t="shared" si="535"/>
        <v>168.36899999111728</v>
      </c>
    </row>
    <row r="212" spans="1:25" x14ac:dyDescent="0.2">
      <c r="C212" s="263"/>
    </row>
    <row r="213" spans="1:25" x14ac:dyDescent="0.2">
      <c r="A213" s="261" t="s">
        <v>368</v>
      </c>
      <c r="C213" s="263"/>
    </row>
    <row r="214" spans="1:25" x14ac:dyDescent="0.2">
      <c r="A214" s="260" t="s">
        <v>356</v>
      </c>
      <c r="B214" s="300">
        <f>SUM(B199,B204,B209)</f>
        <v>20.646999999869273</v>
      </c>
      <c r="C214" s="300">
        <f t="shared" ref="C214:D214" si="546">SUM(C199,C204,C209)</f>
        <v>11.036000000163099</v>
      </c>
      <c r="D214" s="300">
        <f t="shared" si="546"/>
        <v>6.2100000001754587</v>
      </c>
      <c r="E214" s="300">
        <f>SUM(B214:D214)</f>
        <v>37.893000000207834</v>
      </c>
      <c r="F214" s="300"/>
      <c r="G214" s="300">
        <f>SUM(G199,G204,G209)</f>
        <v>32.371999999659621</v>
      </c>
      <c r="H214" s="300">
        <f t="shared" ref="H214:I214" si="547">SUM(H199,H204,H209)</f>
        <v>15.897000000224919</v>
      </c>
      <c r="I214" s="300">
        <f t="shared" si="547"/>
        <v>12.334000000319776</v>
      </c>
      <c r="J214" s="300">
        <f>SUM(G214:I214)</f>
        <v>60.603000000204318</v>
      </c>
      <c r="K214" s="300"/>
      <c r="L214" s="300">
        <f>SUM(L199,L204,L209)</f>
        <v>32.43399999978692</v>
      </c>
      <c r="M214" s="300">
        <f t="shared" ref="M214:N214" si="548">SUM(M199,M204,M209)</f>
        <v>17.653999999858968</v>
      </c>
      <c r="N214" s="300">
        <f t="shared" si="548"/>
        <v>4.7029999998748266</v>
      </c>
      <c r="O214" s="300">
        <f>SUM(L214:N214)</f>
        <v>54.790999999520714</v>
      </c>
      <c r="P214" s="300"/>
      <c r="Q214" s="300">
        <f>SUM(Q199,Q204,Q209)</f>
        <v>36.198000000808456</v>
      </c>
      <c r="R214" s="300">
        <f t="shared" ref="R214:S214" si="549">SUM(R199,R204,R209)</f>
        <v>19.832999999809868</v>
      </c>
      <c r="S214" s="300">
        <f t="shared" si="549"/>
        <v>5.2719999998892986</v>
      </c>
      <c r="T214" s="300">
        <f>SUM(Q214:S214)</f>
        <v>61.303000000507616</v>
      </c>
      <c r="U214" s="300"/>
      <c r="V214" s="300">
        <f>SUM(V199,V204,V209)</f>
        <v>42.243999999997655</v>
      </c>
      <c r="W214" s="300">
        <f t="shared" ref="W214:X214" si="550">SUM(W199,W204,W209)</f>
        <v>23.403999999717588</v>
      </c>
      <c r="X214" s="300">
        <f t="shared" si="550"/>
        <v>6.3269999999167066</v>
      </c>
      <c r="Y214" s="300">
        <f>SUM(V214:X214)</f>
        <v>71.974999999631947</v>
      </c>
    </row>
    <row r="215" spans="1:25" x14ac:dyDescent="0.2">
      <c r="A215" s="260" t="s">
        <v>355</v>
      </c>
      <c r="B215" s="300">
        <f>SUM(B200,B205,B210)</f>
        <v>104.7650000018256</v>
      </c>
      <c r="C215" s="300">
        <f t="shared" ref="C215:D215" si="551">SUM(C200,C205,C210)</f>
        <v>7.6090000001852012</v>
      </c>
      <c r="D215" s="300">
        <f t="shared" si="551"/>
        <v>139.16699999835924</v>
      </c>
      <c r="E215" s="300">
        <f t="shared" ref="E215:E216" si="552">SUM(B215:D215)</f>
        <v>251.54100000037005</v>
      </c>
      <c r="F215" s="300"/>
      <c r="G215" s="300">
        <f>SUM(G200,G205,G210)</f>
        <v>139.38100000194575</v>
      </c>
      <c r="H215" s="300">
        <f t="shared" ref="H215:I215" si="553">SUM(H200,H205,H210)</f>
        <v>11.994000000228105</v>
      </c>
      <c r="I215" s="300">
        <f t="shared" si="553"/>
        <v>107.73700000490766</v>
      </c>
      <c r="J215" s="300">
        <f t="shared" ref="J215:J216" si="554">SUM(G215:I215)</f>
        <v>259.11200000708152</v>
      </c>
      <c r="K215" s="300"/>
      <c r="L215" s="300">
        <f>SUM(L200,L205,L210)</f>
        <v>140.52599999758962</v>
      </c>
      <c r="M215" s="300">
        <f t="shared" ref="M215:N215" si="555">SUM(M200,M205,M210)</f>
        <v>14.04999999979707</v>
      </c>
      <c r="N215" s="300">
        <f t="shared" si="555"/>
        <v>88.43599999384503</v>
      </c>
      <c r="O215" s="300">
        <f t="shared" ref="O215:O216" si="556">SUM(L215:N215)</f>
        <v>243.01199999123173</v>
      </c>
      <c r="P215" s="300"/>
      <c r="Q215" s="300">
        <f>SUM(Q200,Q205,Q210)</f>
        <v>154.18599999776913</v>
      </c>
      <c r="R215" s="300">
        <f t="shared" ref="R215:S215" si="557">SUM(R200,R205,R210)</f>
        <v>15.897999999747952</v>
      </c>
      <c r="S215" s="300">
        <f t="shared" si="557"/>
        <v>99.255999985725168</v>
      </c>
      <c r="T215" s="300">
        <f t="shared" ref="T215:T216" si="558">SUM(Q215:S215)</f>
        <v>269.33999998324225</v>
      </c>
      <c r="U215" s="300"/>
      <c r="V215" s="300">
        <f>SUM(V200,V205,V210)</f>
        <v>171.90299999678615</v>
      </c>
      <c r="W215" s="300">
        <f t="shared" ref="W215:X215" si="559">SUM(W200,W205,W210)</f>
        <v>18.967999999541405</v>
      </c>
      <c r="X215" s="300">
        <f t="shared" si="559"/>
        <v>116.79599998502971</v>
      </c>
      <c r="Y215" s="300">
        <f t="shared" ref="Y215:Y216" si="560">SUM(V215:X215)</f>
        <v>307.66699998135726</v>
      </c>
    </row>
    <row r="216" spans="1:25" x14ac:dyDescent="0.2">
      <c r="A216" s="264" t="s">
        <v>354</v>
      </c>
      <c r="B216" s="301">
        <f>SUM(B214:B215)</f>
        <v>125.41200000169488</v>
      </c>
      <c r="C216" s="301">
        <f t="shared" ref="C216" si="561">SUM(C214:C215)</f>
        <v>18.645000000348301</v>
      </c>
      <c r="D216" s="301">
        <f t="shared" ref="D216" si="562">SUM(D214:D215)</f>
        <v>145.3769999985347</v>
      </c>
      <c r="E216" s="301">
        <f t="shared" si="552"/>
        <v>289.43400000057784</v>
      </c>
      <c r="F216" s="301"/>
      <c r="G216" s="301">
        <f>SUM(G214:G215)</f>
        <v>171.75300000160536</v>
      </c>
      <c r="H216" s="301">
        <f t="shared" ref="H216" si="563">SUM(H214:H215)</f>
        <v>27.891000000453026</v>
      </c>
      <c r="I216" s="301">
        <f t="shared" ref="I216" si="564">SUM(I214:I215)</f>
        <v>120.07100000522743</v>
      </c>
      <c r="J216" s="301">
        <f t="shared" si="554"/>
        <v>319.71500000728582</v>
      </c>
      <c r="K216" s="301"/>
      <c r="L216" s="301">
        <f>SUM(L214:L215)</f>
        <v>172.95999999737654</v>
      </c>
      <c r="M216" s="301">
        <f t="shared" ref="M216" si="565">SUM(M214:M215)</f>
        <v>31.703999999656038</v>
      </c>
      <c r="N216" s="301">
        <f t="shared" ref="N216" si="566">SUM(N214:N215)</f>
        <v>93.138999993719864</v>
      </c>
      <c r="O216" s="301">
        <f t="shared" si="556"/>
        <v>297.80299999075248</v>
      </c>
      <c r="P216" s="301"/>
      <c r="Q216" s="301">
        <f>SUM(Q214:Q215)</f>
        <v>190.38399999857759</v>
      </c>
      <c r="R216" s="301">
        <f t="shared" ref="R216" si="567">SUM(R214:R215)</f>
        <v>35.730999999557824</v>
      </c>
      <c r="S216" s="301">
        <f t="shared" ref="S216" si="568">SUM(S214:S215)</f>
        <v>104.52799998561447</v>
      </c>
      <c r="T216" s="301">
        <f t="shared" si="558"/>
        <v>330.64299998374992</v>
      </c>
      <c r="U216" s="301"/>
      <c r="V216" s="301">
        <f>SUM(V214:V215)</f>
        <v>214.14699999678379</v>
      </c>
      <c r="W216" s="301">
        <f t="shared" ref="W216" si="569">SUM(W214:W215)</f>
        <v>42.371999999258989</v>
      </c>
      <c r="X216" s="301">
        <f t="shared" ref="X216" si="570">SUM(X214:X215)</f>
        <v>123.12299998494642</v>
      </c>
      <c r="Y216" s="301">
        <f t="shared" si="560"/>
        <v>379.64199998098923</v>
      </c>
    </row>
    <row r="217" spans="1:25" x14ac:dyDescent="0.2">
      <c r="C217" s="263"/>
    </row>
    <row r="218" spans="1:25" x14ac:dyDescent="0.2">
      <c r="C218" s="263"/>
    </row>
    <row r="219" spans="1:25" x14ac:dyDescent="0.2">
      <c r="C219" s="263"/>
    </row>
    <row r="220" spans="1:25" ht="15" x14ac:dyDescent="0.25">
      <c r="A220" s="265" t="str">
        <f>"Industry 9 : "&amp; name!B12</f>
        <v>Industry 9 : Wholesale and retail trade</v>
      </c>
      <c r="B220" s="371">
        <f>$B$5</f>
        <v>2015</v>
      </c>
      <c r="C220" s="371"/>
      <c r="D220" s="371"/>
      <c r="E220" s="371"/>
      <c r="F220" s="320"/>
      <c r="G220" s="371">
        <f>$G$5</f>
        <v>2019</v>
      </c>
      <c r="H220" s="371"/>
      <c r="I220" s="371"/>
      <c r="J220" s="371"/>
      <c r="K220" s="320"/>
      <c r="L220" s="371">
        <f>$L$5</f>
        <v>2020</v>
      </c>
      <c r="M220" s="371"/>
      <c r="N220" s="371"/>
      <c r="O220" s="371"/>
      <c r="P220" s="318"/>
      <c r="Q220" s="371">
        <f>$Q$5</f>
        <v>2025</v>
      </c>
      <c r="R220" s="371"/>
      <c r="S220" s="371"/>
      <c r="T220" s="371"/>
      <c r="U220" s="320"/>
      <c r="V220" s="371">
        <f>$V$5</f>
        <v>2035</v>
      </c>
      <c r="W220" s="371"/>
      <c r="X220" s="371"/>
      <c r="Y220" s="371"/>
    </row>
    <row r="221" spans="1:25" x14ac:dyDescent="0.2">
      <c r="A221" s="264"/>
      <c r="B221" s="268" t="str">
        <f>$B$6</f>
        <v>FT</v>
      </c>
      <c r="C221" s="268" t="str">
        <f>$C$6</f>
        <v>PT</v>
      </c>
      <c r="D221" s="268" t="str">
        <f>$D$6</f>
        <v>SE</v>
      </c>
      <c r="E221" s="268" t="str">
        <f>$E$6</f>
        <v>Total</v>
      </c>
      <c r="F221" s="268"/>
      <c r="G221" s="268" t="str">
        <f>$B$6</f>
        <v>FT</v>
      </c>
      <c r="H221" s="268" t="str">
        <f>$C$6</f>
        <v>PT</v>
      </c>
      <c r="I221" s="268" t="str">
        <f>$D$6</f>
        <v>SE</v>
      </c>
      <c r="J221" s="268" t="str">
        <f>$E$6</f>
        <v>Total</v>
      </c>
      <c r="K221" s="268"/>
      <c r="L221" s="268" t="str">
        <f>$L$6</f>
        <v>FT</v>
      </c>
      <c r="M221" s="268" t="str">
        <f>$M$6</f>
        <v>PT</v>
      </c>
      <c r="N221" s="268" t="str">
        <f>$N$6</f>
        <v>SE</v>
      </c>
      <c r="O221" s="268" t="str">
        <f>$O$6</f>
        <v>Total</v>
      </c>
      <c r="P221" s="268"/>
      <c r="Q221" s="268" t="str">
        <f>$L$6</f>
        <v>FT</v>
      </c>
      <c r="R221" s="268" t="str">
        <f>$M$6</f>
        <v>PT</v>
      </c>
      <c r="S221" s="268" t="str">
        <f>$N$6</f>
        <v>SE</v>
      </c>
      <c r="T221" s="268" t="str">
        <f>$O$6</f>
        <v>Total</v>
      </c>
      <c r="U221" s="268"/>
      <c r="V221" s="268" t="str">
        <f>$V$6</f>
        <v>FT</v>
      </c>
      <c r="W221" s="268" t="str">
        <f>$W$6</f>
        <v>PT</v>
      </c>
      <c r="X221" s="268" t="str">
        <f>$X$6</f>
        <v>SE</v>
      </c>
      <c r="Y221" s="268" t="str">
        <f>$Y$6</f>
        <v>Total</v>
      </c>
    </row>
    <row r="222" spans="1:25" x14ac:dyDescent="0.2">
      <c r="C222" s="319"/>
      <c r="D222" s="319"/>
      <c r="E222" s="319"/>
      <c r="F222" s="319"/>
      <c r="G222" s="319"/>
      <c r="H222" s="319"/>
      <c r="I222" s="319"/>
      <c r="J222" s="319"/>
      <c r="K222" s="319"/>
      <c r="L222" s="319"/>
      <c r="M222" s="319"/>
      <c r="N222" s="319"/>
      <c r="O222" s="319"/>
      <c r="P222" s="319"/>
      <c r="Q222" s="319"/>
      <c r="R222" s="319"/>
      <c r="S222" s="319"/>
      <c r="T222" s="319"/>
      <c r="U222" s="319"/>
      <c r="V222" s="319"/>
      <c r="W222" s="319"/>
      <c r="X222" s="319"/>
      <c r="Y222" s="319"/>
    </row>
    <row r="223" spans="1:25" x14ac:dyDescent="0.2">
      <c r="A223" s="261" t="str">
        <f>name!A34</f>
        <v>Motor vehicle trade</v>
      </c>
      <c r="C223" s="263"/>
    </row>
    <row r="224" spans="1:25" x14ac:dyDescent="0.2">
      <c r="A224" s="260" t="s">
        <v>356</v>
      </c>
      <c r="B224" s="300">
        <v>5.5380000000426506</v>
      </c>
      <c r="C224" s="300">
        <v>3.487000000151169</v>
      </c>
      <c r="D224" s="300">
        <v>0.31900000000661938</v>
      </c>
      <c r="E224" s="300">
        <f>SUM(B224:D224)</f>
        <v>9.34400000020044</v>
      </c>
      <c r="F224" s="300"/>
      <c r="G224" s="300">
        <v>6.6880000000306836</v>
      </c>
      <c r="H224" s="300">
        <v>5.3000000001919867</v>
      </c>
      <c r="I224" s="300">
        <v>0.40100000000749181</v>
      </c>
      <c r="J224" s="300">
        <f>SUM(G224:I224)</f>
        <v>12.389000000230162</v>
      </c>
      <c r="K224" s="300"/>
      <c r="L224" s="300">
        <v>6.4669999998988592</v>
      </c>
      <c r="M224" s="300">
        <v>4.9730000000254755</v>
      </c>
      <c r="N224" s="300">
        <v>0.46299999999179908</v>
      </c>
      <c r="O224" s="300">
        <f>SUM(L224:N224)</f>
        <v>11.902999999916135</v>
      </c>
      <c r="P224" s="300"/>
      <c r="Q224" s="300">
        <v>6.5119999999662666</v>
      </c>
      <c r="R224" s="300">
        <v>4.5700000000765479</v>
      </c>
      <c r="S224" s="300">
        <v>0.44399999999659245</v>
      </c>
      <c r="T224" s="300">
        <f>SUM(Q224:S224)</f>
        <v>11.526000000039407</v>
      </c>
      <c r="U224" s="300"/>
      <c r="V224" s="300">
        <v>6.9759999999257101</v>
      </c>
      <c r="W224" s="300">
        <v>4.0359999999501142</v>
      </c>
      <c r="X224" s="300">
        <v>0.43399999999799049</v>
      </c>
      <c r="Y224" s="300">
        <f>SUM(V224:X224)</f>
        <v>11.445999999873814</v>
      </c>
    </row>
    <row r="225" spans="1:25" x14ac:dyDescent="0.2">
      <c r="A225" s="260" t="s">
        <v>355</v>
      </c>
      <c r="B225" s="300">
        <v>24.994000000544304</v>
      </c>
      <c r="C225" s="300">
        <v>4.8790000001791665</v>
      </c>
      <c r="D225" s="300">
        <v>4.411000000132197</v>
      </c>
      <c r="E225" s="300">
        <f t="shared" ref="E225:E226" si="571">SUM(B225:D225)</f>
        <v>34.28400000085567</v>
      </c>
      <c r="F225" s="300"/>
      <c r="G225" s="300">
        <v>31.021000000503836</v>
      </c>
      <c r="H225" s="300">
        <v>5.2740000001550813</v>
      </c>
      <c r="I225" s="300">
        <v>4.343000000148189</v>
      </c>
      <c r="J225" s="300">
        <f t="shared" ref="J225:J226" si="572">SUM(G225:I225)</f>
        <v>40.638000000807104</v>
      </c>
      <c r="K225" s="300"/>
      <c r="L225" s="300">
        <v>30.474999999456653</v>
      </c>
      <c r="M225" s="300">
        <v>6.3669999998648414</v>
      </c>
      <c r="N225" s="300">
        <v>1.8799999999489501</v>
      </c>
      <c r="O225" s="300">
        <f t="shared" ref="O225:O226" si="573">SUM(L225:N225)</f>
        <v>38.721999999270444</v>
      </c>
      <c r="P225" s="300"/>
      <c r="Q225" s="300">
        <v>29.787999999560093</v>
      </c>
      <c r="R225" s="300">
        <v>6.1599999998871366</v>
      </c>
      <c r="S225" s="300">
        <v>1.836999999925877</v>
      </c>
      <c r="T225" s="300">
        <f t="shared" ref="T225:T226" si="574">SUM(Q225:S225)</f>
        <v>37.784999999373106</v>
      </c>
      <c r="U225" s="300"/>
      <c r="V225" s="300">
        <v>30.164999999612043</v>
      </c>
      <c r="W225" s="300">
        <v>6.0969999998732929</v>
      </c>
      <c r="X225" s="300">
        <v>1.8649999999422922</v>
      </c>
      <c r="Y225" s="300">
        <f t="shared" ref="Y225:Y226" si="575">SUM(V225:X225)</f>
        <v>38.126999999427625</v>
      </c>
    </row>
    <row r="226" spans="1:25" x14ac:dyDescent="0.2">
      <c r="A226" s="260" t="s">
        <v>354</v>
      </c>
      <c r="B226" s="300">
        <f>SUM(B224:B225)</f>
        <v>30.532000000586955</v>
      </c>
      <c r="C226" s="300">
        <f t="shared" ref="C226" si="576">SUM(C224:C225)</f>
        <v>8.3660000003303345</v>
      </c>
      <c r="D226" s="300">
        <f t="shared" ref="D226" si="577">SUM(D224:D225)</f>
        <v>4.7300000001388165</v>
      </c>
      <c r="E226" s="300">
        <f t="shared" si="571"/>
        <v>43.628000001056108</v>
      </c>
      <c r="F226" s="300"/>
      <c r="G226" s="300">
        <f>SUM(G224:G225)</f>
        <v>37.709000000534516</v>
      </c>
      <c r="H226" s="300">
        <f t="shared" ref="H226" si="578">SUM(H224:H225)</f>
        <v>10.574000000347068</v>
      </c>
      <c r="I226" s="300">
        <f t="shared" ref="I226" si="579">SUM(I224:I225)</f>
        <v>4.7440000001556806</v>
      </c>
      <c r="J226" s="300">
        <f t="shared" si="572"/>
        <v>53.027000001037266</v>
      </c>
      <c r="K226" s="300"/>
      <c r="L226" s="300">
        <f>SUM(L224:L225)</f>
        <v>36.941999999355509</v>
      </c>
      <c r="M226" s="300">
        <f t="shared" ref="M226" si="580">SUM(M224:M225)</f>
        <v>11.339999999890317</v>
      </c>
      <c r="N226" s="300">
        <f t="shared" ref="N226" si="581">SUM(N224:N225)</f>
        <v>2.3429999999407491</v>
      </c>
      <c r="O226" s="300">
        <f t="shared" si="573"/>
        <v>50.624999999186578</v>
      </c>
      <c r="P226" s="300"/>
      <c r="Q226" s="300">
        <f>SUM(Q224:Q225)</f>
        <v>36.299999999526356</v>
      </c>
      <c r="R226" s="300">
        <f t="shared" ref="R226" si="582">SUM(R224:R225)</f>
        <v>10.729999999963685</v>
      </c>
      <c r="S226" s="300">
        <f t="shared" ref="S226" si="583">SUM(S224:S225)</f>
        <v>2.2809999999224697</v>
      </c>
      <c r="T226" s="300">
        <f t="shared" si="574"/>
        <v>49.310999999412516</v>
      </c>
      <c r="U226" s="300"/>
      <c r="V226" s="300">
        <f>SUM(V224:V225)</f>
        <v>37.140999999537755</v>
      </c>
      <c r="W226" s="300">
        <f t="shared" ref="W226" si="584">SUM(W224:W225)</f>
        <v>10.132999999823408</v>
      </c>
      <c r="X226" s="300">
        <f t="shared" ref="X226" si="585">SUM(X224:X225)</f>
        <v>2.2989999999402828</v>
      </c>
      <c r="Y226" s="300">
        <f t="shared" si="575"/>
        <v>49.572999999301452</v>
      </c>
    </row>
    <row r="227" spans="1:25" x14ac:dyDescent="0.2">
      <c r="C227" s="319"/>
      <c r="D227" s="319"/>
      <c r="E227" s="319"/>
      <c r="F227" s="319"/>
      <c r="G227" s="319"/>
      <c r="H227" s="319"/>
      <c r="I227" s="319"/>
      <c r="J227" s="319"/>
      <c r="K227" s="319"/>
      <c r="L227" s="319"/>
      <c r="M227" s="319"/>
      <c r="N227" s="319"/>
      <c r="O227" s="319"/>
      <c r="P227" s="319"/>
      <c r="Q227" s="319"/>
      <c r="R227" s="319"/>
      <c r="S227" s="319"/>
      <c r="T227" s="319"/>
      <c r="U227" s="319"/>
      <c r="V227" s="319"/>
      <c r="W227" s="319"/>
      <c r="X227" s="319"/>
      <c r="Y227" s="319"/>
    </row>
    <row r="228" spans="1:25" x14ac:dyDescent="0.2">
      <c r="A228" s="261" t="str">
        <f>name!A35</f>
        <v>Wholesale trade</v>
      </c>
      <c r="C228" s="263"/>
    </row>
    <row r="229" spans="1:25" x14ac:dyDescent="0.2">
      <c r="A229" s="260" t="s">
        <v>356</v>
      </c>
      <c r="B229" s="300">
        <v>40.587000000203354</v>
      </c>
      <c r="C229" s="300">
        <v>19.295000000673721</v>
      </c>
      <c r="D229" s="300">
        <v>2.5700000000554888</v>
      </c>
      <c r="E229" s="300">
        <f>SUM(B229:D229)</f>
        <v>62.452000000932557</v>
      </c>
      <c r="F229" s="300"/>
      <c r="G229" s="300">
        <v>51.293999999976457</v>
      </c>
      <c r="H229" s="300">
        <v>19.234000000568372</v>
      </c>
      <c r="I229" s="300">
        <v>1.5620000000282983</v>
      </c>
      <c r="J229" s="300">
        <f>SUM(G229:I229)</f>
        <v>72.090000000573127</v>
      </c>
      <c r="K229" s="300"/>
      <c r="L229" s="300">
        <v>49.928999999003615</v>
      </c>
      <c r="M229" s="300">
        <v>19.709999999979857</v>
      </c>
      <c r="N229" s="300">
        <v>1.759999999968936</v>
      </c>
      <c r="O229" s="300">
        <f>SUM(L229:N229)</f>
        <v>71.398999998952419</v>
      </c>
      <c r="P229" s="300"/>
      <c r="Q229" s="300">
        <v>51.463000000400811</v>
      </c>
      <c r="R229" s="300">
        <v>18.555000000132381</v>
      </c>
      <c r="S229" s="300">
        <v>1.718999999988339</v>
      </c>
      <c r="T229" s="300">
        <f>SUM(Q229:S229)</f>
        <v>71.737000000521533</v>
      </c>
      <c r="U229" s="300"/>
      <c r="V229" s="300">
        <v>56.138999999406224</v>
      </c>
      <c r="W229" s="300">
        <v>16.84499999980855</v>
      </c>
      <c r="X229" s="300">
        <v>1.6999999999934596</v>
      </c>
      <c r="Y229" s="300">
        <f>SUM(V229:X229)</f>
        <v>74.68399999920824</v>
      </c>
    </row>
    <row r="230" spans="1:25" x14ac:dyDescent="0.2">
      <c r="A230" s="260" t="s">
        <v>355</v>
      </c>
      <c r="B230" s="300">
        <v>75.062000001397863</v>
      </c>
      <c r="C230" s="300">
        <v>8.3860000002822037</v>
      </c>
      <c r="D230" s="300">
        <v>6.99100000022767</v>
      </c>
      <c r="E230" s="300">
        <f t="shared" ref="E230:E231" si="586">SUM(B230:D230)</f>
        <v>90.439000001907743</v>
      </c>
      <c r="F230" s="300"/>
      <c r="G230" s="300">
        <v>84.524000001177683</v>
      </c>
      <c r="H230" s="300">
        <v>8.4960000002142841</v>
      </c>
      <c r="I230" s="300">
        <v>4.2460000000900848</v>
      </c>
      <c r="J230" s="300">
        <f t="shared" ref="J230:J231" si="587">SUM(G230:I230)</f>
        <v>97.266000001482041</v>
      </c>
      <c r="K230" s="300"/>
      <c r="L230" s="300">
        <v>86.433999998636452</v>
      </c>
      <c r="M230" s="300">
        <v>8.3499999998504251</v>
      </c>
      <c r="N230" s="300">
        <v>3.20699999998092</v>
      </c>
      <c r="O230" s="300">
        <f t="shared" ref="O230:O231" si="588">SUM(L230:N230)</f>
        <v>97.9909999984678</v>
      </c>
      <c r="P230" s="300"/>
      <c r="Q230" s="300">
        <v>83.447999998963084</v>
      </c>
      <c r="R230" s="300">
        <v>8.1159999998746173</v>
      </c>
      <c r="S230" s="300">
        <v>3.1589999999938199</v>
      </c>
      <c r="T230" s="300">
        <f t="shared" ref="T230:T231" si="589">SUM(Q230:S230)</f>
        <v>94.722999998831526</v>
      </c>
      <c r="U230" s="300"/>
      <c r="V230" s="300">
        <v>80.372999999088108</v>
      </c>
      <c r="W230" s="300">
        <v>7.9179999998884814</v>
      </c>
      <c r="X230" s="300">
        <v>3.1749999999901686</v>
      </c>
      <c r="Y230" s="300">
        <f t="shared" ref="Y230:Y231" si="590">SUM(V230:X230)</f>
        <v>91.465999998966751</v>
      </c>
    </row>
    <row r="231" spans="1:25" x14ac:dyDescent="0.2">
      <c r="A231" s="260" t="s">
        <v>354</v>
      </c>
      <c r="B231" s="300">
        <f>SUM(B229:B230)</f>
        <v>115.64900000160122</v>
      </c>
      <c r="C231" s="300">
        <f t="shared" ref="C231" si="591">SUM(C229:C230)</f>
        <v>27.681000000955926</v>
      </c>
      <c r="D231" s="300">
        <f t="shared" ref="D231" si="592">SUM(D229:D230)</f>
        <v>9.5610000002831583</v>
      </c>
      <c r="E231" s="300">
        <f t="shared" si="586"/>
        <v>152.89100000284031</v>
      </c>
      <c r="F231" s="300"/>
      <c r="G231" s="300">
        <f>SUM(G229:G230)</f>
        <v>135.81800000115413</v>
      </c>
      <c r="H231" s="300">
        <f t="shared" ref="H231" si="593">SUM(H229:H230)</f>
        <v>27.730000000782656</v>
      </c>
      <c r="I231" s="300">
        <f t="shared" ref="I231" si="594">SUM(I229:I230)</f>
        <v>5.8080000001183834</v>
      </c>
      <c r="J231" s="300">
        <f t="shared" si="587"/>
        <v>169.35600000205517</v>
      </c>
      <c r="K231" s="300"/>
      <c r="L231" s="300">
        <f>SUM(L229:L230)</f>
        <v>136.36299999764006</v>
      </c>
      <c r="M231" s="300">
        <f t="shared" ref="M231" si="595">SUM(M229:M230)</f>
        <v>28.059999999830282</v>
      </c>
      <c r="N231" s="300">
        <f t="shared" ref="N231" si="596">SUM(N229:N230)</f>
        <v>4.9669999999498557</v>
      </c>
      <c r="O231" s="300">
        <f t="shared" si="588"/>
        <v>169.3899999974202</v>
      </c>
      <c r="P231" s="300"/>
      <c r="Q231" s="300">
        <f>SUM(Q229:Q230)</f>
        <v>134.9109999993639</v>
      </c>
      <c r="R231" s="300">
        <f t="shared" ref="R231" si="597">SUM(R229:R230)</f>
        <v>26.671000000006998</v>
      </c>
      <c r="S231" s="300">
        <f t="shared" ref="S231" si="598">SUM(S229:S230)</f>
        <v>4.8779999999821584</v>
      </c>
      <c r="T231" s="300">
        <f t="shared" si="589"/>
        <v>166.45999999935307</v>
      </c>
      <c r="U231" s="300"/>
      <c r="V231" s="300">
        <f>SUM(V229:V230)</f>
        <v>136.51199999849433</v>
      </c>
      <c r="W231" s="300">
        <f t="shared" ref="W231" si="599">SUM(W229:W230)</f>
        <v>24.76299999969703</v>
      </c>
      <c r="X231" s="300">
        <f t="shared" ref="X231" si="600">SUM(X229:X230)</f>
        <v>4.8749999999836282</v>
      </c>
      <c r="Y231" s="300">
        <f t="shared" si="590"/>
        <v>166.14999999817499</v>
      </c>
    </row>
    <row r="232" spans="1:25" x14ac:dyDescent="0.2">
      <c r="C232" s="319"/>
      <c r="D232" s="319"/>
      <c r="E232" s="319"/>
      <c r="F232" s="319"/>
      <c r="G232" s="319"/>
      <c r="H232" s="319"/>
      <c r="I232" s="319"/>
      <c r="J232" s="319"/>
      <c r="K232" s="319"/>
      <c r="L232" s="319"/>
      <c r="M232" s="319"/>
      <c r="N232" s="319"/>
      <c r="O232" s="319"/>
      <c r="P232" s="319"/>
      <c r="Q232" s="319"/>
      <c r="R232" s="319"/>
      <c r="S232" s="319"/>
      <c r="T232" s="319"/>
      <c r="U232" s="319"/>
      <c r="V232" s="319"/>
      <c r="W232" s="319"/>
      <c r="X232" s="319"/>
      <c r="Y232" s="319"/>
    </row>
    <row r="233" spans="1:25" x14ac:dyDescent="0.2">
      <c r="A233" s="261" t="str">
        <f>name!A36</f>
        <v>Retail trade</v>
      </c>
      <c r="C233" s="263"/>
    </row>
    <row r="234" spans="1:25" x14ac:dyDescent="0.2">
      <c r="A234" s="260" t="s">
        <v>356</v>
      </c>
      <c r="B234" s="300">
        <v>106.00700000056074</v>
      </c>
      <c r="C234" s="300">
        <v>146.96300000889096</v>
      </c>
      <c r="D234" s="300">
        <v>11.758000000200424</v>
      </c>
      <c r="E234" s="300">
        <f>SUM(B234:D234)</f>
        <v>264.72800000965213</v>
      </c>
      <c r="F234" s="300"/>
      <c r="G234" s="300">
        <v>109.26200000003503</v>
      </c>
      <c r="H234" s="300">
        <v>120.69000000595621</v>
      </c>
      <c r="I234" s="300">
        <v>6.6070000000989477</v>
      </c>
      <c r="J234" s="300">
        <f>SUM(G234:I234)</f>
        <v>236.55900000609017</v>
      </c>
      <c r="K234" s="300"/>
      <c r="L234" s="300">
        <v>104.56599999817348</v>
      </c>
      <c r="M234" s="300">
        <v>123.14300000242969</v>
      </c>
      <c r="N234" s="300">
        <v>9.3499999998726313</v>
      </c>
      <c r="O234" s="300">
        <f>SUM(L234:N234)</f>
        <v>237.05900000047581</v>
      </c>
      <c r="P234" s="300"/>
      <c r="Q234" s="300">
        <v>106.20200000068009</v>
      </c>
      <c r="R234" s="300">
        <v>117.54600000449662</v>
      </c>
      <c r="S234" s="300">
        <v>9.6169999999769509</v>
      </c>
      <c r="T234" s="300">
        <f>SUM(Q234:S234)</f>
        <v>233.36500000515366</v>
      </c>
      <c r="U234" s="300"/>
      <c r="V234" s="300">
        <v>110.67699999895166</v>
      </c>
      <c r="W234" s="300">
        <v>108.02799999880486</v>
      </c>
      <c r="X234" s="300">
        <v>10.263999999980294</v>
      </c>
      <c r="Y234" s="300">
        <f>SUM(V234:X234)</f>
        <v>228.9689999977368</v>
      </c>
    </row>
    <row r="235" spans="1:25" x14ac:dyDescent="0.2">
      <c r="A235" s="260" t="s">
        <v>355</v>
      </c>
      <c r="B235" s="300">
        <v>108.7940000024398</v>
      </c>
      <c r="C235" s="300">
        <v>74.985000002740179</v>
      </c>
      <c r="D235" s="300">
        <v>20.920000000758467</v>
      </c>
      <c r="E235" s="300">
        <f t="shared" ref="E235:E236" si="601">SUM(B235:D235)</f>
        <v>204.69900000593844</v>
      </c>
      <c r="F235" s="300"/>
      <c r="G235" s="300">
        <v>107.18900000181019</v>
      </c>
      <c r="H235" s="300">
        <v>61.575000001851159</v>
      </c>
      <c r="I235" s="300">
        <v>10.731000000277202</v>
      </c>
      <c r="J235" s="300">
        <f t="shared" ref="J235:J236" si="602">SUM(G235:I235)</f>
        <v>179.49500000393854</v>
      </c>
      <c r="K235" s="300"/>
      <c r="L235" s="300">
        <v>108.78399999803058</v>
      </c>
      <c r="M235" s="300">
        <v>66.426999998532992</v>
      </c>
      <c r="N235" s="300">
        <v>6.4059999999546626</v>
      </c>
      <c r="O235" s="300">
        <f t="shared" ref="O235:O236" si="603">SUM(L235:N235)</f>
        <v>181.61699999651825</v>
      </c>
      <c r="P235" s="300"/>
      <c r="Q235" s="300">
        <v>110.60899999835456</v>
      </c>
      <c r="R235" s="300">
        <v>65.837999999090741</v>
      </c>
      <c r="S235" s="300">
        <v>6.3609999999992661</v>
      </c>
      <c r="T235" s="300">
        <f t="shared" ref="T235:T236" si="604">SUM(Q235:S235)</f>
        <v>182.80799999744457</v>
      </c>
      <c r="U235" s="300"/>
      <c r="V235" s="300">
        <v>115.48399999823201</v>
      </c>
      <c r="W235" s="300">
        <v>65.490999999352198</v>
      </c>
      <c r="X235" s="300">
        <v>6.3579999999992927</v>
      </c>
      <c r="Y235" s="300">
        <f t="shared" ref="Y235:Y236" si="605">SUM(V235:X235)</f>
        <v>187.3329999975835</v>
      </c>
    </row>
    <row r="236" spans="1:25" x14ac:dyDescent="0.2">
      <c r="A236" s="260" t="s">
        <v>354</v>
      </c>
      <c r="B236" s="300">
        <f>SUM(B234:B235)</f>
        <v>214.80100000300052</v>
      </c>
      <c r="C236" s="300">
        <f t="shared" ref="C236" si="606">SUM(C234:C235)</f>
        <v>221.94800001163114</v>
      </c>
      <c r="D236" s="300">
        <f t="shared" ref="D236" si="607">SUM(D234:D235)</f>
        <v>32.678000000958889</v>
      </c>
      <c r="E236" s="300">
        <f t="shared" si="601"/>
        <v>469.42700001559052</v>
      </c>
      <c r="F236" s="300"/>
      <c r="G236" s="300">
        <f>SUM(G234:G235)</f>
        <v>216.45100000184522</v>
      </c>
      <c r="H236" s="300">
        <f t="shared" ref="H236" si="608">SUM(H234:H235)</f>
        <v>182.26500000780737</v>
      </c>
      <c r="I236" s="300">
        <f t="shared" ref="I236" si="609">SUM(I234:I235)</f>
        <v>17.338000000376148</v>
      </c>
      <c r="J236" s="300">
        <f t="shared" si="602"/>
        <v>416.05400001002874</v>
      </c>
      <c r="K236" s="300"/>
      <c r="L236" s="300">
        <f>SUM(L234:L235)</f>
        <v>213.34999999620408</v>
      </c>
      <c r="M236" s="300">
        <f t="shared" ref="M236" si="610">SUM(M234:M235)</f>
        <v>189.57000000096269</v>
      </c>
      <c r="N236" s="300">
        <f t="shared" ref="N236" si="611">SUM(N234:N235)</f>
        <v>15.755999999827294</v>
      </c>
      <c r="O236" s="300">
        <f t="shared" si="603"/>
        <v>418.67599999699405</v>
      </c>
      <c r="P236" s="300"/>
      <c r="Q236" s="300">
        <f>SUM(Q234:Q235)</f>
        <v>216.81099999903466</v>
      </c>
      <c r="R236" s="300">
        <f t="shared" ref="R236" si="612">SUM(R234:R235)</f>
        <v>183.38400000358735</v>
      </c>
      <c r="S236" s="300">
        <f t="shared" ref="S236" si="613">SUM(S234:S235)</f>
        <v>15.977999999976216</v>
      </c>
      <c r="T236" s="300">
        <f t="shared" si="604"/>
        <v>416.1730000025982</v>
      </c>
      <c r="U236" s="300"/>
      <c r="V236" s="300">
        <f>SUM(V234:V235)</f>
        <v>226.16099999718367</v>
      </c>
      <c r="W236" s="300">
        <f t="shared" ref="W236" si="614">SUM(W234:W235)</f>
        <v>173.51899999815706</v>
      </c>
      <c r="X236" s="300">
        <f t="shared" ref="X236" si="615">SUM(X234:X235)</f>
        <v>16.621999999979586</v>
      </c>
      <c r="Y236" s="300">
        <f t="shared" si="605"/>
        <v>416.30199999532033</v>
      </c>
    </row>
    <row r="237" spans="1:25" x14ac:dyDescent="0.2">
      <c r="C237" s="263"/>
    </row>
    <row r="238" spans="1:25" x14ac:dyDescent="0.2">
      <c r="A238" s="261" t="s">
        <v>367</v>
      </c>
      <c r="C238" s="263"/>
    </row>
    <row r="239" spans="1:25" x14ac:dyDescent="0.2">
      <c r="A239" s="260" t="s">
        <v>356</v>
      </c>
      <c r="B239" s="300">
        <f>SUM(B224,B229,B234)</f>
        <v>152.13200000080673</v>
      </c>
      <c r="C239" s="300">
        <f t="shared" ref="C239:D239" si="616">SUM(C224,C229,C234)</f>
        <v>169.74500000971585</v>
      </c>
      <c r="D239" s="300">
        <f t="shared" si="616"/>
        <v>14.647000000262532</v>
      </c>
      <c r="E239" s="300">
        <f>SUM(B239:D239)</f>
        <v>336.52400001078513</v>
      </c>
      <c r="F239" s="300"/>
      <c r="G239" s="300">
        <f>SUM(G224,G229,G234)</f>
        <v>167.24400000004218</v>
      </c>
      <c r="H239" s="300">
        <f t="shared" ref="H239:I239" si="617">SUM(H224,H229,H234)</f>
        <v>145.22400000671655</v>
      </c>
      <c r="I239" s="300">
        <f t="shared" si="617"/>
        <v>8.570000000134737</v>
      </c>
      <c r="J239" s="300">
        <f>SUM(G239:I239)</f>
        <v>321.03800000689347</v>
      </c>
      <c r="K239" s="300"/>
      <c r="L239" s="300">
        <f>SUM(L224,L229,L234)</f>
        <v>160.96199999707596</v>
      </c>
      <c r="M239" s="300">
        <f t="shared" ref="M239:N239" si="618">SUM(M224,M229,M234)</f>
        <v>147.82600000243502</v>
      </c>
      <c r="N239" s="300">
        <f t="shared" si="618"/>
        <v>11.572999999833367</v>
      </c>
      <c r="O239" s="300">
        <f>SUM(L239:N239)</f>
        <v>320.36099999934436</v>
      </c>
      <c r="P239" s="300"/>
      <c r="Q239" s="300">
        <f>SUM(Q224,Q229,Q234)</f>
        <v>164.17700000104716</v>
      </c>
      <c r="R239" s="300">
        <f t="shared" ref="R239:S239" si="619">SUM(R224,R229,R234)</f>
        <v>140.67100000470555</v>
      </c>
      <c r="S239" s="300">
        <f t="shared" si="619"/>
        <v>11.779999999961882</v>
      </c>
      <c r="T239" s="300">
        <f>SUM(Q239:S239)</f>
        <v>316.62800000571463</v>
      </c>
      <c r="U239" s="300"/>
      <c r="V239" s="300">
        <f>SUM(V224,V229,V234)</f>
        <v>173.79199999828359</v>
      </c>
      <c r="W239" s="300">
        <f t="shared" ref="W239:X239" si="620">SUM(W224,W229,W234)</f>
        <v>128.90899999856353</v>
      </c>
      <c r="X239" s="300">
        <f t="shared" si="620"/>
        <v>12.397999999971745</v>
      </c>
      <c r="Y239" s="300">
        <f>SUM(V239:X239)</f>
        <v>315.09899999681886</v>
      </c>
    </row>
    <row r="240" spans="1:25" x14ac:dyDescent="0.2">
      <c r="A240" s="260" t="s">
        <v>355</v>
      </c>
      <c r="B240" s="300">
        <f>SUM(B225,B230,B235)</f>
        <v>208.85000000438197</v>
      </c>
      <c r="C240" s="300">
        <f t="shared" ref="C240:D240" si="621">SUM(C225,C230,C235)</f>
        <v>88.250000003201549</v>
      </c>
      <c r="D240" s="300">
        <f t="shared" si="621"/>
        <v>32.322000001118333</v>
      </c>
      <c r="E240" s="300">
        <f t="shared" ref="E240:E241" si="622">SUM(B240:D240)</f>
        <v>329.42200000870184</v>
      </c>
      <c r="F240" s="300"/>
      <c r="G240" s="300">
        <f>SUM(G225,G230,G235)</f>
        <v>222.7340000034917</v>
      </c>
      <c r="H240" s="300">
        <f t="shared" ref="H240:I240" si="623">SUM(H225,H230,H235)</f>
        <v>75.34500000222053</v>
      </c>
      <c r="I240" s="300">
        <f t="shared" si="623"/>
        <v>19.320000000515478</v>
      </c>
      <c r="J240" s="300">
        <f t="shared" ref="J240:J241" si="624">SUM(G240:I240)</f>
        <v>317.39900000622777</v>
      </c>
      <c r="K240" s="300"/>
      <c r="L240" s="300">
        <f>SUM(L225,L230,L235)</f>
        <v>225.69299999612369</v>
      </c>
      <c r="M240" s="300">
        <f t="shared" ref="M240:N240" si="625">SUM(M225,M230,M235)</f>
        <v>81.143999998248262</v>
      </c>
      <c r="N240" s="300">
        <f t="shared" si="625"/>
        <v>11.492999999884532</v>
      </c>
      <c r="O240" s="300">
        <f t="shared" ref="O240:O241" si="626">SUM(L240:N240)</f>
        <v>318.32999999425647</v>
      </c>
      <c r="P240" s="300"/>
      <c r="Q240" s="300">
        <f>SUM(Q225,Q230,Q235)</f>
        <v>223.84499999687773</v>
      </c>
      <c r="R240" s="300">
        <f t="shared" ref="R240:S240" si="627">SUM(R225,R230,R235)</f>
        <v>80.113999998852492</v>
      </c>
      <c r="S240" s="300">
        <f t="shared" si="627"/>
        <v>11.356999999918962</v>
      </c>
      <c r="T240" s="300">
        <f t="shared" ref="T240:T241" si="628">SUM(Q240:S240)</f>
        <v>315.31599999564918</v>
      </c>
      <c r="U240" s="300"/>
      <c r="V240" s="300">
        <f>SUM(V225,V230,V235)</f>
        <v>226.02199999693215</v>
      </c>
      <c r="W240" s="300">
        <f t="shared" ref="W240:X240" si="629">SUM(W225,W230,W235)</f>
        <v>79.505999999113968</v>
      </c>
      <c r="X240" s="300">
        <f t="shared" si="629"/>
        <v>11.397999999931752</v>
      </c>
      <c r="Y240" s="300">
        <f t="shared" ref="Y240:Y241" si="630">SUM(V240:X240)</f>
        <v>316.92599999597786</v>
      </c>
    </row>
    <row r="241" spans="1:25" x14ac:dyDescent="0.2">
      <c r="A241" s="264" t="s">
        <v>354</v>
      </c>
      <c r="B241" s="301">
        <f>SUM(B239:B240)</f>
        <v>360.9820000051887</v>
      </c>
      <c r="C241" s="301">
        <f t="shared" ref="C241" si="631">SUM(C239:C240)</f>
        <v>257.99500001291739</v>
      </c>
      <c r="D241" s="301">
        <f t="shared" ref="D241" si="632">SUM(D239:D240)</f>
        <v>46.969000001380863</v>
      </c>
      <c r="E241" s="301">
        <f t="shared" si="622"/>
        <v>665.94600001948697</v>
      </c>
      <c r="F241" s="301"/>
      <c r="G241" s="301">
        <f>SUM(G239:G240)</f>
        <v>389.97800000353391</v>
      </c>
      <c r="H241" s="301">
        <f t="shared" ref="H241" si="633">SUM(H239:H240)</f>
        <v>220.56900000893708</v>
      </c>
      <c r="I241" s="301">
        <f t="shared" ref="I241" si="634">SUM(I239:I240)</f>
        <v>27.890000000650215</v>
      </c>
      <c r="J241" s="301">
        <f t="shared" si="624"/>
        <v>638.43700001312118</v>
      </c>
      <c r="K241" s="301"/>
      <c r="L241" s="301">
        <f>SUM(L239:L240)</f>
        <v>386.65499999319968</v>
      </c>
      <c r="M241" s="301">
        <f t="shared" ref="M241" si="635">SUM(M239:M240)</f>
        <v>228.97000000068329</v>
      </c>
      <c r="N241" s="301">
        <f t="shared" ref="N241" si="636">SUM(N239:N240)</f>
        <v>23.065999999717899</v>
      </c>
      <c r="O241" s="301">
        <f t="shared" si="626"/>
        <v>638.69099999360083</v>
      </c>
      <c r="P241" s="301"/>
      <c r="Q241" s="301">
        <f>SUM(Q239:Q240)</f>
        <v>388.02199999792492</v>
      </c>
      <c r="R241" s="301">
        <f t="shared" ref="R241" si="637">SUM(R239:R240)</f>
        <v>220.78500000355803</v>
      </c>
      <c r="S241" s="301">
        <f t="shared" ref="S241" si="638">SUM(S239:S240)</f>
        <v>23.136999999880842</v>
      </c>
      <c r="T241" s="301">
        <f t="shared" si="628"/>
        <v>631.94400000136375</v>
      </c>
      <c r="U241" s="301"/>
      <c r="V241" s="301">
        <f>SUM(V239:V240)</f>
        <v>399.81399999521574</v>
      </c>
      <c r="W241" s="301">
        <f t="shared" ref="W241" si="639">SUM(W239:W240)</f>
        <v>208.41499999767751</v>
      </c>
      <c r="X241" s="301">
        <f t="shared" ref="X241" si="640">SUM(X239:X240)</f>
        <v>23.795999999903497</v>
      </c>
      <c r="Y241" s="301">
        <f t="shared" si="630"/>
        <v>632.02499999279678</v>
      </c>
    </row>
    <row r="242" spans="1:25" x14ac:dyDescent="0.2">
      <c r="A242" s="266"/>
      <c r="B242" s="320"/>
      <c r="C242" s="320"/>
      <c r="D242" s="320"/>
      <c r="E242" s="320"/>
      <c r="F242" s="320"/>
      <c r="G242" s="320"/>
      <c r="H242" s="320"/>
      <c r="I242" s="320"/>
      <c r="J242" s="320"/>
      <c r="K242" s="320"/>
      <c r="L242" s="320"/>
      <c r="M242" s="320"/>
      <c r="N242" s="320"/>
      <c r="O242" s="320"/>
      <c r="P242" s="320"/>
      <c r="Q242" s="320"/>
      <c r="R242" s="320"/>
      <c r="S242" s="320"/>
      <c r="T242" s="320"/>
      <c r="U242" s="320"/>
      <c r="V242" s="320"/>
      <c r="W242" s="320"/>
      <c r="X242" s="320"/>
      <c r="Y242" s="320"/>
    </row>
    <row r="243" spans="1:25" x14ac:dyDescent="0.2">
      <c r="C243" s="263"/>
    </row>
    <row r="244" spans="1:25" x14ac:dyDescent="0.2">
      <c r="A244" s="261"/>
    </row>
    <row r="245" spans="1:25" ht="15" x14ac:dyDescent="0.25">
      <c r="A245" s="265" t="str">
        <f>"Industry 10 : "&amp; name!B13</f>
        <v>Industry 10 : Transport and storage</v>
      </c>
      <c r="B245" s="371">
        <f>$B$5</f>
        <v>2015</v>
      </c>
      <c r="C245" s="371"/>
      <c r="D245" s="371"/>
      <c r="E245" s="371"/>
      <c r="F245" s="320"/>
      <c r="G245" s="371">
        <f>$G$5</f>
        <v>2019</v>
      </c>
      <c r="H245" s="371"/>
      <c r="I245" s="371"/>
      <c r="J245" s="371"/>
      <c r="K245" s="320"/>
      <c r="L245" s="371">
        <f>$L$5</f>
        <v>2020</v>
      </c>
      <c r="M245" s="371"/>
      <c r="N245" s="371"/>
      <c r="O245" s="371"/>
      <c r="P245" s="318"/>
      <c r="Q245" s="371">
        <f>$Q$5</f>
        <v>2025</v>
      </c>
      <c r="R245" s="371"/>
      <c r="S245" s="371"/>
      <c r="T245" s="371"/>
      <c r="U245" s="320"/>
      <c r="V245" s="371">
        <f>$V$5</f>
        <v>2035</v>
      </c>
      <c r="W245" s="371"/>
      <c r="X245" s="371"/>
      <c r="Y245" s="371"/>
    </row>
    <row r="246" spans="1:25" x14ac:dyDescent="0.2">
      <c r="A246" s="264"/>
      <c r="B246" s="268" t="str">
        <f>$B$6</f>
        <v>FT</v>
      </c>
      <c r="C246" s="268" t="str">
        <f>$C$6</f>
        <v>PT</v>
      </c>
      <c r="D246" s="268" t="str">
        <f>$D$6</f>
        <v>SE</v>
      </c>
      <c r="E246" s="268" t="str">
        <f>$E$6</f>
        <v>Total</v>
      </c>
      <c r="F246" s="268"/>
      <c r="G246" s="268" t="str">
        <f>$B$6</f>
        <v>FT</v>
      </c>
      <c r="H246" s="268" t="str">
        <f>$C$6</f>
        <v>PT</v>
      </c>
      <c r="I246" s="268" t="str">
        <f>$D$6</f>
        <v>SE</v>
      </c>
      <c r="J246" s="268" t="str">
        <f>$E$6</f>
        <v>Total</v>
      </c>
      <c r="K246" s="268"/>
      <c r="L246" s="268" t="str">
        <f>$L$6</f>
        <v>FT</v>
      </c>
      <c r="M246" s="268" t="str">
        <f>$M$6</f>
        <v>PT</v>
      </c>
      <c r="N246" s="268" t="str">
        <f>$N$6</f>
        <v>SE</v>
      </c>
      <c r="O246" s="268" t="str">
        <f>$O$6</f>
        <v>Total</v>
      </c>
      <c r="P246" s="268"/>
      <c r="Q246" s="268" t="str">
        <f>$L$6</f>
        <v>FT</v>
      </c>
      <c r="R246" s="268" t="str">
        <f>$M$6</f>
        <v>PT</v>
      </c>
      <c r="S246" s="268" t="str">
        <f>$N$6</f>
        <v>SE</v>
      </c>
      <c r="T246" s="268" t="str">
        <f>$O$6</f>
        <v>Total</v>
      </c>
      <c r="U246" s="268"/>
      <c r="V246" s="268" t="str">
        <f>$V$6</f>
        <v>FT</v>
      </c>
      <c r="W246" s="268" t="str">
        <f>$W$6</f>
        <v>PT</v>
      </c>
      <c r="X246" s="268" t="str">
        <f>$X$6</f>
        <v>SE</v>
      </c>
      <c r="Y246" s="268" t="str">
        <f>$Y$6</f>
        <v>Total</v>
      </c>
    </row>
    <row r="247" spans="1:25" x14ac:dyDescent="0.2">
      <c r="C247" s="319"/>
      <c r="D247" s="319"/>
      <c r="E247" s="319"/>
      <c r="F247" s="319"/>
      <c r="G247" s="319"/>
      <c r="H247" s="319"/>
      <c r="I247" s="319"/>
      <c r="J247" s="319"/>
      <c r="K247" s="319"/>
      <c r="L247" s="319"/>
      <c r="M247" s="319"/>
      <c r="N247" s="319"/>
      <c r="O247" s="319"/>
      <c r="P247" s="319"/>
      <c r="Q247" s="319"/>
      <c r="R247" s="319"/>
      <c r="S247" s="319"/>
      <c r="T247" s="319"/>
      <c r="U247" s="319"/>
      <c r="V247" s="319"/>
      <c r="W247" s="319"/>
      <c r="X247" s="319"/>
      <c r="Y247" s="319"/>
    </row>
    <row r="248" spans="1:25" x14ac:dyDescent="0.2">
      <c r="A248" s="261" t="str">
        <f>name!A37</f>
        <v>Land transport, etc</v>
      </c>
      <c r="C248" s="263"/>
    </row>
    <row r="249" spans="1:25" x14ac:dyDescent="0.2">
      <c r="A249" s="260" t="s">
        <v>356</v>
      </c>
      <c r="B249" s="300">
        <v>14.689999999972489</v>
      </c>
      <c r="C249" s="300">
        <v>3.4840000001003655</v>
      </c>
      <c r="D249" s="300">
        <v>0.92100000002926852</v>
      </c>
      <c r="E249" s="300">
        <f>SUM(B249:D249)</f>
        <v>19.095000000102125</v>
      </c>
      <c r="F249" s="300"/>
      <c r="G249" s="300">
        <v>15.519999999919232</v>
      </c>
      <c r="H249" s="300">
        <v>5.7980000001536292</v>
      </c>
      <c r="I249" s="300">
        <v>0.50800000001516998</v>
      </c>
      <c r="J249" s="300">
        <f>SUM(G249:I249)</f>
        <v>21.82600000008803</v>
      </c>
      <c r="K249" s="300"/>
      <c r="L249" s="300">
        <v>17.188999999843883</v>
      </c>
      <c r="M249" s="300">
        <v>8.8019999998886433</v>
      </c>
      <c r="N249" s="300">
        <v>1.5639999999595495</v>
      </c>
      <c r="O249" s="300">
        <f>SUM(L249:N249)</f>
        <v>27.554999999692075</v>
      </c>
      <c r="P249" s="300"/>
      <c r="Q249" s="300">
        <v>20.805000000274728</v>
      </c>
      <c r="R249" s="300">
        <v>10.788999999839517</v>
      </c>
      <c r="S249" s="300">
        <v>1.8819999999481916</v>
      </c>
      <c r="T249" s="300">
        <f>SUM(Q249:S249)</f>
        <v>33.476000000062434</v>
      </c>
      <c r="U249" s="300"/>
      <c r="V249" s="300">
        <v>22.112999999942183</v>
      </c>
      <c r="W249" s="300">
        <v>11.583999999826304</v>
      </c>
      <c r="X249" s="300">
        <v>1.9179999999605475</v>
      </c>
      <c r="Y249" s="300">
        <f>SUM(V249:X249)</f>
        <v>35.614999999729037</v>
      </c>
    </row>
    <row r="250" spans="1:25" x14ac:dyDescent="0.2">
      <c r="A250" s="260" t="s">
        <v>355</v>
      </c>
      <c r="B250" s="300">
        <v>71.850000001827524</v>
      </c>
      <c r="C250" s="300">
        <v>5.1710000002248373</v>
      </c>
      <c r="D250" s="300">
        <v>46.582000001674679</v>
      </c>
      <c r="E250" s="300">
        <f t="shared" ref="E250:E251" si="641">SUM(B250:D250)</f>
        <v>123.60300000372703</v>
      </c>
      <c r="F250" s="300"/>
      <c r="G250" s="300">
        <v>75.600000001396111</v>
      </c>
      <c r="H250" s="300">
        <v>9.5200000003206089</v>
      </c>
      <c r="I250" s="300">
        <v>59.678999997160702</v>
      </c>
      <c r="J250" s="300">
        <f t="shared" ref="J250:J251" si="642">SUM(G250:I250)</f>
        <v>144.79899999887743</v>
      </c>
      <c r="K250" s="300"/>
      <c r="L250" s="300">
        <v>78.310999998399723</v>
      </c>
      <c r="M250" s="300">
        <v>13.040999999667845</v>
      </c>
      <c r="N250" s="300">
        <v>35.041999999940224</v>
      </c>
      <c r="O250" s="300">
        <f t="shared" ref="O250:O251" si="643">SUM(L250:N250)</f>
        <v>126.39399999800779</v>
      </c>
      <c r="P250" s="300"/>
      <c r="Q250" s="300">
        <v>90.890999998473148</v>
      </c>
      <c r="R250" s="300">
        <v>15.60999999961494</v>
      </c>
      <c r="S250" s="300">
        <v>42.760000002253655</v>
      </c>
      <c r="T250" s="300">
        <f t="shared" ref="T250:T251" si="644">SUM(Q250:S250)</f>
        <v>149.26100000034174</v>
      </c>
      <c r="U250" s="300"/>
      <c r="V250" s="300">
        <v>87.561999998378184</v>
      </c>
      <c r="W250" s="300">
        <v>16.229999999537753</v>
      </c>
      <c r="X250" s="300">
        <v>45.843000001180066</v>
      </c>
      <c r="Y250" s="300">
        <f t="shared" ref="Y250:Y251" si="645">SUM(V250:X250)</f>
        <v>149.63499999909601</v>
      </c>
    </row>
    <row r="251" spans="1:25" x14ac:dyDescent="0.2">
      <c r="A251" s="260" t="s">
        <v>354</v>
      </c>
      <c r="B251" s="300">
        <f>SUM(B249:B250)</f>
        <v>86.54000000180001</v>
      </c>
      <c r="C251" s="300">
        <f t="shared" ref="C251" si="646">SUM(C249:C250)</f>
        <v>8.6550000003252023</v>
      </c>
      <c r="D251" s="300">
        <f t="shared" ref="D251" si="647">SUM(D249:D250)</f>
        <v>47.503000001703946</v>
      </c>
      <c r="E251" s="300">
        <f t="shared" si="641"/>
        <v>142.69800000382915</v>
      </c>
      <c r="F251" s="300"/>
      <c r="G251" s="300">
        <f>SUM(G249:G250)</f>
        <v>91.120000001315347</v>
      </c>
      <c r="H251" s="300">
        <f t="shared" ref="H251" si="648">SUM(H249:H250)</f>
        <v>15.318000000474239</v>
      </c>
      <c r="I251" s="300">
        <f t="shared" ref="I251" si="649">SUM(I249:I250)</f>
        <v>60.186999997175874</v>
      </c>
      <c r="J251" s="300">
        <f t="shared" si="642"/>
        <v>166.62499999896545</v>
      </c>
      <c r="K251" s="300"/>
      <c r="L251" s="300">
        <f>SUM(L249:L250)</f>
        <v>95.499999998243609</v>
      </c>
      <c r="M251" s="300">
        <f t="shared" ref="M251" si="650">SUM(M249:M250)</f>
        <v>21.84299999955649</v>
      </c>
      <c r="N251" s="300">
        <f t="shared" ref="N251" si="651">SUM(N249:N250)</f>
        <v>36.605999999899772</v>
      </c>
      <c r="O251" s="300">
        <f t="shared" si="643"/>
        <v>153.94899999769987</v>
      </c>
      <c r="P251" s="300"/>
      <c r="Q251" s="300">
        <f>SUM(Q249:Q250)</f>
        <v>111.69599999874788</v>
      </c>
      <c r="R251" s="300">
        <f t="shared" ref="R251" si="652">SUM(R249:R250)</f>
        <v>26.398999999454457</v>
      </c>
      <c r="S251" s="300">
        <f t="shared" ref="S251" si="653">SUM(S249:S250)</f>
        <v>44.642000002201847</v>
      </c>
      <c r="T251" s="300">
        <f t="shared" si="644"/>
        <v>182.73700000040418</v>
      </c>
      <c r="U251" s="300"/>
      <c r="V251" s="300">
        <f>SUM(V249:V250)</f>
        <v>109.67499999832037</v>
      </c>
      <c r="W251" s="300">
        <f t="shared" ref="W251" si="654">SUM(W249:W250)</f>
        <v>27.813999999364057</v>
      </c>
      <c r="X251" s="300">
        <f t="shared" ref="X251" si="655">SUM(X249:X250)</f>
        <v>47.761000001140616</v>
      </c>
      <c r="Y251" s="300">
        <f t="shared" si="645"/>
        <v>185.24999999882505</v>
      </c>
    </row>
    <row r="252" spans="1:25" x14ac:dyDescent="0.2">
      <c r="C252" s="319"/>
      <c r="D252" s="319"/>
      <c r="E252" s="319"/>
      <c r="F252" s="319"/>
      <c r="G252" s="319"/>
      <c r="H252" s="319"/>
      <c r="I252" s="319"/>
      <c r="J252" s="319"/>
      <c r="K252" s="319"/>
      <c r="L252" s="319"/>
      <c r="M252" s="319"/>
      <c r="N252" s="319"/>
      <c r="O252" s="319"/>
      <c r="P252" s="319"/>
      <c r="Q252" s="319"/>
      <c r="R252" s="319"/>
      <c r="S252" s="319"/>
      <c r="T252" s="319"/>
      <c r="U252" s="319"/>
      <c r="V252" s="319"/>
      <c r="W252" s="319"/>
      <c r="X252" s="319"/>
      <c r="Y252" s="319"/>
    </row>
    <row r="253" spans="1:25" x14ac:dyDescent="0.2">
      <c r="A253" s="261" t="str">
        <f>name!A38</f>
        <v>Water transport</v>
      </c>
      <c r="C253" s="263"/>
    </row>
    <row r="254" spans="1:25" x14ac:dyDescent="0.2">
      <c r="A254" s="260" t="s">
        <v>356</v>
      </c>
      <c r="B254" s="300">
        <v>2.2159999999977025</v>
      </c>
      <c r="C254" s="300">
        <v>9.4000000002274112E-2</v>
      </c>
      <c r="D254" s="300">
        <v>9.9000000001413957E-2</v>
      </c>
      <c r="E254" s="300">
        <f>SUM(B254:D254)</f>
        <v>2.4090000000013907</v>
      </c>
      <c r="F254" s="300"/>
      <c r="G254" s="300">
        <v>1.158999999994714</v>
      </c>
      <c r="H254" s="300">
        <v>0.18700000000431877</v>
      </c>
      <c r="I254" s="300">
        <v>2.3000000000311296E-2</v>
      </c>
      <c r="J254" s="300">
        <f>SUM(G254:I254)</f>
        <v>1.3689999999993441</v>
      </c>
      <c r="K254" s="300"/>
      <c r="L254" s="300">
        <v>1.1199999999905763</v>
      </c>
      <c r="M254" s="300">
        <v>0.28799999999612536</v>
      </c>
      <c r="N254" s="300">
        <v>5.599999999968823E-2</v>
      </c>
      <c r="O254" s="300">
        <f>SUM(L254:N254)</f>
        <v>1.46399999998639</v>
      </c>
      <c r="P254" s="300"/>
      <c r="Q254" s="300">
        <v>0.9420000000109876</v>
      </c>
      <c r="R254" s="300">
        <v>0.24199999999554023</v>
      </c>
      <c r="S254" s="300">
        <v>4.6999999999173828E-2</v>
      </c>
      <c r="T254" s="300">
        <f>SUM(Q254:S254)</f>
        <v>1.2310000000057018</v>
      </c>
      <c r="U254" s="300"/>
      <c r="V254" s="300">
        <v>0.89099999999789281</v>
      </c>
      <c r="W254" s="300">
        <v>0.2299999999965377</v>
      </c>
      <c r="X254" s="300">
        <v>4.5999999999260383E-2</v>
      </c>
      <c r="Y254" s="300">
        <f>SUM(V254:X254)</f>
        <v>1.1669999999936909</v>
      </c>
    </row>
    <row r="255" spans="1:25" x14ac:dyDescent="0.2">
      <c r="A255" s="260" t="s">
        <v>355</v>
      </c>
      <c r="B255" s="300">
        <v>3.354000000030005</v>
      </c>
      <c r="C255" s="300">
        <v>4.3000000000256111E-2</v>
      </c>
      <c r="D255" s="300">
        <v>0.10900000000340734</v>
      </c>
      <c r="E255" s="300">
        <f t="shared" ref="E255:E256" si="656">SUM(B255:D255)</f>
        <v>3.5060000000336684</v>
      </c>
      <c r="F255" s="300"/>
      <c r="G255" s="300">
        <v>1.9800000000137645</v>
      </c>
      <c r="H255" s="300">
        <v>0.1090000000002925</v>
      </c>
      <c r="I255" s="300">
        <v>1.0770000000166271</v>
      </c>
      <c r="J255" s="300">
        <f t="shared" ref="J255:J256" si="657">SUM(G255:I255)</f>
        <v>3.1660000000306843</v>
      </c>
      <c r="K255" s="300"/>
      <c r="L255" s="300">
        <v>2.0509999999862778</v>
      </c>
      <c r="M255" s="300">
        <v>0.11399999999993438</v>
      </c>
      <c r="N255" s="300">
        <v>1.1810000000101275</v>
      </c>
      <c r="O255" s="300">
        <f t="shared" ref="O255:O256" si="658">SUM(L255:N255)</f>
        <v>3.3459999999963395</v>
      </c>
      <c r="P255" s="300"/>
      <c r="Q255" s="300">
        <v>1.7489999999922601</v>
      </c>
      <c r="R255" s="300">
        <v>9.6000000000188754E-2</v>
      </c>
      <c r="S255" s="300">
        <v>0.96300000003082875</v>
      </c>
      <c r="T255" s="300">
        <f t="shared" ref="T255:T256" si="659">SUM(Q255:S255)</f>
        <v>2.8080000000232777</v>
      </c>
      <c r="U255" s="300"/>
      <c r="V255" s="300">
        <v>1.6989999999947218</v>
      </c>
      <c r="W255" s="300">
        <v>9.0000000000714162E-2</v>
      </c>
      <c r="X255" s="300">
        <v>0.85400000002034637</v>
      </c>
      <c r="Y255" s="300">
        <f t="shared" ref="Y255:Y256" si="660">SUM(V255:X255)</f>
        <v>2.6430000000157823</v>
      </c>
    </row>
    <row r="256" spans="1:25" x14ac:dyDescent="0.2">
      <c r="A256" s="260" t="s">
        <v>354</v>
      </c>
      <c r="B256" s="300">
        <f>SUM(B254:B255)</f>
        <v>5.5700000000277079</v>
      </c>
      <c r="C256" s="300">
        <f t="shared" ref="C256" si="661">SUM(C254:C255)</f>
        <v>0.13700000000253021</v>
      </c>
      <c r="D256" s="300">
        <f t="shared" ref="D256" si="662">SUM(D254:D255)</f>
        <v>0.2080000000048213</v>
      </c>
      <c r="E256" s="300">
        <f t="shared" si="656"/>
        <v>5.9150000000350591</v>
      </c>
      <c r="F256" s="300"/>
      <c r="G256" s="300">
        <f>SUM(G254:G255)</f>
        <v>3.1390000000084788</v>
      </c>
      <c r="H256" s="300">
        <f t="shared" ref="H256" si="663">SUM(H254:H255)</f>
        <v>0.29600000000461124</v>
      </c>
      <c r="I256" s="300">
        <f t="shared" ref="I256" si="664">SUM(I254:I255)</f>
        <v>1.1000000000169383</v>
      </c>
      <c r="J256" s="300">
        <f t="shared" si="657"/>
        <v>4.5350000000300286</v>
      </c>
      <c r="K256" s="300"/>
      <c r="L256" s="300">
        <f>SUM(L254:L255)</f>
        <v>3.1709999999768543</v>
      </c>
      <c r="M256" s="300">
        <f t="shared" ref="M256" si="665">SUM(M254:M255)</f>
        <v>0.40199999999605973</v>
      </c>
      <c r="N256" s="300">
        <f t="shared" ref="N256" si="666">SUM(N254:N255)</f>
        <v>1.2370000000098158</v>
      </c>
      <c r="O256" s="300">
        <f t="shared" si="658"/>
        <v>4.8099999999827299</v>
      </c>
      <c r="P256" s="300"/>
      <c r="Q256" s="300">
        <f>SUM(Q254:Q255)</f>
        <v>2.6910000000032479</v>
      </c>
      <c r="R256" s="300">
        <f t="shared" ref="R256" si="667">SUM(R254:R255)</f>
        <v>0.33799999999572899</v>
      </c>
      <c r="S256" s="300">
        <f t="shared" ref="S256" si="668">SUM(S254:S255)</f>
        <v>1.0100000000300027</v>
      </c>
      <c r="T256" s="300">
        <f t="shared" si="659"/>
        <v>4.0390000000289792</v>
      </c>
      <c r="U256" s="300"/>
      <c r="V256" s="300">
        <f>SUM(V254:V255)</f>
        <v>2.5899999999926147</v>
      </c>
      <c r="W256" s="300">
        <f t="shared" ref="W256" si="669">SUM(W254:W255)</f>
        <v>0.31999999999725187</v>
      </c>
      <c r="X256" s="300">
        <f t="shared" ref="X256" si="670">SUM(X254:X255)</f>
        <v>0.90000000001960678</v>
      </c>
      <c r="Y256" s="300">
        <f t="shared" si="660"/>
        <v>3.8100000000094734</v>
      </c>
    </row>
    <row r="257" spans="1:25" x14ac:dyDescent="0.2">
      <c r="C257" s="319"/>
      <c r="D257" s="319"/>
      <c r="E257" s="319"/>
      <c r="F257" s="319"/>
      <c r="G257" s="319"/>
      <c r="H257" s="319"/>
      <c r="I257" s="319"/>
      <c r="J257" s="319"/>
      <c r="K257" s="319"/>
      <c r="L257" s="319"/>
      <c r="M257" s="319"/>
      <c r="N257" s="319"/>
      <c r="O257" s="319"/>
      <c r="P257" s="319"/>
      <c r="Q257" s="319"/>
      <c r="R257" s="319"/>
      <c r="S257" s="319"/>
      <c r="T257" s="319"/>
      <c r="U257" s="319"/>
      <c r="V257" s="319"/>
      <c r="W257" s="319"/>
      <c r="X257" s="319"/>
      <c r="Y257" s="319"/>
    </row>
    <row r="258" spans="1:25" x14ac:dyDescent="0.2">
      <c r="A258" s="261" t="str">
        <f>name!A39</f>
        <v>Air transport</v>
      </c>
      <c r="C258" s="263"/>
    </row>
    <row r="259" spans="1:25" x14ac:dyDescent="0.2">
      <c r="A259" s="260" t="s">
        <v>356</v>
      </c>
      <c r="B259" s="300">
        <v>9.6229999999865292</v>
      </c>
      <c r="C259" s="300">
        <v>9.9670000002439707</v>
      </c>
      <c r="D259" s="300">
        <v>6.9000000001064696E-2</v>
      </c>
      <c r="E259" s="300">
        <f>SUM(B259:D259)</f>
        <v>19.659000000231565</v>
      </c>
      <c r="F259" s="300"/>
      <c r="G259" s="300">
        <v>10.303999999949738</v>
      </c>
      <c r="H259" s="300">
        <v>8.5480000002001866</v>
      </c>
      <c r="I259" s="300">
        <v>0.11300000000179639</v>
      </c>
      <c r="J259" s="300">
        <f>SUM(G259:I259)</f>
        <v>18.965000000151722</v>
      </c>
      <c r="K259" s="300"/>
      <c r="L259" s="300">
        <v>9.1019999999318539</v>
      </c>
      <c r="M259" s="300">
        <v>8.8579999999597945</v>
      </c>
      <c r="N259" s="300">
        <v>0.11199999999874827</v>
      </c>
      <c r="O259" s="300">
        <f>SUM(L259:N259)</f>
        <v>18.071999999890398</v>
      </c>
      <c r="P259" s="300"/>
      <c r="Q259" s="300">
        <v>8.0690000001066817</v>
      </c>
      <c r="R259" s="300">
        <v>8.6019999999628904</v>
      </c>
      <c r="S259" s="300">
        <v>9.0999999998333692E-2</v>
      </c>
      <c r="T259" s="300">
        <f>SUM(Q259:S259)</f>
        <v>16.762000000067907</v>
      </c>
      <c r="U259" s="300"/>
      <c r="V259" s="300">
        <v>7.8489999999962485</v>
      </c>
      <c r="W259" s="300">
        <v>8.6879999998925239</v>
      </c>
      <c r="X259" s="300">
        <v>8.7999999998478559E-2</v>
      </c>
      <c r="Y259" s="300">
        <f>SUM(V259:X259)</f>
        <v>16.624999999887248</v>
      </c>
    </row>
    <row r="260" spans="1:25" x14ac:dyDescent="0.2">
      <c r="A260" s="260" t="s">
        <v>355</v>
      </c>
      <c r="B260" s="300">
        <v>13.765000000161987</v>
      </c>
      <c r="C260" s="300">
        <v>5.8540000000761125</v>
      </c>
      <c r="D260" s="300">
        <v>0.18400000000289343</v>
      </c>
      <c r="E260" s="300">
        <f t="shared" ref="E260:E261" si="671">SUM(B260:D260)</f>
        <v>19.803000000240992</v>
      </c>
      <c r="F260" s="300"/>
      <c r="G260" s="300">
        <v>15.98900000014261</v>
      </c>
      <c r="H260" s="300">
        <v>3.6490000000324763</v>
      </c>
      <c r="I260" s="300">
        <v>6.5000000001230365E-2</v>
      </c>
      <c r="J260" s="300">
        <f t="shared" ref="J260:J261" si="672">SUM(G260:I260)</f>
        <v>19.703000000176317</v>
      </c>
      <c r="K260" s="300"/>
      <c r="L260" s="300">
        <v>14.926999999897159</v>
      </c>
      <c r="M260" s="300">
        <v>3.1309999999808036</v>
      </c>
      <c r="N260" s="300">
        <v>1.7539999999692291</v>
      </c>
      <c r="O260" s="300">
        <f t="shared" ref="O260:O261" si="673">SUM(L260:N260)</f>
        <v>19.811999999847192</v>
      </c>
      <c r="P260" s="300"/>
      <c r="Q260" s="300">
        <v>13.174999999917558</v>
      </c>
      <c r="R260" s="300">
        <v>2.8669999999780114</v>
      </c>
      <c r="S260" s="300">
        <v>1.6029999999542119</v>
      </c>
      <c r="T260" s="300">
        <f t="shared" ref="T260:T261" si="674">SUM(Q260:S260)</f>
        <v>17.64499999984978</v>
      </c>
      <c r="U260" s="300"/>
      <c r="V260" s="300">
        <v>12.225999999962987</v>
      </c>
      <c r="W260" s="300">
        <v>2.7439999999851734</v>
      </c>
      <c r="X260" s="300">
        <v>1.5419999999560174</v>
      </c>
      <c r="Y260" s="300">
        <f t="shared" ref="Y260:Y261" si="675">SUM(V260:X260)</f>
        <v>16.51199999990418</v>
      </c>
    </row>
    <row r="261" spans="1:25" x14ac:dyDescent="0.2">
      <c r="A261" s="260" t="s">
        <v>354</v>
      </c>
      <c r="B261" s="300">
        <f>SUM(B259:B260)</f>
        <v>23.388000000148516</v>
      </c>
      <c r="C261" s="300">
        <f t="shared" ref="C261" si="676">SUM(C259:C260)</f>
        <v>15.821000000320083</v>
      </c>
      <c r="D261" s="300">
        <f t="shared" ref="D261" si="677">SUM(D259:D260)</f>
        <v>0.25300000000395811</v>
      </c>
      <c r="E261" s="300">
        <f t="shared" si="671"/>
        <v>39.462000000472557</v>
      </c>
      <c r="F261" s="300"/>
      <c r="G261" s="300">
        <f>SUM(G259:G260)</f>
        <v>26.293000000092349</v>
      </c>
      <c r="H261" s="300">
        <f t="shared" ref="H261" si="678">SUM(H259:H260)</f>
        <v>12.197000000232663</v>
      </c>
      <c r="I261" s="300">
        <f t="shared" ref="I261" si="679">SUM(I259:I260)</f>
        <v>0.17800000000302674</v>
      </c>
      <c r="J261" s="300">
        <f t="shared" si="672"/>
        <v>38.668000000328036</v>
      </c>
      <c r="K261" s="300"/>
      <c r="L261" s="300">
        <f>SUM(L259:L260)</f>
        <v>24.028999999829011</v>
      </c>
      <c r="M261" s="300">
        <f t="shared" ref="M261" si="680">SUM(M259:M260)</f>
        <v>11.988999999940598</v>
      </c>
      <c r="N261" s="300">
        <f t="shared" ref="N261" si="681">SUM(N259:N260)</f>
        <v>1.8659999999679773</v>
      </c>
      <c r="O261" s="300">
        <f t="shared" si="673"/>
        <v>37.883999999737583</v>
      </c>
      <c r="P261" s="300"/>
      <c r="Q261" s="300">
        <f>SUM(Q259:Q260)</f>
        <v>21.24400000002424</v>
      </c>
      <c r="R261" s="300">
        <f t="shared" ref="R261" si="682">SUM(R259:R260)</f>
        <v>11.468999999940902</v>
      </c>
      <c r="S261" s="300">
        <f t="shared" ref="S261" si="683">SUM(S259:S260)</f>
        <v>1.6939999999525457</v>
      </c>
      <c r="T261" s="300">
        <f t="shared" si="674"/>
        <v>34.406999999917687</v>
      </c>
      <c r="U261" s="300"/>
      <c r="V261" s="300">
        <f>SUM(V259:V260)</f>
        <v>20.074999999959235</v>
      </c>
      <c r="W261" s="300">
        <f t="shared" ref="W261" si="684">SUM(W259:W260)</f>
        <v>11.431999999877696</v>
      </c>
      <c r="X261" s="300">
        <f t="shared" ref="X261" si="685">SUM(X259:X260)</f>
        <v>1.6299999999544961</v>
      </c>
      <c r="Y261" s="300">
        <f t="shared" si="675"/>
        <v>33.136999999791428</v>
      </c>
    </row>
    <row r="262" spans="1:25" x14ac:dyDescent="0.2">
      <c r="C262" s="319"/>
      <c r="D262" s="319"/>
      <c r="E262" s="319"/>
      <c r="F262" s="319"/>
      <c r="G262" s="319"/>
      <c r="H262" s="319"/>
      <c r="I262" s="319"/>
      <c r="J262" s="319"/>
      <c r="K262" s="319"/>
      <c r="L262" s="319"/>
      <c r="M262" s="319"/>
      <c r="N262" s="319"/>
      <c r="O262" s="319"/>
      <c r="P262" s="319"/>
      <c r="Q262" s="319"/>
      <c r="R262" s="319"/>
      <c r="S262" s="319"/>
      <c r="T262" s="319"/>
      <c r="U262" s="319"/>
      <c r="V262" s="319"/>
      <c r="W262" s="319"/>
      <c r="X262" s="319"/>
      <c r="Y262" s="319"/>
    </row>
    <row r="263" spans="1:25" x14ac:dyDescent="0.2">
      <c r="A263" s="261" t="str">
        <f>name!A40</f>
        <v>Warehousing, etc</v>
      </c>
      <c r="C263" s="263"/>
    </row>
    <row r="264" spans="1:25" x14ac:dyDescent="0.2">
      <c r="A264" s="260" t="s">
        <v>356</v>
      </c>
      <c r="B264" s="300">
        <v>7.1419999999931241</v>
      </c>
      <c r="C264" s="300">
        <v>3.4550000000941119</v>
      </c>
      <c r="D264" s="300">
        <v>0.39400000001147906</v>
      </c>
      <c r="E264" s="300">
        <f>SUM(B264:D264)</f>
        <v>10.991000000098715</v>
      </c>
      <c r="F264" s="300"/>
      <c r="G264" s="300">
        <v>6.8579999999613479</v>
      </c>
      <c r="H264" s="300">
        <v>4.4330000001127976</v>
      </c>
      <c r="I264" s="300">
        <v>0.2920000000089038</v>
      </c>
      <c r="J264" s="300">
        <f>SUM(G264:I264)</f>
        <v>11.58300000008305</v>
      </c>
      <c r="K264" s="300"/>
      <c r="L264" s="300">
        <v>7.2479999999051836</v>
      </c>
      <c r="M264" s="300">
        <v>6.3159999999685512</v>
      </c>
      <c r="N264" s="300">
        <v>2.3999999999292317E-2</v>
      </c>
      <c r="O264" s="300">
        <f>SUM(L264:N264)</f>
        <v>13.587999999873027</v>
      </c>
      <c r="P264" s="300"/>
      <c r="Q264" s="300">
        <v>7.4910000001064736</v>
      </c>
      <c r="R264" s="300">
        <v>6.6499999999714978</v>
      </c>
      <c r="S264" s="300">
        <v>2.5999999999476626E-2</v>
      </c>
      <c r="T264" s="300">
        <f>SUM(Q264:S264)</f>
        <v>14.167000000077447</v>
      </c>
      <c r="U264" s="300"/>
      <c r="V264" s="300">
        <v>7.6139999999661496</v>
      </c>
      <c r="W264" s="300">
        <v>7.1359999999029453</v>
      </c>
      <c r="X264" s="300">
        <v>2.6999999999554221E-2</v>
      </c>
      <c r="Y264" s="300">
        <f>SUM(V264:X264)</f>
        <v>14.776999999868648</v>
      </c>
    </row>
    <row r="265" spans="1:25" x14ac:dyDescent="0.2">
      <c r="A265" s="260" t="s">
        <v>355</v>
      </c>
      <c r="B265" s="300">
        <v>43.197000000893233</v>
      </c>
      <c r="C265" s="300">
        <v>4.3930000001479215</v>
      </c>
      <c r="D265" s="300">
        <v>4.8720000001475334</v>
      </c>
      <c r="E265" s="300">
        <f t="shared" ref="E265:E266" si="686">SUM(B265:D265)</f>
        <v>52.462000001188684</v>
      </c>
      <c r="F265" s="300"/>
      <c r="G265" s="300">
        <v>44.926000000692142</v>
      </c>
      <c r="H265" s="300">
        <v>5.5150000001420354</v>
      </c>
      <c r="I265" s="300">
        <v>4.3400000000494892</v>
      </c>
      <c r="J265" s="300">
        <f t="shared" ref="J265:J266" si="687">SUM(G265:I265)</f>
        <v>54.781000000883665</v>
      </c>
      <c r="K265" s="300"/>
      <c r="L265" s="300">
        <v>47.481999999180999</v>
      </c>
      <c r="M265" s="300">
        <v>6.8449999998658058</v>
      </c>
      <c r="N265" s="300">
        <v>5.3540000000081056</v>
      </c>
      <c r="O265" s="300">
        <f t="shared" ref="O265:O266" si="688">SUM(L265:N265)</f>
        <v>59.680999999054912</v>
      </c>
      <c r="P265" s="300"/>
      <c r="Q265" s="300">
        <v>47.58499999933445</v>
      </c>
      <c r="R265" s="300">
        <v>6.7879999998666358</v>
      </c>
      <c r="S265" s="300">
        <v>4.9610000000860497</v>
      </c>
      <c r="T265" s="300">
        <f t="shared" ref="T265:T266" si="689">SUM(Q265:S265)</f>
        <v>59.333999999287137</v>
      </c>
      <c r="U265" s="300"/>
      <c r="V265" s="300">
        <v>46.544999999229702</v>
      </c>
      <c r="W265" s="300">
        <v>6.8939999998371029</v>
      </c>
      <c r="X265" s="300">
        <v>4.7490000000203105</v>
      </c>
      <c r="Y265" s="300">
        <f t="shared" ref="Y265:Y266" si="690">SUM(V265:X265)</f>
        <v>58.187999999087118</v>
      </c>
    </row>
    <row r="266" spans="1:25" x14ac:dyDescent="0.2">
      <c r="A266" s="260" t="s">
        <v>354</v>
      </c>
      <c r="B266" s="300">
        <f>SUM(B264:B265)</f>
        <v>50.339000000886358</v>
      </c>
      <c r="C266" s="300">
        <f t="shared" ref="C266" si="691">SUM(C264:C265)</f>
        <v>7.8480000002420329</v>
      </c>
      <c r="D266" s="300">
        <f t="shared" ref="D266" si="692">SUM(D264:D265)</f>
        <v>5.2660000001590124</v>
      </c>
      <c r="E266" s="300">
        <f t="shared" si="686"/>
        <v>63.4530000012874</v>
      </c>
      <c r="F266" s="300"/>
      <c r="G266" s="300">
        <f>SUM(G264:G265)</f>
        <v>51.784000000653492</v>
      </c>
      <c r="H266" s="300">
        <f t="shared" ref="H266" si="693">SUM(H264:H265)</f>
        <v>9.948000000254833</v>
      </c>
      <c r="I266" s="300">
        <f t="shared" ref="I266" si="694">SUM(I264:I265)</f>
        <v>4.632000000058393</v>
      </c>
      <c r="J266" s="300">
        <f t="shared" si="687"/>
        <v>66.364000000966726</v>
      </c>
      <c r="K266" s="300"/>
      <c r="L266" s="300">
        <f>SUM(L264:L265)</f>
        <v>54.729999999086182</v>
      </c>
      <c r="M266" s="300">
        <f t="shared" ref="M266" si="695">SUM(M264:M265)</f>
        <v>13.160999999834356</v>
      </c>
      <c r="N266" s="300">
        <f t="shared" ref="N266" si="696">SUM(N264:N265)</f>
        <v>5.3780000000073978</v>
      </c>
      <c r="O266" s="300">
        <f t="shared" si="688"/>
        <v>73.268999998927939</v>
      </c>
      <c r="P266" s="300"/>
      <c r="Q266" s="300">
        <f>SUM(Q264:Q265)</f>
        <v>55.075999999440924</v>
      </c>
      <c r="R266" s="300">
        <f t="shared" ref="R266" si="697">SUM(R264:R265)</f>
        <v>13.437999999838134</v>
      </c>
      <c r="S266" s="300">
        <f t="shared" ref="S266" si="698">SUM(S264:S265)</f>
        <v>4.9870000000855264</v>
      </c>
      <c r="T266" s="300">
        <f t="shared" si="689"/>
        <v>73.500999999364595</v>
      </c>
      <c r="U266" s="300"/>
      <c r="V266" s="300">
        <f>SUM(V264:V265)</f>
        <v>54.158999999195849</v>
      </c>
      <c r="W266" s="300">
        <f t="shared" ref="W266" si="699">SUM(W264:W265)</f>
        <v>14.029999999740049</v>
      </c>
      <c r="X266" s="300">
        <f t="shared" ref="X266" si="700">SUM(X264:X265)</f>
        <v>4.7760000000198648</v>
      </c>
      <c r="Y266" s="300">
        <f t="shared" si="690"/>
        <v>72.964999998955761</v>
      </c>
    </row>
    <row r="267" spans="1:25" x14ac:dyDescent="0.2">
      <c r="C267" s="319"/>
      <c r="D267" s="319"/>
      <c r="E267" s="319"/>
      <c r="F267" s="319"/>
      <c r="G267" s="319"/>
      <c r="H267" s="319"/>
      <c r="I267" s="319"/>
      <c r="J267" s="319"/>
      <c r="K267" s="319"/>
      <c r="L267" s="319"/>
      <c r="M267" s="319"/>
      <c r="N267" s="319"/>
      <c r="O267" s="319"/>
      <c r="P267" s="319"/>
      <c r="Q267" s="319"/>
      <c r="R267" s="319"/>
      <c r="S267" s="319"/>
      <c r="T267" s="319"/>
      <c r="U267" s="319"/>
      <c r="V267" s="319"/>
      <c r="W267" s="319"/>
      <c r="X267" s="319"/>
      <c r="Y267" s="319"/>
    </row>
    <row r="268" spans="1:25" x14ac:dyDescent="0.2">
      <c r="A268" s="261" t="str">
        <f>name!A41</f>
        <v>Postal and courier</v>
      </c>
      <c r="C268" s="263"/>
    </row>
    <row r="269" spans="1:25" x14ac:dyDescent="0.2">
      <c r="A269" s="260" t="s">
        <v>356</v>
      </c>
      <c r="B269" s="300">
        <v>9.1570000000897149</v>
      </c>
      <c r="C269" s="300">
        <v>3.7940000001283027</v>
      </c>
      <c r="D269" s="300">
        <v>0.15600000000436343</v>
      </c>
      <c r="E269" s="300">
        <f>SUM(B269:D269)</f>
        <v>13.107000000222381</v>
      </c>
      <c r="F269" s="300"/>
      <c r="G269" s="300">
        <v>11.934000000035422</v>
      </c>
      <c r="H269" s="300">
        <v>3.5160000001075593</v>
      </c>
      <c r="I269" s="300">
        <v>0.14400000000383462</v>
      </c>
      <c r="J269" s="300">
        <f>SUM(G269:I269)</f>
        <v>15.594000000146817</v>
      </c>
      <c r="K269" s="300"/>
      <c r="L269" s="300">
        <v>12.613999999741566</v>
      </c>
      <c r="M269" s="300">
        <v>5.008999999982704</v>
      </c>
      <c r="N269" s="300">
        <v>0.44599999999008438</v>
      </c>
      <c r="O269" s="300">
        <f>SUM(L269:N269)</f>
        <v>18.068999999714357</v>
      </c>
      <c r="P269" s="300"/>
      <c r="Q269" s="300">
        <v>13.035000000002155</v>
      </c>
      <c r="R269" s="300">
        <v>5.2740000000038831</v>
      </c>
      <c r="S269" s="300">
        <v>0.39399999999001378</v>
      </c>
      <c r="T269" s="300">
        <f>SUM(Q269:S269)</f>
        <v>18.702999999996052</v>
      </c>
      <c r="U269" s="300"/>
      <c r="V269" s="300">
        <v>13.248999999833215</v>
      </c>
      <c r="W269" s="300">
        <v>5.6599999999148887</v>
      </c>
      <c r="X269" s="300">
        <v>0.3589999999930803</v>
      </c>
      <c r="Y269" s="300">
        <f>SUM(V269:X269)</f>
        <v>19.267999999741185</v>
      </c>
    </row>
    <row r="270" spans="1:25" x14ac:dyDescent="0.2">
      <c r="A270" s="260" t="s">
        <v>355</v>
      </c>
      <c r="B270" s="300">
        <v>17.194000000573975</v>
      </c>
      <c r="C270" s="300">
        <v>2.5250000001004125</v>
      </c>
      <c r="D270" s="300">
        <v>2.4370000000810537</v>
      </c>
      <c r="E270" s="300">
        <f t="shared" ref="E270:E271" si="701">SUM(B270:D270)</f>
        <v>22.156000000755441</v>
      </c>
      <c r="F270" s="300"/>
      <c r="G270" s="300">
        <v>24.271000000618674</v>
      </c>
      <c r="H270" s="300">
        <v>2.2890000000716966</v>
      </c>
      <c r="I270" s="300">
        <v>2.6999999999958146</v>
      </c>
      <c r="J270" s="300">
        <f t="shared" ref="J270:J271" si="702">SUM(G270:I270)</f>
        <v>29.260000000686183</v>
      </c>
      <c r="K270" s="300"/>
      <c r="L270" s="300">
        <v>25.652999999309191</v>
      </c>
      <c r="M270" s="300">
        <v>2.840999999932718</v>
      </c>
      <c r="N270" s="300">
        <v>3.329999999958428</v>
      </c>
      <c r="O270" s="300">
        <f t="shared" ref="O270:O271" si="703">SUM(L270:N270)</f>
        <v>31.823999999200336</v>
      </c>
      <c r="P270" s="300"/>
      <c r="Q270" s="300">
        <v>25.707999999319021</v>
      </c>
      <c r="R270" s="300">
        <v>2.8179999999352678</v>
      </c>
      <c r="S270" s="300">
        <v>3.086000000029089</v>
      </c>
      <c r="T270" s="300">
        <f t="shared" ref="T270:T271" si="704">SUM(Q270:S270)</f>
        <v>31.611999999283377</v>
      </c>
      <c r="U270" s="300"/>
      <c r="V270" s="300">
        <v>25.145999998911297</v>
      </c>
      <c r="W270" s="300">
        <v>2.8609999999147009</v>
      </c>
      <c r="X270" s="300">
        <v>2.9539999999863564</v>
      </c>
      <c r="Y270" s="300">
        <f t="shared" ref="Y270:Y271" si="705">SUM(V270:X270)</f>
        <v>30.960999998812355</v>
      </c>
    </row>
    <row r="271" spans="1:25" x14ac:dyDescent="0.2">
      <c r="A271" s="260" t="s">
        <v>354</v>
      </c>
      <c r="B271" s="300">
        <f>SUM(B269:B270)</f>
        <v>26.351000000663689</v>
      </c>
      <c r="C271" s="300">
        <f t="shared" ref="C271" si="706">SUM(C269:C270)</f>
        <v>6.3190000002287157</v>
      </c>
      <c r="D271" s="300">
        <f t="shared" ref="D271" si="707">SUM(D269:D270)</f>
        <v>2.593000000085417</v>
      </c>
      <c r="E271" s="300">
        <f t="shared" si="701"/>
        <v>35.263000000977819</v>
      </c>
      <c r="F271" s="300"/>
      <c r="G271" s="300">
        <f>SUM(G269:G270)</f>
        <v>36.205000000654096</v>
      </c>
      <c r="H271" s="300">
        <f t="shared" ref="H271" si="708">SUM(H269:H270)</f>
        <v>5.8050000001792554</v>
      </c>
      <c r="I271" s="300">
        <f t="shared" ref="I271" si="709">SUM(I269:I270)</f>
        <v>2.8439999999996495</v>
      </c>
      <c r="J271" s="300">
        <f t="shared" si="702"/>
        <v>44.854000000832997</v>
      </c>
      <c r="K271" s="300"/>
      <c r="L271" s="300">
        <f>SUM(L269:L270)</f>
        <v>38.266999999050753</v>
      </c>
      <c r="M271" s="300">
        <f t="shared" ref="M271" si="710">SUM(M269:M270)</f>
        <v>7.849999999915422</v>
      </c>
      <c r="N271" s="300">
        <f t="shared" ref="N271" si="711">SUM(N269:N270)</f>
        <v>3.7759999999485125</v>
      </c>
      <c r="O271" s="300">
        <f t="shared" si="703"/>
        <v>49.892999998914689</v>
      </c>
      <c r="P271" s="300"/>
      <c r="Q271" s="300">
        <f>SUM(Q269:Q270)</f>
        <v>38.742999999321178</v>
      </c>
      <c r="R271" s="300">
        <f t="shared" ref="R271" si="712">SUM(R269:R270)</f>
        <v>8.0919999999391514</v>
      </c>
      <c r="S271" s="300">
        <f t="shared" ref="S271" si="713">SUM(S269:S270)</f>
        <v>3.4800000000191029</v>
      </c>
      <c r="T271" s="300">
        <f t="shared" si="704"/>
        <v>50.314999999279436</v>
      </c>
      <c r="U271" s="300"/>
      <c r="V271" s="300">
        <f>SUM(V269:V270)</f>
        <v>38.39499999874451</v>
      </c>
      <c r="W271" s="300">
        <f t="shared" ref="W271" si="714">SUM(W269:W270)</f>
        <v>8.5209999998295896</v>
      </c>
      <c r="X271" s="300">
        <f t="shared" ref="X271" si="715">SUM(X269:X270)</f>
        <v>3.3129999999794366</v>
      </c>
      <c r="Y271" s="300">
        <f t="shared" si="705"/>
        <v>50.22899999855354</v>
      </c>
    </row>
    <row r="272" spans="1:25" x14ac:dyDescent="0.2">
      <c r="C272" s="263"/>
    </row>
    <row r="273" spans="1:25" x14ac:dyDescent="0.2">
      <c r="A273" s="261" t="s">
        <v>366</v>
      </c>
    </row>
    <row r="274" spans="1:25" x14ac:dyDescent="0.2">
      <c r="A274" s="260" t="s">
        <v>356</v>
      </c>
      <c r="B274" s="300">
        <f>SUM(B249,B254,B259,B264,B269)</f>
        <v>42.828000000039559</v>
      </c>
      <c r="C274" s="300">
        <f t="shared" ref="C274:D275" si="716">SUM(C249,C254,C259,C264,C269)</f>
        <v>20.794000000569024</v>
      </c>
      <c r="D274" s="300">
        <f t="shared" si="716"/>
        <v>1.6390000000475897</v>
      </c>
      <c r="E274" s="300">
        <f>SUM(B274:D274)</f>
        <v>65.261000000656168</v>
      </c>
      <c r="F274" s="300"/>
      <c r="G274" s="300">
        <f>SUM(G249,G254,G259,G264,G269)</f>
        <v>45.774999999860455</v>
      </c>
      <c r="H274" s="300">
        <f t="shared" ref="H274:I274" si="717">SUM(H249,H254,H259,H264,H269)</f>
        <v>22.482000000578491</v>
      </c>
      <c r="I274" s="300">
        <f t="shared" si="717"/>
        <v>1.0800000000300161</v>
      </c>
      <c r="J274" s="300">
        <f>SUM(G274:I274)</f>
        <v>69.337000000468962</v>
      </c>
      <c r="K274" s="300"/>
      <c r="L274" s="300">
        <f>SUM(L249,L254,L259,L264,L269)</f>
        <v>47.272999999413059</v>
      </c>
      <c r="M274" s="300">
        <f t="shared" ref="M274:N274" si="718">SUM(M249,M254,M259,M264,M269)</f>
        <v>29.272999999795815</v>
      </c>
      <c r="N274" s="300">
        <f t="shared" si="718"/>
        <v>2.201999999947363</v>
      </c>
      <c r="O274" s="300">
        <f>SUM(L274:N274)</f>
        <v>78.747999999156235</v>
      </c>
      <c r="P274" s="300"/>
      <c r="Q274" s="300">
        <f>SUM(Q249,Q254,Q259,Q264,Q269)</f>
        <v>50.342000000501031</v>
      </c>
      <c r="R274" s="300">
        <f t="shared" ref="R274:S274" si="719">SUM(R249,R254,R259,R264,R269)</f>
        <v>31.556999999773328</v>
      </c>
      <c r="S274" s="300">
        <f t="shared" si="719"/>
        <v>2.4399999999351896</v>
      </c>
      <c r="T274" s="300">
        <f>SUM(Q274:S274)</f>
        <v>84.339000000209552</v>
      </c>
      <c r="U274" s="300"/>
      <c r="V274" s="300">
        <f>SUM(V249,V254,V259,V264,V269)</f>
        <v>51.715999999735686</v>
      </c>
      <c r="W274" s="300">
        <f t="shared" ref="W274:X274" si="720">SUM(W249,W254,W259,W264,W269)</f>
        <v>33.297999999533204</v>
      </c>
      <c r="X274" s="300">
        <f t="shared" si="720"/>
        <v>2.4379999999509208</v>
      </c>
      <c r="Y274" s="300">
        <f>SUM(V274:X274)</f>
        <v>87.451999999219808</v>
      </c>
    </row>
    <row r="275" spans="1:25" x14ac:dyDescent="0.2">
      <c r="A275" s="260" t="s">
        <v>355</v>
      </c>
      <c r="B275" s="300">
        <f>SUM(B250,B255,B260,B265,B270)</f>
        <v>149.3600000034867</v>
      </c>
      <c r="C275" s="300">
        <f t="shared" si="716"/>
        <v>17.986000000549538</v>
      </c>
      <c r="D275" s="300">
        <f t="shared" si="716"/>
        <v>54.184000001909567</v>
      </c>
      <c r="E275" s="300">
        <f t="shared" ref="E275:E276" si="721">SUM(B275:D275)</f>
        <v>221.53000000594579</v>
      </c>
      <c r="F275" s="300"/>
      <c r="G275" s="300">
        <f>SUM(G250,G255,G260,G265,G270)</f>
        <v>162.76600000286331</v>
      </c>
      <c r="H275" s="300">
        <f t="shared" ref="H275:I275" si="722">SUM(H250,H255,H260,H265,H270)</f>
        <v>21.08200000056711</v>
      </c>
      <c r="I275" s="300">
        <f t="shared" si="722"/>
        <v>67.860999997223857</v>
      </c>
      <c r="J275" s="300">
        <f t="shared" ref="J275:J276" si="723">SUM(G275:I275)</f>
        <v>251.70900000065427</v>
      </c>
      <c r="K275" s="300"/>
      <c r="L275" s="300">
        <f>SUM(L250,L255,L260,L265,L270)</f>
        <v>168.42399999677338</v>
      </c>
      <c r="M275" s="300">
        <f t="shared" ref="M275:N275" si="724">SUM(M250,M255,M260,M265,M270)</f>
        <v>25.971999999447107</v>
      </c>
      <c r="N275" s="300">
        <f t="shared" si="724"/>
        <v>46.660999999886116</v>
      </c>
      <c r="O275" s="300">
        <f t="shared" ref="O275:O276" si="725">SUM(L275:N275)</f>
        <v>241.05699999610661</v>
      </c>
      <c r="P275" s="300"/>
      <c r="Q275" s="300">
        <f>SUM(Q250,Q255,Q260,Q265,Q270)</f>
        <v>179.10799999703644</v>
      </c>
      <c r="R275" s="300">
        <f t="shared" ref="R275:S275" si="726">SUM(R250,R255,R260,R265,R270)</f>
        <v>28.178999999395042</v>
      </c>
      <c r="S275" s="300">
        <f t="shared" si="726"/>
        <v>53.373000002353841</v>
      </c>
      <c r="T275" s="300">
        <f t="shared" ref="T275:T276" si="727">SUM(Q275:S275)</f>
        <v>260.65999999878534</v>
      </c>
      <c r="U275" s="300"/>
      <c r="V275" s="300">
        <f>SUM(V250,V255,V260,V265,V270)</f>
        <v>173.1779999964769</v>
      </c>
      <c r="W275" s="300">
        <f t="shared" ref="W275:X275" si="728">SUM(W250,W255,W260,W265,W270)</f>
        <v>28.818999999275444</v>
      </c>
      <c r="X275" s="300">
        <f t="shared" si="728"/>
        <v>55.942000001163102</v>
      </c>
      <c r="Y275" s="300">
        <f t="shared" ref="Y275:Y276" si="729">SUM(V275:X275)</f>
        <v>257.93899999691541</v>
      </c>
    </row>
    <row r="276" spans="1:25" x14ac:dyDescent="0.2">
      <c r="A276" s="264" t="s">
        <v>354</v>
      </c>
      <c r="B276" s="301">
        <f>SUM(B274:B275)</f>
        <v>192.18800000352627</v>
      </c>
      <c r="C276" s="301">
        <f t="shared" ref="C276" si="730">SUM(C274:C275)</f>
        <v>38.780000001118566</v>
      </c>
      <c r="D276" s="301">
        <f t="shared" ref="D276" si="731">SUM(D274:D275)</f>
        <v>55.823000001957155</v>
      </c>
      <c r="E276" s="301">
        <f t="shared" si="721"/>
        <v>286.79100000660196</v>
      </c>
      <c r="F276" s="301"/>
      <c r="G276" s="301">
        <f>SUM(G274:G275)</f>
        <v>208.54100000272376</v>
      </c>
      <c r="H276" s="301">
        <f t="shared" ref="H276" si="732">SUM(H274:H275)</f>
        <v>43.564000001145601</v>
      </c>
      <c r="I276" s="301">
        <f t="shared" ref="I276" si="733">SUM(I274:I275)</f>
        <v>68.940999997253869</v>
      </c>
      <c r="J276" s="301">
        <f t="shared" si="723"/>
        <v>321.04600000112322</v>
      </c>
      <c r="K276" s="301"/>
      <c r="L276" s="301">
        <f>SUM(L274:L275)</f>
        <v>215.69699999618643</v>
      </c>
      <c r="M276" s="301">
        <f t="shared" ref="M276" si="734">SUM(M274:M275)</f>
        <v>55.244999999242921</v>
      </c>
      <c r="N276" s="301">
        <f t="shared" ref="N276" si="735">SUM(N274:N275)</f>
        <v>48.862999999833477</v>
      </c>
      <c r="O276" s="301">
        <f t="shared" si="725"/>
        <v>319.80499999526285</v>
      </c>
      <c r="P276" s="301"/>
      <c r="Q276" s="301">
        <f>SUM(Q274:Q275)</f>
        <v>229.44999999753747</v>
      </c>
      <c r="R276" s="301">
        <f t="shared" ref="R276" si="736">SUM(R274:R275)</f>
        <v>59.735999999168371</v>
      </c>
      <c r="S276" s="301">
        <f t="shared" ref="S276" si="737">SUM(S274:S275)</f>
        <v>55.81300000228903</v>
      </c>
      <c r="T276" s="301">
        <f t="shared" si="727"/>
        <v>344.99899999899486</v>
      </c>
      <c r="U276" s="301"/>
      <c r="V276" s="301">
        <f>SUM(V274:V275)</f>
        <v>224.89399999621259</v>
      </c>
      <c r="W276" s="301">
        <f t="shared" ref="W276" si="738">SUM(W274:W275)</f>
        <v>62.116999998808652</v>
      </c>
      <c r="X276" s="301">
        <f t="shared" ref="X276" si="739">SUM(X274:X275)</f>
        <v>58.38000000111402</v>
      </c>
      <c r="Y276" s="301">
        <f t="shared" si="729"/>
        <v>345.39099999613524</v>
      </c>
    </row>
    <row r="277" spans="1:25" x14ac:dyDescent="0.2">
      <c r="C277" s="263"/>
    </row>
    <row r="278" spans="1:25" x14ac:dyDescent="0.2">
      <c r="C278" s="263"/>
    </row>
    <row r="279" spans="1:25" x14ac:dyDescent="0.2">
      <c r="C279" s="263"/>
    </row>
    <row r="280" spans="1:25" ht="15" x14ac:dyDescent="0.25">
      <c r="A280" s="265" t="str">
        <f>"Industry 11 : "&amp; name!B14</f>
        <v>Industry 11 : Accommodation and food</v>
      </c>
      <c r="B280" s="371">
        <f>$B$5</f>
        <v>2015</v>
      </c>
      <c r="C280" s="371"/>
      <c r="D280" s="371"/>
      <c r="E280" s="371"/>
      <c r="F280" s="320"/>
      <c r="G280" s="371">
        <f>$G$5</f>
        <v>2019</v>
      </c>
      <c r="H280" s="371"/>
      <c r="I280" s="371"/>
      <c r="J280" s="371"/>
      <c r="K280" s="320"/>
      <c r="L280" s="371">
        <f>$L$5</f>
        <v>2020</v>
      </c>
      <c r="M280" s="371"/>
      <c r="N280" s="371"/>
      <c r="O280" s="371"/>
      <c r="P280" s="318"/>
      <c r="Q280" s="371">
        <f>$Q$5</f>
        <v>2025</v>
      </c>
      <c r="R280" s="371"/>
      <c r="S280" s="371"/>
      <c r="T280" s="371"/>
      <c r="U280" s="320"/>
      <c r="V280" s="371">
        <f>$V$5</f>
        <v>2035</v>
      </c>
      <c r="W280" s="371"/>
      <c r="X280" s="371"/>
      <c r="Y280" s="371"/>
    </row>
    <row r="281" spans="1:25" x14ac:dyDescent="0.2">
      <c r="A281" s="264"/>
      <c r="B281" s="268" t="str">
        <f>$B$6</f>
        <v>FT</v>
      </c>
      <c r="C281" s="268" t="str">
        <f>$C$6</f>
        <v>PT</v>
      </c>
      <c r="D281" s="268" t="str">
        <f>$D$6</f>
        <v>SE</v>
      </c>
      <c r="E281" s="268" t="str">
        <f>$E$6</f>
        <v>Total</v>
      </c>
      <c r="F281" s="268"/>
      <c r="G281" s="268" t="str">
        <f>$B$6</f>
        <v>FT</v>
      </c>
      <c r="H281" s="268" t="str">
        <f>$C$6</f>
        <v>PT</v>
      </c>
      <c r="I281" s="268" t="str">
        <f>$D$6</f>
        <v>SE</v>
      </c>
      <c r="J281" s="268" t="str">
        <f>$E$6</f>
        <v>Total</v>
      </c>
      <c r="K281" s="268"/>
      <c r="L281" s="268" t="str">
        <f>$L$6</f>
        <v>FT</v>
      </c>
      <c r="M281" s="268" t="str">
        <f>$M$6</f>
        <v>PT</v>
      </c>
      <c r="N281" s="268" t="str">
        <f>$N$6</f>
        <v>SE</v>
      </c>
      <c r="O281" s="268" t="str">
        <f>$O$6</f>
        <v>Total</v>
      </c>
      <c r="P281" s="268"/>
      <c r="Q281" s="268" t="str">
        <f>$L$6</f>
        <v>FT</v>
      </c>
      <c r="R281" s="268" t="str">
        <f>$M$6</f>
        <v>PT</v>
      </c>
      <c r="S281" s="268" t="str">
        <f>$N$6</f>
        <v>SE</v>
      </c>
      <c r="T281" s="268" t="str">
        <f>$O$6</f>
        <v>Total</v>
      </c>
      <c r="U281" s="268"/>
      <c r="V281" s="268" t="str">
        <f>$V$6</f>
        <v>FT</v>
      </c>
      <c r="W281" s="268" t="str">
        <f>$W$6</f>
        <v>PT</v>
      </c>
      <c r="X281" s="268" t="str">
        <f>$X$6</f>
        <v>SE</v>
      </c>
      <c r="Y281" s="268" t="str">
        <f>$Y$6</f>
        <v>Total</v>
      </c>
    </row>
    <row r="282" spans="1:25" x14ac:dyDescent="0.2">
      <c r="C282" s="319"/>
      <c r="D282" s="319"/>
      <c r="E282" s="319"/>
      <c r="F282" s="319"/>
      <c r="G282" s="319"/>
      <c r="H282" s="319"/>
      <c r="I282" s="319"/>
      <c r="J282" s="319"/>
      <c r="K282" s="319"/>
      <c r="L282" s="319"/>
      <c r="M282" s="319"/>
      <c r="N282" s="319"/>
      <c r="O282" s="319"/>
      <c r="P282" s="319"/>
      <c r="Q282" s="319"/>
      <c r="R282" s="319"/>
      <c r="S282" s="319"/>
      <c r="T282" s="319"/>
      <c r="U282" s="319"/>
      <c r="V282" s="319"/>
      <c r="W282" s="319"/>
      <c r="X282" s="319"/>
      <c r="Y282" s="319"/>
    </row>
    <row r="283" spans="1:25" x14ac:dyDescent="0.2">
      <c r="A283" s="261" t="str">
        <f>name!A42</f>
        <v>Accommodation</v>
      </c>
      <c r="C283" s="263"/>
    </row>
    <row r="284" spans="1:25" x14ac:dyDescent="0.2">
      <c r="A284" s="260" t="s">
        <v>356</v>
      </c>
      <c r="B284" s="300">
        <v>21.241000000175241</v>
      </c>
      <c r="C284" s="300">
        <v>7.232000000297953</v>
      </c>
      <c r="D284" s="300">
        <v>1.0330000000361099</v>
      </c>
      <c r="E284" s="300">
        <f>SUM(B284:D284)</f>
        <v>29.506000000509303</v>
      </c>
      <c r="F284" s="300"/>
      <c r="G284" s="300">
        <v>28.685000000019972</v>
      </c>
      <c r="H284" s="300">
        <v>11.010000000398758</v>
      </c>
      <c r="I284" s="300">
        <v>5.7270000001848551</v>
      </c>
      <c r="J284" s="300">
        <f>SUM(G284:I284)</f>
        <v>45.422000000603589</v>
      </c>
      <c r="K284" s="300"/>
      <c r="L284" s="300">
        <v>22.925999999522993</v>
      </c>
      <c r="M284" s="300">
        <v>12.431000000092073</v>
      </c>
      <c r="N284" s="300">
        <v>2.3649999999205114</v>
      </c>
      <c r="O284" s="300">
        <f>SUM(L284:N284)</f>
        <v>37.721999999535583</v>
      </c>
      <c r="P284" s="300"/>
      <c r="Q284" s="300">
        <v>26.500000000186944</v>
      </c>
      <c r="R284" s="300">
        <v>14.867000000309391</v>
      </c>
      <c r="S284" s="300">
        <v>2.7879999999387213</v>
      </c>
      <c r="T284" s="300">
        <f>SUM(Q284:S284)</f>
        <v>44.155000000435052</v>
      </c>
      <c r="U284" s="300"/>
      <c r="V284" s="300">
        <v>28.317999999824924</v>
      </c>
      <c r="W284" s="300">
        <v>16.873999999832037</v>
      </c>
      <c r="X284" s="300">
        <v>3.0829999999711744</v>
      </c>
      <c r="Y284" s="300">
        <f>SUM(V284:X284)</f>
        <v>48.274999999628129</v>
      </c>
    </row>
    <row r="285" spans="1:25" x14ac:dyDescent="0.2">
      <c r="A285" s="260" t="s">
        <v>355</v>
      </c>
      <c r="B285" s="300">
        <v>27.642000000583678</v>
      </c>
      <c r="C285" s="300">
        <v>4.901000000180586</v>
      </c>
      <c r="D285" s="300">
        <v>1.0780000000368299</v>
      </c>
      <c r="E285" s="300">
        <f t="shared" ref="E285:E286" si="740">SUM(B285:D285)</f>
        <v>33.621000000801097</v>
      </c>
      <c r="F285" s="300"/>
      <c r="G285" s="300">
        <v>37.021000000535324</v>
      </c>
      <c r="H285" s="300">
        <v>7.554000000219447</v>
      </c>
      <c r="I285" s="300">
        <v>3.0840000000448731</v>
      </c>
      <c r="J285" s="300">
        <f t="shared" ref="J285:J286" si="741">SUM(G285:I285)</f>
        <v>47.659000000799644</v>
      </c>
      <c r="K285" s="300"/>
      <c r="L285" s="300">
        <v>29.044999999473198</v>
      </c>
      <c r="M285" s="300">
        <v>8.897999999816312</v>
      </c>
      <c r="N285" s="300">
        <v>1.6330000000042106</v>
      </c>
      <c r="O285" s="300">
        <f t="shared" ref="O285:O286" si="742">SUM(L285:N285)</f>
        <v>39.575999999293721</v>
      </c>
      <c r="P285" s="300"/>
      <c r="Q285" s="300">
        <v>33.396999999615744</v>
      </c>
      <c r="R285" s="300">
        <v>10.449999999872565</v>
      </c>
      <c r="S285" s="300">
        <v>1.9270000000422529</v>
      </c>
      <c r="T285" s="300">
        <f t="shared" ref="T285:T286" si="743">SUM(Q285:S285)</f>
        <v>45.773999999530567</v>
      </c>
      <c r="U285" s="300"/>
      <c r="V285" s="300">
        <v>35.45199999947571</v>
      </c>
      <c r="W285" s="300">
        <v>11.391000000012022</v>
      </c>
      <c r="X285" s="300">
        <v>2.1270000000574667</v>
      </c>
      <c r="Y285" s="300">
        <f t="shared" ref="Y285:Y286" si="744">SUM(V285:X285)</f>
        <v>48.969999999545195</v>
      </c>
    </row>
    <row r="286" spans="1:25" x14ac:dyDescent="0.2">
      <c r="A286" s="260" t="s">
        <v>354</v>
      </c>
      <c r="B286" s="300">
        <f>SUM(B284:B285)</f>
        <v>48.883000000758919</v>
      </c>
      <c r="C286" s="300">
        <f t="shared" ref="C286" si="745">SUM(C284:C285)</f>
        <v>12.133000000478539</v>
      </c>
      <c r="D286" s="300">
        <f t="shared" ref="D286" si="746">SUM(D284:D285)</f>
        <v>2.1110000000729396</v>
      </c>
      <c r="E286" s="300">
        <f t="shared" si="740"/>
        <v>63.1270000013104</v>
      </c>
      <c r="F286" s="300"/>
      <c r="G286" s="300">
        <f>SUM(G284:G285)</f>
        <v>65.706000000555292</v>
      </c>
      <c r="H286" s="300">
        <f t="shared" ref="H286" si="747">SUM(H284:H285)</f>
        <v>18.564000000618204</v>
      </c>
      <c r="I286" s="300">
        <f t="shared" ref="I286" si="748">SUM(I284:I285)</f>
        <v>8.8110000002297291</v>
      </c>
      <c r="J286" s="300">
        <f t="shared" si="741"/>
        <v>93.081000001403225</v>
      </c>
      <c r="K286" s="300"/>
      <c r="L286" s="300">
        <f>SUM(L284:L285)</f>
        <v>51.970999998996191</v>
      </c>
      <c r="M286" s="300">
        <f t="shared" ref="M286" si="749">SUM(M284:M285)</f>
        <v>21.328999999908383</v>
      </c>
      <c r="N286" s="300">
        <f t="shared" ref="N286" si="750">SUM(N284:N285)</f>
        <v>3.9979999999247218</v>
      </c>
      <c r="O286" s="300">
        <f t="shared" si="742"/>
        <v>77.297999998829297</v>
      </c>
      <c r="P286" s="300"/>
      <c r="Q286" s="300">
        <f>SUM(Q284:Q285)</f>
        <v>59.896999999802688</v>
      </c>
      <c r="R286" s="300">
        <f t="shared" ref="R286" si="751">SUM(R284:R285)</f>
        <v>25.317000000181956</v>
      </c>
      <c r="S286" s="300">
        <f t="shared" ref="S286" si="752">SUM(S284:S285)</f>
        <v>4.7149999999809742</v>
      </c>
      <c r="T286" s="300">
        <f t="shared" si="743"/>
        <v>89.928999999965626</v>
      </c>
      <c r="U286" s="300"/>
      <c r="V286" s="300">
        <f>SUM(V284:V285)</f>
        <v>63.769999999300637</v>
      </c>
      <c r="W286" s="300">
        <f t="shared" ref="W286" si="753">SUM(W284:W285)</f>
        <v>28.264999999844058</v>
      </c>
      <c r="X286" s="300">
        <f t="shared" ref="X286" si="754">SUM(X284:X285)</f>
        <v>5.2100000000286411</v>
      </c>
      <c r="Y286" s="300">
        <f t="shared" si="744"/>
        <v>97.244999999173345</v>
      </c>
    </row>
    <row r="287" spans="1:25" x14ac:dyDescent="0.2">
      <c r="C287" s="319"/>
      <c r="D287" s="319"/>
      <c r="E287" s="319"/>
      <c r="F287" s="319"/>
      <c r="G287" s="319"/>
      <c r="H287" s="319"/>
      <c r="I287" s="319"/>
      <c r="J287" s="319"/>
      <c r="K287" s="319"/>
      <c r="L287" s="319"/>
      <c r="M287" s="319"/>
      <c r="N287" s="319"/>
      <c r="O287" s="319"/>
      <c r="P287" s="319"/>
      <c r="Q287" s="319"/>
      <c r="R287" s="319"/>
      <c r="S287" s="319"/>
      <c r="T287" s="319"/>
      <c r="U287" s="319"/>
      <c r="V287" s="319"/>
      <c r="W287" s="319"/>
      <c r="X287" s="319"/>
      <c r="Y287" s="319"/>
    </row>
    <row r="288" spans="1:25" x14ac:dyDescent="0.2">
      <c r="A288" s="261" t="str">
        <f>name!A43</f>
        <v>Food and beverage services</v>
      </c>
      <c r="C288" s="263"/>
    </row>
    <row r="289" spans="1:25" x14ac:dyDescent="0.2">
      <c r="A289" s="260" t="s">
        <v>356</v>
      </c>
      <c r="B289" s="300">
        <v>61.964000000511142</v>
      </c>
      <c r="C289" s="300">
        <v>75.019000003090724</v>
      </c>
      <c r="D289" s="300">
        <v>2.4310000000849787</v>
      </c>
      <c r="E289" s="300">
        <f>SUM(B289:D289)</f>
        <v>139.41400000368685</v>
      </c>
      <c r="F289" s="300"/>
      <c r="G289" s="300">
        <v>71.466000000049789</v>
      </c>
      <c r="H289" s="300">
        <v>92.006000003332304</v>
      </c>
      <c r="I289" s="300">
        <v>7.7700000002507954</v>
      </c>
      <c r="J289" s="300">
        <f>SUM(G289:I289)</f>
        <v>171.24200000363291</v>
      </c>
      <c r="K289" s="300"/>
      <c r="L289" s="300">
        <v>66.867999998608738</v>
      </c>
      <c r="M289" s="300">
        <v>98.222000000727505</v>
      </c>
      <c r="N289" s="300">
        <v>4.1019999998621364</v>
      </c>
      <c r="O289" s="300">
        <f>SUM(L289:N289)</f>
        <v>169.19199999919837</v>
      </c>
      <c r="P289" s="300"/>
      <c r="Q289" s="300">
        <v>69.907000000493142</v>
      </c>
      <c r="R289" s="300">
        <v>101.50800000211238</v>
      </c>
      <c r="S289" s="300">
        <v>4.3069999999053419</v>
      </c>
      <c r="T289" s="300">
        <f>SUM(Q289:S289)</f>
        <v>175.72200000251087</v>
      </c>
      <c r="U289" s="300"/>
      <c r="V289" s="300">
        <v>84.305999999478757</v>
      </c>
      <c r="W289" s="300">
        <v>119.04799999881496</v>
      </c>
      <c r="X289" s="300">
        <v>5.1939999999514397</v>
      </c>
      <c r="Y289" s="300">
        <f>SUM(V289:X289)</f>
        <v>208.54799999824516</v>
      </c>
    </row>
    <row r="290" spans="1:25" x14ac:dyDescent="0.2">
      <c r="A290" s="260" t="s">
        <v>355</v>
      </c>
      <c r="B290" s="300">
        <v>97.423000002057151</v>
      </c>
      <c r="C290" s="300">
        <v>65.596000002417014</v>
      </c>
      <c r="D290" s="300">
        <v>4.7500000001622809</v>
      </c>
      <c r="E290" s="300">
        <f t="shared" ref="E290:E291" si="755">SUM(B290:D290)</f>
        <v>167.76900000463644</v>
      </c>
      <c r="F290" s="300"/>
      <c r="G290" s="300">
        <v>109.547000001584</v>
      </c>
      <c r="H290" s="300">
        <v>75.797000002201912</v>
      </c>
      <c r="I290" s="300">
        <v>9.1180000001326658</v>
      </c>
      <c r="J290" s="300">
        <f t="shared" ref="J290:J291" si="756">SUM(G290:I290)</f>
        <v>194.46200000391858</v>
      </c>
      <c r="K290" s="300"/>
      <c r="L290" s="300">
        <v>92.544999998321515</v>
      </c>
      <c r="M290" s="300">
        <v>85.652999998231778</v>
      </c>
      <c r="N290" s="300">
        <v>3.3010000000085133</v>
      </c>
      <c r="O290" s="300">
        <f t="shared" ref="O290:O291" si="757">SUM(L290:N290)</f>
        <v>181.49899999656179</v>
      </c>
      <c r="P290" s="300"/>
      <c r="Q290" s="300">
        <v>97.268999998880844</v>
      </c>
      <c r="R290" s="300">
        <v>88.702999998918315</v>
      </c>
      <c r="S290" s="300">
        <v>3.4560000000757811</v>
      </c>
      <c r="T290" s="300">
        <f t="shared" ref="T290:T291" si="758">SUM(Q290:S290)</f>
        <v>189.42799999787496</v>
      </c>
      <c r="U290" s="300"/>
      <c r="V290" s="300">
        <v>118.60999999824585</v>
      </c>
      <c r="W290" s="300">
        <v>104.7870000001106</v>
      </c>
      <c r="X290" s="300">
        <v>4.1630000001124756</v>
      </c>
      <c r="Y290" s="300">
        <f t="shared" ref="Y290:Y291" si="759">SUM(V290:X290)</f>
        <v>227.55999999846892</v>
      </c>
    </row>
    <row r="291" spans="1:25" x14ac:dyDescent="0.2">
      <c r="A291" s="260" t="s">
        <v>354</v>
      </c>
      <c r="B291" s="300">
        <f>SUM(B289:B290)</f>
        <v>159.3870000025683</v>
      </c>
      <c r="C291" s="300">
        <f t="shared" ref="C291" si="760">SUM(C289:C290)</f>
        <v>140.61500000550774</v>
      </c>
      <c r="D291" s="300">
        <f t="shared" ref="D291" si="761">SUM(D289:D290)</f>
        <v>7.1810000002472592</v>
      </c>
      <c r="E291" s="300">
        <f t="shared" si="755"/>
        <v>307.18300000832329</v>
      </c>
      <c r="F291" s="300"/>
      <c r="G291" s="300">
        <f>SUM(G289:G290)</f>
        <v>181.01300000163377</v>
      </c>
      <c r="H291" s="300">
        <f t="shared" ref="H291" si="762">SUM(H289:H290)</f>
        <v>167.80300000553422</v>
      </c>
      <c r="I291" s="300">
        <f t="shared" ref="I291" si="763">SUM(I289:I290)</f>
        <v>16.88800000038346</v>
      </c>
      <c r="J291" s="300">
        <f t="shared" si="756"/>
        <v>365.70400000755143</v>
      </c>
      <c r="K291" s="300"/>
      <c r="L291" s="300">
        <f>SUM(L289:L290)</f>
        <v>159.41299999693024</v>
      </c>
      <c r="M291" s="300">
        <f t="shared" ref="M291" si="764">SUM(M289:M290)</f>
        <v>183.87499999895928</v>
      </c>
      <c r="N291" s="300">
        <f t="shared" ref="N291" si="765">SUM(N289:N290)</f>
        <v>7.4029999998706497</v>
      </c>
      <c r="O291" s="300">
        <f t="shared" si="757"/>
        <v>350.69099999576019</v>
      </c>
      <c r="P291" s="300"/>
      <c r="Q291" s="300">
        <f>SUM(Q289:Q290)</f>
        <v>167.17599999937397</v>
      </c>
      <c r="R291" s="300">
        <f t="shared" ref="R291" si="766">SUM(R289:R290)</f>
        <v>190.2110000010307</v>
      </c>
      <c r="S291" s="300">
        <f t="shared" ref="S291" si="767">SUM(S289:S290)</f>
        <v>7.7629999999811226</v>
      </c>
      <c r="T291" s="300">
        <f t="shared" si="758"/>
        <v>365.15000000038577</v>
      </c>
      <c r="U291" s="300"/>
      <c r="V291" s="300">
        <f>SUM(V289:V290)</f>
        <v>202.91599999772461</v>
      </c>
      <c r="W291" s="300">
        <f t="shared" ref="W291" si="768">SUM(W289:W290)</f>
        <v>223.83499999892555</v>
      </c>
      <c r="X291" s="300">
        <f t="shared" ref="X291" si="769">SUM(X289:X290)</f>
        <v>9.3570000000639162</v>
      </c>
      <c r="Y291" s="300">
        <f t="shared" si="759"/>
        <v>436.10799999671411</v>
      </c>
    </row>
    <row r="292" spans="1:25" x14ac:dyDescent="0.2">
      <c r="C292" s="263"/>
    </row>
    <row r="293" spans="1:25" x14ac:dyDescent="0.2">
      <c r="A293" s="261" t="s">
        <v>365</v>
      </c>
    </row>
    <row r="294" spans="1:25" x14ac:dyDescent="0.2">
      <c r="A294" s="260" t="s">
        <v>356</v>
      </c>
      <c r="B294" s="300">
        <f>SUM(B284,B289)</f>
        <v>83.205000000686383</v>
      </c>
      <c r="C294" s="300">
        <f t="shared" ref="C294:D295" si="770">SUM(C284,C289)</f>
        <v>82.251000003388683</v>
      </c>
      <c r="D294" s="300">
        <f t="shared" si="770"/>
        <v>3.4640000001210884</v>
      </c>
      <c r="E294" s="300">
        <f>SUM(B294:D294)</f>
        <v>168.92000000419614</v>
      </c>
      <c r="F294" s="300"/>
      <c r="G294" s="300">
        <f>SUM(G284,G289)</f>
        <v>100.15100000006976</v>
      </c>
      <c r="H294" s="300">
        <f t="shared" ref="H294:I294" si="771">SUM(H284,H289)</f>
        <v>103.01600000373107</v>
      </c>
      <c r="I294" s="300">
        <f t="shared" si="771"/>
        <v>13.497000000435651</v>
      </c>
      <c r="J294" s="300">
        <f>SUM(G294:I294)</f>
        <v>216.66400000423647</v>
      </c>
      <c r="K294" s="300"/>
      <c r="L294" s="300">
        <f>SUM(L284,L289)</f>
        <v>89.793999998131738</v>
      </c>
      <c r="M294" s="300">
        <f t="shared" ref="M294:N294" si="772">SUM(M284,M289)</f>
        <v>110.65300000081957</v>
      </c>
      <c r="N294" s="300">
        <f t="shared" si="772"/>
        <v>6.4669999997826473</v>
      </c>
      <c r="O294" s="300">
        <f>SUM(L294:N294)</f>
        <v>206.91399999873394</v>
      </c>
      <c r="P294" s="300"/>
      <c r="Q294" s="300">
        <f>SUM(Q284,Q289)</f>
        <v>96.407000000680085</v>
      </c>
      <c r="R294" s="300">
        <f t="shared" ref="R294:S294" si="773">SUM(R284,R289)</f>
        <v>116.37500000242177</v>
      </c>
      <c r="S294" s="300">
        <f t="shared" si="773"/>
        <v>7.0949999998440632</v>
      </c>
      <c r="T294" s="300">
        <f>SUM(Q294:S294)</f>
        <v>219.87700000294592</v>
      </c>
      <c r="U294" s="300"/>
      <c r="V294" s="300">
        <f>SUM(V284,V289)</f>
        <v>112.62399999930368</v>
      </c>
      <c r="W294" s="300">
        <f t="shared" ref="W294:X294" si="774">SUM(W284,W289)</f>
        <v>135.92199999864698</v>
      </c>
      <c r="X294" s="300">
        <f t="shared" si="774"/>
        <v>8.276999999922614</v>
      </c>
      <c r="Y294" s="300">
        <f>SUM(V294:X294)</f>
        <v>256.8229999978733</v>
      </c>
    </row>
    <row r="295" spans="1:25" x14ac:dyDescent="0.2">
      <c r="A295" s="260" t="s">
        <v>355</v>
      </c>
      <c r="B295" s="300">
        <f>SUM(B285,B290)</f>
        <v>125.06500000264083</v>
      </c>
      <c r="C295" s="300">
        <f t="shared" si="770"/>
        <v>70.497000002597602</v>
      </c>
      <c r="D295" s="300">
        <f t="shared" si="770"/>
        <v>5.8280000001991112</v>
      </c>
      <c r="E295" s="300">
        <f t="shared" ref="E295:E296" si="775">SUM(B295:D295)</f>
        <v>201.39000000543751</v>
      </c>
      <c r="F295" s="300"/>
      <c r="G295" s="300">
        <f>SUM(G285,G290)</f>
        <v>146.56800000211933</v>
      </c>
      <c r="H295" s="300">
        <f t="shared" ref="H295:I295" si="776">SUM(H285,H290)</f>
        <v>83.351000002421358</v>
      </c>
      <c r="I295" s="300">
        <f t="shared" si="776"/>
        <v>12.202000000177538</v>
      </c>
      <c r="J295" s="300">
        <f t="shared" ref="J295:J296" si="777">SUM(G295:I295)</f>
        <v>242.12100000471824</v>
      </c>
      <c r="K295" s="300"/>
      <c r="L295" s="300">
        <f>SUM(L285,L290)</f>
        <v>121.58999999779471</v>
      </c>
      <c r="M295" s="300">
        <f t="shared" ref="M295:N295" si="778">SUM(M285,M290)</f>
        <v>94.550999998048084</v>
      </c>
      <c r="N295" s="300">
        <f t="shared" si="778"/>
        <v>4.9340000000127242</v>
      </c>
      <c r="O295" s="300">
        <f t="shared" ref="O295:O296" si="779">SUM(L295:N295)</f>
        <v>221.07499999585551</v>
      </c>
      <c r="P295" s="300"/>
      <c r="Q295" s="300">
        <f>SUM(Q285,Q290)</f>
        <v>130.6659999984966</v>
      </c>
      <c r="R295" s="300">
        <f t="shared" ref="R295:S295" si="780">SUM(R285,R290)</f>
        <v>99.152999998790875</v>
      </c>
      <c r="S295" s="300">
        <f t="shared" si="780"/>
        <v>5.3830000001180345</v>
      </c>
      <c r="T295" s="300">
        <f t="shared" ref="T295:T296" si="781">SUM(Q295:S295)</f>
        <v>235.20199999740552</v>
      </c>
      <c r="U295" s="300"/>
      <c r="V295" s="300">
        <f>SUM(V285,V290)</f>
        <v>154.06199999772156</v>
      </c>
      <c r="W295" s="300">
        <f t="shared" ref="W295:X295" si="782">SUM(W285,W290)</f>
        <v>116.17800000012262</v>
      </c>
      <c r="X295" s="300">
        <f t="shared" si="782"/>
        <v>6.2900000001699423</v>
      </c>
      <c r="Y295" s="300">
        <f t="shared" ref="Y295:Y296" si="783">SUM(V295:X295)</f>
        <v>276.52999999801409</v>
      </c>
    </row>
    <row r="296" spans="1:25" x14ac:dyDescent="0.2">
      <c r="A296" s="264" t="s">
        <v>354</v>
      </c>
      <c r="B296" s="301">
        <f>SUM(B294:B295)</f>
        <v>208.2700000033272</v>
      </c>
      <c r="C296" s="301">
        <f t="shared" ref="C296" si="784">SUM(C294:C295)</f>
        <v>152.74800000598628</v>
      </c>
      <c r="D296" s="301">
        <f t="shared" ref="D296" si="785">SUM(D294:D295)</f>
        <v>9.2920000003202006</v>
      </c>
      <c r="E296" s="301">
        <f t="shared" si="775"/>
        <v>370.31000000963365</v>
      </c>
      <c r="F296" s="301"/>
      <c r="G296" s="301">
        <f>SUM(G294:G295)</f>
        <v>246.71900000218909</v>
      </c>
      <c r="H296" s="301">
        <f t="shared" ref="H296" si="786">SUM(H294:H295)</f>
        <v>186.36700000615241</v>
      </c>
      <c r="I296" s="301">
        <f t="shared" ref="I296" si="787">SUM(I294:I295)</f>
        <v>25.699000000613189</v>
      </c>
      <c r="J296" s="301">
        <f t="shared" si="777"/>
        <v>458.78500000895468</v>
      </c>
      <c r="K296" s="301"/>
      <c r="L296" s="301">
        <f>SUM(L294:L295)</f>
        <v>211.38399999592644</v>
      </c>
      <c r="M296" s="301">
        <f t="shared" ref="M296" si="788">SUM(M294:M295)</f>
        <v>205.20399999886766</v>
      </c>
      <c r="N296" s="301">
        <f t="shared" ref="N296" si="789">SUM(N294:N295)</f>
        <v>11.400999999795371</v>
      </c>
      <c r="O296" s="301">
        <f t="shared" si="779"/>
        <v>427.98899999458951</v>
      </c>
      <c r="P296" s="301"/>
      <c r="Q296" s="301">
        <f>SUM(Q294:Q295)</f>
        <v>227.07299999917669</v>
      </c>
      <c r="R296" s="301">
        <f t="shared" ref="R296" si="790">SUM(R294:R295)</f>
        <v>215.52800000121266</v>
      </c>
      <c r="S296" s="301">
        <f t="shared" ref="S296" si="791">SUM(S294:S295)</f>
        <v>12.477999999962098</v>
      </c>
      <c r="T296" s="301">
        <f t="shared" si="781"/>
        <v>455.07900000035147</v>
      </c>
      <c r="U296" s="301"/>
      <c r="V296" s="301">
        <f>SUM(V294:V295)</f>
        <v>266.68599999702525</v>
      </c>
      <c r="W296" s="301">
        <f t="shared" ref="W296" si="792">SUM(W294:W295)</f>
        <v>252.09999999876959</v>
      </c>
      <c r="X296" s="301">
        <f t="shared" ref="X296" si="793">SUM(X294:X295)</f>
        <v>14.567000000092555</v>
      </c>
      <c r="Y296" s="301">
        <f t="shared" si="783"/>
        <v>533.35299999588733</v>
      </c>
    </row>
    <row r="297" spans="1:25" x14ac:dyDescent="0.2">
      <c r="C297" s="263"/>
    </row>
    <row r="298" spans="1:25" x14ac:dyDescent="0.2">
      <c r="C298" s="263"/>
    </row>
    <row r="299" spans="1:25" x14ac:dyDescent="0.2">
      <c r="C299" s="263"/>
    </row>
    <row r="300" spans="1:25" ht="15" x14ac:dyDescent="0.25">
      <c r="A300" s="265" t="str">
        <f>"Industry 12 : "&amp; name!B15</f>
        <v>Industry 12 : Media</v>
      </c>
      <c r="B300" s="371">
        <f>$B$5</f>
        <v>2015</v>
      </c>
      <c r="C300" s="371"/>
      <c r="D300" s="371"/>
      <c r="E300" s="371"/>
      <c r="F300" s="320"/>
      <c r="G300" s="371">
        <f>$G$5</f>
        <v>2019</v>
      </c>
      <c r="H300" s="371"/>
      <c r="I300" s="371"/>
      <c r="J300" s="371"/>
      <c r="K300" s="320"/>
      <c r="L300" s="371">
        <f>$L$5</f>
        <v>2020</v>
      </c>
      <c r="M300" s="371"/>
      <c r="N300" s="371"/>
      <c r="O300" s="371"/>
      <c r="P300" s="318"/>
      <c r="Q300" s="371">
        <f>$Q$5</f>
        <v>2025</v>
      </c>
      <c r="R300" s="371"/>
      <c r="S300" s="371"/>
      <c r="T300" s="371"/>
      <c r="U300" s="320"/>
      <c r="V300" s="371">
        <f>$V$5</f>
        <v>2035</v>
      </c>
      <c r="W300" s="371"/>
      <c r="X300" s="371"/>
      <c r="Y300" s="371"/>
    </row>
    <row r="301" spans="1:25" x14ac:dyDescent="0.2">
      <c r="A301" s="264"/>
      <c r="B301" s="268" t="str">
        <f>$B$6</f>
        <v>FT</v>
      </c>
      <c r="C301" s="268" t="str">
        <f>$C$6</f>
        <v>PT</v>
      </c>
      <c r="D301" s="268" t="str">
        <f>$D$6</f>
        <v>SE</v>
      </c>
      <c r="E301" s="268" t="str">
        <f>$E$6</f>
        <v>Total</v>
      </c>
      <c r="F301" s="268"/>
      <c r="G301" s="268" t="str">
        <f>$B$6</f>
        <v>FT</v>
      </c>
      <c r="H301" s="268" t="str">
        <f>$C$6</f>
        <v>PT</v>
      </c>
      <c r="I301" s="268" t="str">
        <f>$D$6</f>
        <v>SE</v>
      </c>
      <c r="J301" s="268" t="str">
        <f>$E$6</f>
        <v>Total</v>
      </c>
      <c r="K301" s="268"/>
      <c r="L301" s="268" t="str">
        <f>$L$6</f>
        <v>FT</v>
      </c>
      <c r="M301" s="268" t="str">
        <f>$M$6</f>
        <v>PT</v>
      </c>
      <c r="N301" s="268" t="str">
        <f>$N$6</f>
        <v>SE</v>
      </c>
      <c r="O301" s="268" t="str">
        <f>$O$6</f>
        <v>Total</v>
      </c>
      <c r="P301" s="268"/>
      <c r="Q301" s="268" t="str">
        <f>$L$6</f>
        <v>FT</v>
      </c>
      <c r="R301" s="268" t="str">
        <f>$M$6</f>
        <v>PT</v>
      </c>
      <c r="S301" s="268" t="str">
        <f>$N$6</f>
        <v>SE</v>
      </c>
      <c r="T301" s="268" t="str">
        <f>$O$6</f>
        <v>Total</v>
      </c>
      <c r="U301" s="268"/>
      <c r="V301" s="268" t="str">
        <f>$V$6</f>
        <v>FT</v>
      </c>
      <c r="W301" s="268" t="str">
        <f>$W$6</f>
        <v>PT</v>
      </c>
      <c r="X301" s="268" t="str">
        <f>$X$6</f>
        <v>SE</v>
      </c>
      <c r="Y301" s="268" t="str">
        <f>$Y$6</f>
        <v>Total</v>
      </c>
    </row>
    <row r="302" spans="1:25" x14ac:dyDescent="0.2">
      <c r="C302" s="319"/>
      <c r="D302" s="319"/>
      <c r="E302" s="319"/>
      <c r="F302" s="319"/>
      <c r="G302" s="319"/>
      <c r="H302" s="319"/>
      <c r="I302" s="319"/>
      <c r="J302" s="319"/>
      <c r="K302" s="319"/>
      <c r="L302" s="319"/>
      <c r="M302" s="319"/>
      <c r="N302" s="319"/>
      <c r="O302" s="319"/>
      <c r="P302" s="319"/>
      <c r="Q302" s="319"/>
      <c r="R302" s="319"/>
      <c r="S302" s="319"/>
      <c r="T302" s="319"/>
      <c r="U302" s="319"/>
      <c r="V302" s="319"/>
      <c r="W302" s="319"/>
      <c r="X302" s="319"/>
      <c r="Y302" s="319"/>
    </row>
    <row r="303" spans="1:25" x14ac:dyDescent="0.2">
      <c r="A303" s="261" t="str">
        <f>name!A44</f>
        <v>Publishing activities</v>
      </c>
      <c r="C303" s="263"/>
    </row>
    <row r="304" spans="1:25" x14ac:dyDescent="0.2">
      <c r="A304" s="260" t="s">
        <v>356</v>
      </c>
      <c r="B304" s="300">
        <v>18.0509999997563</v>
      </c>
      <c r="C304" s="300">
        <v>4.1539999999879811</v>
      </c>
      <c r="D304" s="300">
        <v>6.0600000000207306</v>
      </c>
      <c r="E304" s="300">
        <f>SUM(B304:D304)</f>
        <v>28.26499999976501</v>
      </c>
      <c r="F304" s="300"/>
      <c r="G304" s="300">
        <v>17.926999999738438</v>
      </c>
      <c r="H304" s="300">
        <v>3.6659999999955617</v>
      </c>
      <c r="I304" s="300">
        <v>7.5440000000345631</v>
      </c>
      <c r="J304" s="300">
        <f>SUM(G304:I304)</f>
        <v>29.136999999768562</v>
      </c>
      <c r="K304" s="300"/>
      <c r="L304" s="300">
        <v>19.966999999960404</v>
      </c>
      <c r="M304" s="300">
        <v>3.8839999999689847</v>
      </c>
      <c r="N304" s="300">
        <v>5.7729999999525798</v>
      </c>
      <c r="O304" s="300">
        <f>SUM(L304:N304)</f>
        <v>29.623999999881967</v>
      </c>
      <c r="P304" s="300"/>
      <c r="Q304" s="300">
        <v>20.889000000529169</v>
      </c>
      <c r="R304" s="300">
        <v>4.1239999999500512</v>
      </c>
      <c r="S304" s="300">
        <v>5.9420000000946827</v>
      </c>
      <c r="T304" s="300">
        <f>SUM(Q304:S304)</f>
        <v>30.955000000573904</v>
      </c>
      <c r="U304" s="300"/>
      <c r="V304" s="300">
        <v>21.540000000007915</v>
      </c>
      <c r="W304" s="300">
        <v>4.227999999977949</v>
      </c>
      <c r="X304" s="300">
        <v>5.7530000000302008</v>
      </c>
      <c r="Y304" s="300">
        <f>SUM(V304:X304)</f>
        <v>31.521000000016066</v>
      </c>
    </row>
    <row r="305" spans="1:25" x14ac:dyDescent="0.2">
      <c r="A305" s="260" t="s">
        <v>355</v>
      </c>
      <c r="B305" s="300">
        <v>27.766999999593143</v>
      </c>
      <c r="C305" s="300">
        <v>2.1189999999882785</v>
      </c>
      <c r="D305" s="300">
        <v>9.1840000001411912</v>
      </c>
      <c r="E305" s="300">
        <f t="shared" ref="E305:E306" si="794">SUM(B305:D305)</f>
        <v>39.069999999722612</v>
      </c>
      <c r="F305" s="300"/>
      <c r="G305" s="300">
        <v>26.196999999718237</v>
      </c>
      <c r="H305" s="300">
        <v>1.8439999999855285</v>
      </c>
      <c r="I305" s="300">
        <v>8.3069999999557371</v>
      </c>
      <c r="J305" s="300">
        <f t="shared" ref="J305:J306" si="795">SUM(G305:I305)</f>
        <v>36.3479999996595</v>
      </c>
      <c r="K305" s="300"/>
      <c r="L305" s="300">
        <v>26.827000000178145</v>
      </c>
      <c r="M305" s="300">
        <v>2.3440000000124415</v>
      </c>
      <c r="N305" s="300">
        <v>9.1500000003481663</v>
      </c>
      <c r="O305" s="300">
        <f t="shared" ref="O305:O306" si="796">SUM(L305:N305)</f>
        <v>38.321000000538753</v>
      </c>
      <c r="P305" s="300"/>
      <c r="Q305" s="300">
        <v>27.944000000290576</v>
      </c>
      <c r="R305" s="300">
        <v>2.5730000000140754</v>
      </c>
      <c r="S305" s="300">
        <v>9.645000000738067</v>
      </c>
      <c r="T305" s="300">
        <f t="shared" ref="T305:T306" si="797">SUM(Q305:S305)</f>
        <v>40.16200000104272</v>
      </c>
      <c r="U305" s="300"/>
      <c r="V305" s="300">
        <v>28.275000000407069</v>
      </c>
      <c r="W305" s="300">
        <v>2.8050000000260669</v>
      </c>
      <c r="X305" s="300">
        <v>9.9580000005949429</v>
      </c>
      <c r="Y305" s="300">
        <f t="shared" ref="Y305:Y306" si="798">SUM(V305:X305)</f>
        <v>41.038000001028081</v>
      </c>
    </row>
    <row r="306" spans="1:25" x14ac:dyDescent="0.2">
      <c r="A306" s="260" t="s">
        <v>354</v>
      </c>
      <c r="B306" s="300">
        <f>SUM(B304:B305)</f>
        <v>45.817999999349439</v>
      </c>
      <c r="C306" s="300">
        <f t="shared" ref="C306" si="799">SUM(C304:C305)</f>
        <v>6.2729999999762596</v>
      </c>
      <c r="D306" s="300">
        <f t="shared" ref="D306" si="800">SUM(D304:D305)</f>
        <v>15.244000000161922</v>
      </c>
      <c r="E306" s="300">
        <f t="shared" si="794"/>
        <v>67.334999999487621</v>
      </c>
      <c r="F306" s="300"/>
      <c r="G306" s="300">
        <f>SUM(G304:G305)</f>
        <v>44.123999999456672</v>
      </c>
      <c r="H306" s="300">
        <f t="shared" ref="H306" si="801">SUM(H304:H305)</f>
        <v>5.5099999999810905</v>
      </c>
      <c r="I306" s="300">
        <f t="shared" ref="I306" si="802">SUM(I304:I305)</f>
        <v>15.8509999999903</v>
      </c>
      <c r="J306" s="300">
        <f t="shared" si="795"/>
        <v>65.484999999428055</v>
      </c>
      <c r="K306" s="300"/>
      <c r="L306" s="300">
        <f>SUM(L304:L305)</f>
        <v>46.794000000138553</v>
      </c>
      <c r="M306" s="300">
        <f t="shared" ref="M306" si="803">SUM(M304:M305)</f>
        <v>6.2279999999814262</v>
      </c>
      <c r="N306" s="300">
        <f t="shared" ref="N306" si="804">SUM(N304:N305)</f>
        <v>14.923000000300746</v>
      </c>
      <c r="O306" s="300">
        <f t="shared" si="796"/>
        <v>67.94500000042072</v>
      </c>
      <c r="P306" s="300"/>
      <c r="Q306" s="300">
        <f>SUM(Q304:Q305)</f>
        <v>48.833000000819744</v>
      </c>
      <c r="R306" s="300">
        <f t="shared" ref="R306" si="805">SUM(R304:R305)</f>
        <v>6.6969999999641265</v>
      </c>
      <c r="S306" s="300">
        <f t="shared" ref="S306" si="806">SUM(S304:S305)</f>
        <v>15.587000000832749</v>
      </c>
      <c r="T306" s="300">
        <f t="shared" si="797"/>
        <v>71.117000001616617</v>
      </c>
      <c r="U306" s="300"/>
      <c r="V306" s="300">
        <f>SUM(V304:V305)</f>
        <v>49.815000000414983</v>
      </c>
      <c r="W306" s="300">
        <f t="shared" ref="W306" si="807">SUM(W304:W305)</f>
        <v>7.0330000000040158</v>
      </c>
      <c r="X306" s="300">
        <f t="shared" ref="X306" si="808">SUM(X304:X305)</f>
        <v>15.711000000625145</v>
      </c>
      <c r="Y306" s="300">
        <f t="shared" si="798"/>
        <v>72.55900000104414</v>
      </c>
    </row>
    <row r="307" spans="1:25" x14ac:dyDescent="0.2">
      <c r="C307" s="319"/>
      <c r="D307" s="319"/>
      <c r="E307" s="319"/>
      <c r="F307" s="319"/>
      <c r="G307" s="319"/>
      <c r="H307" s="319"/>
      <c r="I307" s="319"/>
      <c r="J307" s="319"/>
      <c r="K307" s="319"/>
      <c r="L307" s="319"/>
      <c r="M307" s="319"/>
      <c r="N307" s="319"/>
      <c r="O307" s="319"/>
      <c r="P307" s="319"/>
      <c r="Q307" s="319"/>
      <c r="R307" s="319"/>
      <c r="S307" s="319"/>
      <c r="T307" s="319"/>
      <c r="U307" s="319"/>
      <c r="V307" s="319"/>
      <c r="W307" s="319"/>
      <c r="X307" s="319"/>
      <c r="Y307" s="319"/>
    </row>
    <row r="308" spans="1:25" x14ac:dyDescent="0.2">
      <c r="A308" s="261" t="str">
        <f>name!A45</f>
        <v>Film and music</v>
      </c>
      <c r="C308" s="263"/>
    </row>
    <row r="309" spans="1:25" x14ac:dyDescent="0.2">
      <c r="A309" s="260" t="s">
        <v>356</v>
      </c>
      <c r="B309" s="300">
        <v>25.752999999765237</v>
      </c>
      <c r="C309" s="300">
        <v>4.3090000000107969</v>
      </c>
      <c r="D309" s="300">
        <v>5.5180000000731635</v>
      </c>
      <c r="E309" s="300">
        <f>SUM(B309:D309)</f>
        <v>35.5799999998492</v>
      </c>
      <c r="F309" s="300"/>
      <c r="G309" s="300">
        <v>27.762999999747819</v>
      </c>
      <c r="H309" s="300">
        <v>5.8370000000163165</v>
      </c>
      <c r="I309" s="300">
        <v>3.446000000047222</v>
      </c>
      <c r="J309" s="300">
        <f>SUM(G309:I309)</f>
        <v>37.045999999811357</v>
      </c>
      <c r="K309" s="300"/>
      <c r="L309" s="300">
        <v>30.923000000073376</v>
      </c>
      <c r="M309" s="300">
        <v>6.1829999999556291</v>
      </c>
      <c r="N309" s="300">
        <v>3.1519999999488957</v>
      </c>
      <c r="O309" s="300">
        <f>SUM(L309:N309)</f>
        <v>40.257999999977905</v>
      </c>
      <c r="P309" s="300"/>
      <c r="Q309" s="300">
        <v>32.351000000491183</v>
      </c>
      <c r="R309" s="300">
        <v>6.5649999999325503</v>
      </c>
      <c r="S309" s="300">
        <v>3.3660000000149162</v>
      </c>
      <c r="T309" s="300">
        <f>SUM(Q309:S309)</f>
        <v>42.28200000043865</v>
      </c>
      <c r="U309" s="300"/>
      <c r="V309" s="300">
        <v>33.359000000089871</v>
      </c>
      <c r="W309" s="300">
        <v>6.7309999999662589</v>
      </c>
      <c r="X309" s="300">
        <v>3.4839999999954623</v>
      </c>
      <c r="Y309" s="300">
        <f>SUM(V309:X309)</f>
        <v>43.574000000051591</v>
      </c>
    </row>
    <row r="310" spans="1:25" x14ac:dyDescent="0.2">
      <c r="A310" s="260" t="s">
        <v>355</v>
      </c>
      <c r="B310" s="300">
        <v>25.801999999916355</v>
      </c>
      <c r="C310" s="300">
        <v>1.9140000000201249</v>
      </c>
      <c r="D310" s="300">
        <v>9.5790000002144282</v>
      </c>
      <c r="E310" s="300">
        <f t="shared" ref="E310:E311" si="809">SUM(B310:D310)</f>
        <v>37.295000000150907</v>
      </c>
      <c r="F310" s="300"/>
      <c r="G310" s="300">
        <v>26.424999999968133</v>
      </c>
      <c r="H310" s="300">
        <v>2.5570000000180384</v>
      </c>
      <c r="I310" s="300">
        <v>9.9199999999450377</v>
      </c>
      <c r="J310" s="300">
        <f t="shared" ref="J310:J311" si="810">SUM(G310:I310)</f>
        <v>38.901999999931206</v>
      </c>
      <c r="K310" s="300"/>
      <c r="L310" s="300">
        <v>27.060000000044468</v>
      </c>
      <c r="M310" s="300">
        <v>3.2499999999836651</v>
      </c>
      <c r="N310" s="300">
        <v>10.92600000054845</v>
      </c>
      <c r="O310" s="300">
        <f t="shared" ref="O310:O311" si="811">SUM(L310:N310)</f>
        <v>41.236000000576581</v>
      </c>
      <c r="P310" s="300"/>
      <c r="Q310" s="300">
        <v>28.188000000035561</v>
      </c>
      <c r="R310" s="300">
        <v>3.5669999999796955</v>
      </c>
      <c r="S310" s="300">
        <v>11.518000001166442</v>
      </c>
      <c r="T310" s="300">
        <f t="shared" ref="T310:T311" si="812">SUM(Q310:S310)</f>
        <v>43.2730000011817</v>
      </c>
      <c r="U310" s="300"/>
      <c r="V310" s="300">
        <v>28.521000000078732</v>
      </c>
      <c r="W310" s="300">
        <v>3.889999999968361</v>
      </c>
      <c r="X310" s="300">
        <v>11.892000000954704</v>
      </c>
      <c r="Y310" s="300">
        <f t="shared" ref="Y310:Y311" si="813">SUM(V310:X310)</f>
        <v>44.303000001001799</v>
      </c>
    </row>
    <row r="311" spans="1:25" x14ac:dyDescent="0.2">
      <c r="A311" s="260" t="s">
        <v>354</v>
      </c>
      <c r="B311" s="300">
        <f>SUM(B309:B310)</f>
        <v>51.554999999681591</v>
      </c>
      <c r="C311" s="300">
        <f t="shared" ref="C311" si="814">SUM(C309:C310)</f>
        <v>6.2230000000309218</v>
      </c>
      <c r="D311" s="300">
        <f t="shared" ref="D311" si="815">SUM(D309:D310)</f>
        <v>15.097000000287592</v>
      </c>
      <c r="E311" s="300">
        <f t="shared" si="809"/>
        <v>72.875000000000099</v>
      </c>
      <c r="F311" s="300"/>
      <c r="G311" s="300">
        <f>SUM(G309:G310)</f>
        <v>54.187999999715956</v>
      </c>
      <c r="H311" s="300">
        <f t="shared" ref="H311" si="816">SUM(H309:H310)</f>
        <v>8.3940000000343549</v>
      </c>
      <c r="I311" s="300">
        <f t="shared" ref="I311" si="817">SUM(I309:I310)</f>
        <v>13.36599999999226</v>
      </c>
      <c r="J311" s="300">
        <f t="shared" si="810"/>
        <v>75.947999999742564</v>
      </c>
      <c r="K311" s="300"/>
      <c r="L311" s="300">
        <f>SUM(L309:L310)</f>
        <v>57.983000000117841</v>
      </c>
      <c r="M311" s="300">
        <f t="shared" ref="M311" si="818">SUM(M309:M310)</f>
        <v>9.4329999999392946</v>
      </c>
      <c r="N311" s="300">
        <f t="shared" ref="N311" si="819">SUM(N309:N310)</f>
        <v>14.078000000497346</v>
      </c>
      <c r="O311" s="300">
        <f t="shared" si="811"/>
        <v>81.494000000554479</v>
      </c>
      <c r="P311" s="300"/>
      <c r="Q311" s="300">
        <f>SUM(Q309:Q310)</f>
        <v>60.539000000526741</v>
      </c>
      <c r="R311" s="300">
        <f t="shared" ref="R311" si="820">SUM(R309:R310)</f>
        <v>10.131999999912246</v>
      </c>
      <c r="S311" s="300">
        <f t="shared" ref="S311" si="821">SUM(S309:S310)</f>
        <v>14.884000001181358</v>
      </c>
      <c r="T311" s="300">
        <f t="shared" si="812"/>
        <v>85.555000001620357</v>
      </c>
      <c r="U311" s="300"/>
      <c r="V311" s="300">
        <f>SUM(V309:V310)</f>
        <v>61.880000000168607</v>
      </c>
      <c r="W311" s="300">
        <f t="shared" ref="W311" si="822">SUM(W309:W310)</f>
        <v>10.62099999993462</v>
      </c>
      <c r="X311" s="300">
        <f t="shared" ref="X311" si="823">SUM(X309:X310)</f>
        <v>15.376000000950167</v>
      </c>
      <c r="Y311" s="300">
        <f t="shared" si="813"/>
        <v>87.877000001053403</v>
      </c>
    </row>
    <row r="312" spans="1:25" x14ac:dyDescent="0.2">
      <c r="C312" s="319"/>
      <c r="D312" s="319"/>
      <c r="E312" s="319"/>
      <c r="F312" s="319"/>
      <c r="G312" s="319"/>
      <c r="H312" s="319"/>
      <c r="I312" s="319"/>
      <c r="J312" s="319"/>
      <c r="K312" s="319"/>
      <c r="L312" s="319"/>
      <c r="M312" s="319"/>
      <c r="N312" s="319"/>
      <c r="O312" s="319"/>
      <c r="P312" s="319"/>
      <c r="Q312" s="319"/>
      <c r="R312" s="319"/>
      <c r="S312" s="319"/>
      <c r="T312" s="319"/>
      <c r="U312" s="319"/>
      <c r="V312" s="319"/>
      <c r="W312" s="319"/>
      <c r="X312" s="319"/>
      <c r="Y312" s="319"/>
    </row>
    <row r="313" spans="1:25" x14ac:dyDescent="0.2">
      <c r="A313" s="261" t="str">
        <f>name!A46</f>
        <v>Broadcasting</v>
      </c>
      <c r="C313" s="263"/>
    </row>
    <row r="314" spans="1:25" x14ac:dyDescent="0.2">
      <c r="A314" s="260" t="s">
        <v>356</v>
      </c>
      <c r="B314" s="300">
        <v>6.7779999999279203</v>
      </c>
      <c r="C314" s="300">
        <v>1.0459999999983736</v>
      </c>
      <c r="D314" s="300">
        <v>1.5390000000051545</v>
      </c>
      <c r="E314" s="300">
        <f>SUM(B314:D314)</f>
        <v>9.3629999999314482</v>
      </c>
      <c r="F314" s="300"/>
      <c r="G314" s="300">
        <v>5.5569999999405795</v>
      </c>
      <c r="H314" s="300">
        <v>1.499999999998344</v>
      </c>
      <c r="I314" s="300">
        <v>3.0670000000137416</v>
      </c>
      <c r="J314" s="300">
        <f>SUM(G314:I314)</f>
        <v>10.123999999952666</v>
      </c>
      <c r="K314" s="300"/>
      <c r="L314" s="300">
        <v>6.1890000000116805</v>
      </c>
      <c r="M314" s="300">
        <v>1.5889999999917703</v>
      </c>
      <c r="N314" s="300">
        <v>3.131999999973142</v>
      </c>
      <c r="O314" s="300">
        <f>SUM(L314:N314)</f>
        <v>10.909999999976593</v>
      </c>
      <c r="P314" s="300"/>
      <c r="Q314" s="300">
        <v>6.4750000001151866</v>
      </c>
      <c r="R314" s="300">
        <v>1.6869999999906404</v>
      </c>
      <c r="S314" s="300">
        <v>3.185000000051541</v>
      </c>
      <c r="T314" s="300">
        <f>SUM(Q314:S314)</f>
        <v>11.347000000157369</v>
      </c>
      <c r="U314" s="300"/>
      <c r="V314" s="300">
        <v>6.6770000000165162</v>
      </c>
      <c r="W314" s="300">
        <v>1.7299999999961706</v>
      </c>
      <c r="X314" s="300">
        <v>2.9860000000149891</v>
      </c>
      <c r="Y314" s="300">
        <f>SUM(V314:X314)</f>
        <v>11.393000000027676</v>
      </c>
    </row>
    <row r="315" spans="1:25" x14ac:dyDescent="0.2">
      <c r="A315" s="260" t="s">
        <v>355</v>
      </c>
      <c r="B315" s="300">
        <v>14.406999999872781</v>
      </c>
      <c r="C315" s="300">
        <v>0.67200000000469085</v>
      </c>
      <c r="D315" s="300">
        <v>5.1790000001091263</v>
      </c>
      <c r="E315" s="300">
        <f t="shared" ref="E315:E316" si="824">SUM(B315:D315)</f>
        <v>20.257999999986598</v>
      </c>
      <c r="F315" s="300"/>
      <c r="G315" s="300">
        <v>11.221999999931871</v>
      </c>
      <c r="H315" s="300">
        <v>0.95100000000345042</v>
      </c>
      <c r="I315" s="300">
        <v>4.1769999999770695</v>
      </c>
      <c r="J315" s="300">
        <f t="shared" ref="J315:J316" si="825">SUM(G315:I315)</f>
        <v>16.349999999912392</v>
      </c>
      <c r="K315" s="300"/>
      <c r="L315" s="300">
        <v>11.492000000045321</v>
      </c>
      <c r="M315" s="300">
        <v>1.2089999999968972</v>
      </c>
      <c r="N315" s="300">
        <v>4.6000000002210664</v>
      </c>
      <c r="O315" s="300">
        <f t="shared" ref="O315:O316" si="826">SUM(L315:N315)</f>
        <v>17.301000000263283</v>
      </c>
      <c r="P315" s="300"/>
      <c r="Q315" s="300">
        <v>11.971000000073381</v>
      </c>
      <c r="R315" s="300">
        <v>1.3269999999966369</v>
      </c>
      <c r="S315" s="300">
        <v>4.8490000004585525</v>
      </c>
      <c r="T315" s="300">
        <f t="shared" ref="T315:T316" si="827">SUM(Q315:S315)</f>
        <v>18.147000000528571</v>
      </c>
      <c r="U315" s="300"/>
      <c r="V315" s="300">
        <v>12.112000000111102</v>
      </c>
      <c r="W315" s="300">
        <v>1.4469999999969103</v>
      </c>
      <c r="X315" s="300">
        <v>5.0070000003658794</v>
      </c>
      <c r="Y315" s="300">
        <f t="shared" ref="Y315:Y316" si="828">SUM(V315:X315)</f>
        <v>18.566000000473892</v>
      </c>
    </row>
    <row r="316" spans="1:25" x14ac:dyDescent="0.2">
      <c r="A316" s="260" t="s">
        <v>354</v>
      </c>
      <c r="B316" s="300">
        <f>SUM(B314:B315)</f>
        <v>21.184999999800702</v>
      </c>
      <c r="C316" s="300">
        <f t="shared" ref="C316" si="829">SUM(C314:C315)</f>
        <v>1.7180000000030644</v>
      </c>
      <c r="D316" s="300">
        <f t="shared" ref="D316" si="830">SUM(D314:D315)</f>
        <v>6.718000000114281</v>
      </c>
      <c r="E316" s="300">
        <f t="shared" si="824"/>
        <v>29.620999999918048</v>
      </c>
      <c r="F316" s="300"/>
      <c r="G316" s="300">
        <f>SUM(G314:G315)</f>
        <v>16.77899999987245</v>
      </c>
      <c r="H316" s="300">
        <f t="shared" ref="H316" si="831">SUM(H314:H315)</f>
        <v>2.4510000000017946</v>
      </c>
      <c r="I316" s="300">
        <f t="shared" ref="I316" si="832">SUM(I314:I315)</f>
        <v>7.2439999999908107</v>
      </c>
      <c r="J316" s="300">
        <f t="shared" si="825"/>
        <v>26.473999999865057</v>
      </c>
      <c r="K316" s="300"/>
      <c r="L316" s="300">
        <f>SUM(L314:L315)</f>
        <v>17.681000000057001</v>
      </c>
      <c r="M316" s="300">
        <f t="shared" ref="M316" si="833">SUM(M314:M315)</f>
        <v>2.7979999999886678</v>
      </c>
      <c r="N316" s="300">
        <f t="shared" ref="N316" si="834">SUM(N314:N315)</f>
        <v>7.7320000001942084</v>
      </c>
      <c r="O316" s="300">
        <f t="shared" si="826"/>
        <v>28.211000000239878</v>
      </c>
      <c r="P316" s="300"/>
      <c r="Q316" s="300">
        <f>SUM(Q314:Q315)</f>
        <v>18.446000000188569</v>
      </c>
      <c r="R316" s="300">
        <f t="shared" ref="R316" si="835">SUM(R314:R315)</f>
        <v>3.0139999999872771</v>
      </c>
      <c r="S316" s="300">
        <f t="shared" ref="S316" si="836">SUM(S314:S315)</f>
        <v>8.034000000510094</v>
      </c>
      <c r="T316" s="300">
        <f t="shared" si="827"/>
        <v>29.49400000068594</v>
      </c>
      <c r="U316" s="300"/>
      <c r="V316" s="300">
        <f>SUM(V314:V315)</f>
        <v>18.789000000127619</v>
      </c>
      <c r="W316" s="300">
        <f t="shared" ref="W316" si="837">SUM(W314:W315)</f>
        <v>3.1769999999930807</v>
      </c>
      <c r="X316" s="300">
        <f t="shared" ref="X316" si="838">SUM(X314:X315)</f>
        <v>7.993000000380869</v>
      </c>
      <c r="Y316" s="300">
        <f t="shared" si="828"/>
        <v>29.959000000501568</v>
      </c>
    </row>
    <row r="317" spans="1:25" x14ac:dyDescent="0.2">
      <c r="C317" s="263"/>
    </row>
    <row r="318" spans="1:25" x14ac:dyDescent="0.2">
      <c r="A318" s="261" t="s">
        <v>364</v>
      </c>
      <c r="C318" s="263"/>
    </row>
    <row r="319" spans="1:25" x14ac:dyDescent="0.2">
      <c r="A319" s="260" t="s">
        <v>356</v>
      </c>
      <c r="B319" s="300">
        <f>SUM(B304,B309,B314)</f>
        <v>50.581999999449458</v>
      </c>
      <c r="C319" s="300">
        <f t="shared" ref="C319:D319" si="839">SUM(C304,C309,C314)</f>
        <v>9.5089999999971528</v>
      </c>
      <c r="D319" s="300">
        <f t="shared" si="839"/>
        <v>13.117000000099049</v>
      </c>
      <c r="E319" s="300">
        <f>SUM(B319:D319)</f>
        <v>73.207999999545663</v>
      </c>
      <c r="F319" s="300"/>
      <c r="G319" s="300">
        <f>SUM(G304,G309,G314)</f>
        <v>51.246999999426841</v>
      </c>
      <c r="H319" s="300">
        <f t="shared" ref="H319:I319" si="840">SUM(H304,H309,H314)</f>
        <v>11.003000000010223</v>
      </c>
      <c r="I319" s="300">
        <f t="shared" si="840"/>
        <v>14.057000000095528</v>
      </c>
      <c r="J319" s="300">
        <f>SUM(G319:I319)</f>
        <v>76.306999999532593</v>
      </c>
      <c r="K319" s="300"/>
      <c r="L319" s="300">
        <f>SUM(L304,L309,L314)</f>
        <v>57.079000000045461</v>
      </c>
      <c r="M319" s="300">
        <f t="shared" ref="M319:N319" si="841">SUM(M304,M309,M314)</f>
        <v>11.655999999916384</v>
      </c>
      <c r="N319" s="300">
        <f t="shared" si="841"/>
        <v>12.056999999874616</v>
      </c>
      <c r="O319" s="300">
        <f>SUM(L319:N319)</f>
        <v>80.791999999836463</v>
      </c>
      <c r="P319" s="300"/>
      <c r="Q319" s="300">
        <f>SUM(Q304,Q309,Q314)</f>
        <v>59.715000001135536</v>
      </c>
      <c r="R319" s="300">
        <f t="shared" ref="R319:S319" si="842">SUM(R304,R309,R314)</f>
        <v>12.37599999987324</v>
      </c>
      <c r="S319" s="300">
        <f t="shared" si="842"/>
        <v>12.493000000161141</v>
      </c>
      <c r="T319" s="300">
        <f>SUM(Q319:S319)</f>
        <v>84.584000001169926</v>
      </c>
      <c r="U319" s="300"/>
      <c r="V319" s="300">
        <f>SUM(V304,V309,V314)</f>
        <v>61.576000000114306</v>
      </c>
      <c r="W319" s="300">
        <f t="shared" ref="W319:X319" si="843">SUM(W304,W309,W314)</f>
        <v>12.688999999940378</v>
      </c>
      <c r="X319" s="300">
        <f t="shared" si="843"/>
        <v>12.223000000040653</v>
      </c>
      <c r="Y319" s="300">
        <f>SUM(V319:X319)</f>
        <v>86.48800000009534</v>
      </c>
    </row>
    <row r="320" spans="1:25" x14ac:dyDescent="0.2">
      <c r="A320" s="260" t="s">
        <v>355</v>
      </c>
      <c r="B320" s="300">
        <f>SUM(B305,B310,B315)</f>
        <v>67.975999999382282</v>
      </c>
      <c r="C320" s="300">
        <f t="shared" ref="C320:D320" si="844">SUM(C305,C310,C315)</f>
        <v>4.7050000000130945</v>
      </c>
      <c r="D320" s="300">
        <f t="shared" si="844"/>
        <v>23.942000000464745</v>
      </c>
      <c r="E320" s="300">
        <f t="shared" ref="E320:E321" si="845">SUM(B320:D320)</f>
        <v>96.622999999860127</v>
      </c>
      <c r="F320" s="300"/>
      <c r="G320" s="300">
        <f>SUM(G305,G310,G315)</f>
        <v>63.843999999618234</v>
      </c>
      <c r="H320" s="300">
        <f t="shared" ref="H320:I320" si="846">SUM(H305,H310,H315)</f>
        <v>5.3520000000070169</v>
      </c>
      <c r="I320" s="300">
        <f t="shared" si="846"/>
        <v>22.403999999877847</v>
      </c>
      <c r="J320" s="300">
        <f t="shared" ref="J320:J321" si="847">SUM(G320:I320)</f>
        <v>91.599999999503098</v>
      </c>
      <c r="K320" s="300"/>
      <c r="L320" s="300">
        <f>SUM(L305,L310,L315)</f>
        <v>65.379000000267936</v>
      </c>
      <c r="M320" s="300">
        <f t="shared" ref="M320:N320" si="848">SUM(M305,M310,M315)</f>
        <v>6.8029999999930038</v>
      </c>
      <c r="N320" s="300">
        <f t="shared" si="848"/>
        <v>24.676000001117682</v>
      </c>
      <c r="O320" s="300">
        <f t="shared" ref="O320:O321" si="849">SUM(L320:N320)</f>
        <v>96.858000001378628</v>
      </c>
      <c r="P320" s="300"/>
      <c r="Q320" s="300">
        <f>SUM(Q305,Q310,Q315)</f>
        <v>68.103000000399518</v>
      </c>
      <c r="R320" s="300">
        <f t="shared" ref="R320:S320" si="850">SUM(R305,R310,R315)</f>
        <v>7.4669999999904082</v>
      </c>
      <c r="S320" s="300">
        <f t="shared" si="850"/>
        <v>26.01200000236306</v>
      </c>
      <c r="T320" s="300">
        <f t="shared" ref="T320:T321" si="851">SUM(Q320:S320)</f>
        <v>101.58200000275298</v>
      </c>
      <c r="U320" s="300"/>
      <c r="V320" s="300">
        <f>SUM(V305,V310,V315)</f>
        <v>68.9080000005969</v>
      </c>
      <c r="W320" s="300">
        <f t="shared" ref="W320:X320" si="852">SUM(W305,W310,W315)</f>
        <v>8.1419999999913379</v>
      </c>
      <c r="X320" s="300">
        <f t="shared" si="852"/>
        <v>26.857000001915523</v>
      </c>
      <c r="Y320" s="300">
        <f t="shared" ref="Y320:Y321" si="853">SUM(V320:X320)</f>
        <v>103.90700000250376</v>
      </c>
    </row>
    <row r="321" spans="1:25" x14ac:dyDescent="0.2">
      <c r="A321" s="264" t="s">
        <v>354</v>
      </c>
      <c r="B321" s="301">
        <f>SUM(B319:B320)</f>
        <v>118.55799999883175</v>
      </c>
      <c r="C321" s="301">
        <f t="shared" ref="C321" si="854">SUM(C319:C320)</f>
        <v>14.214000000010248</v>
      </c>
      <c r="D321" s="301">
        <f t="shared" ref="D321" si="855">SUM(D319:D320)</f>
        <v>37.059000000563792</v>
      </c>
      <c r="E321" s="301">
        <f t="shared" si="845"/>
        <v>169.8309999994058</v>
      </c>
      <c r="F321" s="301"/>
      <c r="G321" s="301">
        <f>SUM(G319:G320)</f>
        <v>115.09099999904507</v>
      </c>
      <c r="H321" s="301">
        <f t="shared" ref="H321" si="856">SUM(H319:H320)</f>
        <v>16.355000000017242</v>
      </c>
      <c r="I321" s="301">
        <f t="shared" ref="I321" si="857">SUM(I319:I320)</f>
        <v>36.460999999973374</v>
      </c>
      <c r="J321" s="301">
        <f t="shared" si="847"/>
        <v>167.90699999903569</v>
      </c>
      <c r="K321" s="301"/>
      <c r="L321" s="301">
        <f>SUM(L319:L320)</f>
        <v>122.4580000003134</v>
      </c>
      <c r="M321" s="301">
        <f t="shared" ref="M321" si="858">SUM(M319:M320)</f>
        <v>18.458999999909388</v>
      </c>
      <c r="N321" s="301">
        <f t="shared" ref="N321" si="859">SUM(N319:N320)</f>
        <v>36.733000000992298</v>
      </c>
      <c r="O321" s="301">
        <f t="shared" si="849"/>
        <v>177.65000000121509</v>
      </c>
      <c r="P321" s="301"/>
      <c r="Q321" s="301">
        <f>SUM(Q319:Q320)</f>
        <v>127.81800000153505</v>
      </c>
      <c r="R321" s="301">
        <f t="shared" ref="R321" si="860">SUM(R319:R320)</f>
        <v>19.84299999986365</v>
      </c>
      <c r="S321" s="301">
        <f t="shared" ref="S321" si="861">SUM(S319:S320)</f>
        <v>38.505000002524199</v>
      </c>
      <c r="T321" s="301">
        <f t="shared" si="851"/>
        <v>186.16600000392287</v>
      </c>
      <c r="U321" s="301"/>
      <c r="V321" s="301">
        <f>SUM(V319:V320)</f>
        <v>130.48400000071121</v>
      </c>
      <c r="W321" s="301">
        <f t="shared" ref="W321" si="862">SUM(W319:W320)</f>
        <v>20.830999999931716</v>
      </c>
      <c r="X321" s="301">
        <f t="shared" ref="X321" si="863">SUM(X319:X320)</f>
        <v>39.080000001956179</v>
      </c>
      <c r="Y321" s="301">
        <f t="shared" si="853"/>
        <v>190.39500000259909</v>
      </c>
    </row>
    <row r="322" spans="1:25" x14ac:dyDescent="0.2">
      <c r="C322" s="263"/>
    </row>
    <row r="323" spans="1:25" x14ac:dyDescent="0.2">
      <c r="C323" s="263"/>
    </row>
    <row r="324" spans="1:25" x14ac:dyDescent="0.2">
      <c r="A324" s="262"/>
    </row>
    <row r="325" spans="1:25" ht="15" x14ac:dyDescent="0.25">
      <c r="A325" s="265" t="str">
        <f>"Industry 13 : "&amp; name!B16</f>
        <v>Industry 13 : Information technology</v>
      </c>
      <c r="B325" s="371">
        <f>$B$5</f>
        <v>2015</v>
      </c>
      <c r="C325" s="371"/>
      <c r="D325" s="371"/>
      <c r="E325" s="371"/>
      <c r="F325" s="320"/>
      <c r="G325" s="371">
        <f>$G$5</f>
        <v>2019</v>
      </c>
      <c r="H325" s="371"/>
      <c r="I325" s="371"/>
      <c r="J325" s="371"/>
      <c r="K325" s="320"/>
      <c r="L325" s="371">
        <f>$L$5</f>
        <v>2020</v>
      </c>
      <c r="M325" s="371"/>
      <c r="N325" s="371"/>
      <c r="O325" s="371"/>
      <c r="P325" s="318"/>
      <c r="Q325" s="371">
        <f>$Q$5</f>
        <v>2025</v>
      </c>
      <c r="R325" s="371"/>
      <c r="S325" s="371"/>
      <c r="T325" s="371"/>
      <c r="U325" s="320"/>
      <c r="V325" s="371">
        <f>$V$5</f>
        <v>2035</v>
      </c>
      <c r="W325" s="371"/>
      <c r="X325" s="371"/>
      <c r="Y325" s="371"/>
    </row>
    <row r="326" spans="1:25" x14ac:dyDescent="0.2">
      <c r="A326" s="264"/>
      <c r="B326" s="268" t="str">
        <f>$B$6</f>
        <v>FT</v>
      </c>
      <c r="C326" s="268" t="str">
        <f>$C$6</f>
        <v>PT</v>
      </c>
      <c r="D326" s="268" t="str">
        <f>$D$6</f>
        <v>SE</v>
      </c>
      <c r="E326" s="268" t="str">
        <f>$E$6</f>
        <v>Total</v>
      </c>
      <c r="F326" s="268"/>
      <c r="G326" s="268" t="str">
        <f>$B$6</f>
        <v>FT</v>
      </c>
      <c r="H326" s="268" t="str">
        <f>$C$6</f>
        <v>PT</v>
      </c>
      <c r="I326" s="268" t="str">
        <f>$D$6</f>
        <v>SE</v>
      </c>
      <c r="J326" s="268" t="str">
        <f>$E$6</f>
        <v>Total</v>
      </c>
      <c r="K326" s="268"/>
      <c r="L326" s="268" t="str">
        <f>$L$6</f>
        <v>FT</v>
      </c>
      <c r="M326" s="268" t="str">
        <f>$M$6</f>
        <v>PT</v>
      </c>
      <c r="N326" s="268" t="str">
        <f>$N$6</f>
        <v>SE</v>
      </c>
      <c r="O326" s="268" t="str">
        <f>$O$6</f>
        <v>Total</v>
      </c>
      <c r="P326" s="268"/>
      <c r="Q326" s="268" t="str">
        <f>$L$6</f>
        <v>FT</v>
      </c>
      <c r="R326" s="268" t="str">
        <f>$M$6</f>
        <v>PT</v>
      </c>
      <c r="S326" s="268" t="str">
        <f>$N$6</f>
        <v>SE</v>
      </c>
      <c r="T326" s="268" t="str">
        <f>$O$6</f>
        <v>Total</v>
      </c>
      <c r="U326" s="268"/>
      <c r="V326" s="268" t="str">
        <f>$V$6</f>
        <v>FT</v>
      </c>
      <c r="W326" s="268" t="str">
        <f>$W$6</f>
        <v>PT</v>
      </c>
      <c r="X326" s="268" t="str">
        <f>$X$6</f>
        <v>SE</v>
      </c>
      <c r="Y326" s="268" t="str">
        <f>$Y$6</f>
        <v>Total</v>
      </c>
    </row>
    <row r="327" spans="1:25" x14ac:dyDescent="0.2">
      <c r="C327" s="319"/>
      <c r="D327" s="319"/>
      <c r="E327" s="319"/>
      <c r="F327" s="319"/>
      <c r="G327" s="319"/>
      <c r="H327" s="319"/>
      <c r="I327" s="319"/>
      <c r="J327" s="319"/>
      <c r="K327" s="319"/>
      <c r="L327" s="319"/>
      <c r="M327" s="319"/>
      <c r="N327" s="319"/>
      <c r="O327" s="319"/>
      <c r="P327" s="319"/>
      <c r="Q327" s="319"/>
      <c r="R327" s="319"/>
      <c r="S327" s="319"/>
      <c r="T327" s="319"/>
      <c r="U327" s="319"/>
      <c r="V327" s="319"/>
      <c r="W327" s="319"/>
      <c r="X327" s="319"/>
      <c r="Y327" s="319"/>
    </row>
    <row r="328" spans="1:25" x14ac:dyDescent="0.2">
      <c r="A328" s="261" t="str">
        <f>name!A47</f>
        <v>Telecommunications</v>
      </c>
      <c r="C328" s="263"/>
    </row>
    <row r="329" spans="1:25" x14ac:dyDescent="0.2">
      <c r="A329" s="260" t="s">
        <v>356</v>
      </c>
      <c r="B329" s="300">
        <v>4.3689999999626057</v>
      </c>
      <c r="C329" s="300">
        <v>0.76800000001125912</v>
      </c>
      <c r="D329" s="300">
        <v>0.49600000000191841</v>
      </c>
      <c r="E329" s="300">
        <f>SUM(B329:D329)</f>
        <v>5.6329999999757829</v>
      </c>
      <c r="F329" s="300"/>
      <c r="G329" s="300">
        <v>4.3729999999514355</v>
      </c>
      <c r="H329" s="300">
        <v>1.2800000000155769</v>
      </c>
      <c r="I329" s="300">
        <v>9.3000000000581479E-2</v>
      </c>
      <c r="J329" s="300">
        <f>SUM(G329:I329)</f>
        <v>5.7459999999675944</v>
      </c>
      <c r="K329" s="300"/>
      <c r="L329" s="300">
        <v>5.4219999999507529</v>
      </c>
      <c r="M329" s="300">
        <v>1.0170000000155595</v>
      </c>
      <c r="N329" s="300">
        <v>3.9999999999859238E-2</v>
      </c>
      <c r="O329" s="300">
        <f>SUM(L329:N329)</f>
        <v>6.4789999999661712</v>
      </c>
      <c r="P329" s="300"/>
      <c r="Q329" s="300">
        <v>5.9870000001372121</v>
      </c>
      <c r="R329" s="300">
        <v>1.0820000000341301</v>
      </c>
      <c r="S329" s="300">
        <v>3.5999999999865369E-2</v>
      </c>
      <c r="T329" s="300">
        <f>SUM(Q329:S329)</f>
        <v>7.1050000001712075</v>
      </c>
      <c r="U329" s="300"/>
      <c r="V329" s="300">
        <v>6.7749999999743871</v>
      </c>
      <c r="W329" s="300">
        <v>1.1340000000010886</v>
      </c>
      <c r="X329" s="300">
        <v>3.3999999999758779E-2</v>
      </c>
      <c r="Y329" s="300">
        <f>SUM(V329:X329)</f>
        <v>7.9429999999752345</v>
      </c>
    </row>
    <row r="330" spans="1:25" x14ac:dyDescent="0.2">
      <c r="A330" s="260" t="s">
        <v>355</v>
      </c>
      <c r="B330" s="300">
        <v>29.748999999499844</v>
      </c>
      <c r="C330" s="300">
        <v>0.59200000001213549</v>
      </c>
      <c r="D330" s="300">
        <v>2.5780000000089505</v>
      </c>
      <c r="E330" s="300">
        <f t="shared" ref="E330:E331" si="864">SUM(B330:D330)</f>
        <v>32.918999999520928</v>
      </c>
      <c r="F330" s="300"/>
      <c r="G330" s="300">
        <v>27.755999999668308</v>
      </c>
      <c r="H330" s="300">
        <v>1.1430000000209664</v>
      </c>
      <c r="I330" s="300">
        <v>1.5919999999972276</v>
      </c>
      <c r="J330" s="300">
        <f t="shared" ref="J330:J331" si="865">SUM(G330:I330)</f>
        <v>30.490999999686501</v>
      </c>
      <c r="K330" s="300"/>
      <c r="L330" s="300">
        <v>26.31000000017012</v>
      </c>
      <c r="M330" s="300">
        <v>1.5729999999770139</v>
      </c>
      <c r="N330" s="300">
        <v>2.6650000000580261</v>
      </c>
      <c r="O330" s="300">
        <f t="shared" ref="O330:O331" si="866">SUM(L330:N330)</f>
        <v>30.54800000020516</v>
      </c>
      <c r="P330" s="300"/>
      <c r="Q330" s="300">
        <v>28.18200000027738</v>
      </c>
      <c r="R330" s="300">
        <v>1.7109999999755321</v>
      </c>
      <c r="S330" s="300">
        <v>2.9410000001066168</v>
      </c>
      <c r="T330" s="300">
        <f t="shared" ref="T330:T331" si="867">SUM(Q330:S330)</f>
        <v>32.834000000359531</v>
      </c>
      <c r="U330" s="300"/>
      <c r="V330" s="300">
        <v>30.24500000038034</v>
      </c>
      <c r="W330" s="300">
        <v>1.8709999999670794</v>
      </c>
      <c r="X330" s="300">
        <v>3.2620000000861098</v>
      </c>
      <c r="Y330" s="300">
        <f t="shared" ref="Y330:Y331" si="868">SUM(V330:X330)</f>
        <v>35.378000000433531</v>
      </c>
    </row>
    <row r="331" spans="1:25" x14ac:dyDescent="0.2">
      <c r="A331" s="260" t="s">
        <v>354</v>
      </c>
      <c r="B331" s="300">
        <f>SUM(B329:B330)</f>
        <v>34.117999999462448</v>
      </c>
      <c r="C331" s="300">
        <f t="shared" ref="C331" si="869">SUM(C329:C330)</f>
        <v>1.3600000000233945</v>
      </c>
      <c r="D331" s="300">
        <f t="shared" ref="D331" si="870">SUM(D329:D330)</f>
        <v>3.0740000000108689</v>
      </c>
      <c r="E331" s="300">
        <f t="shared" si="864"/>
        <v>38.551999999496715</v>
      </c>
      <c r="F331" s="300"/>
      <c r="G331" s="300">
        <f>SUM(G329:G330)</f>
        <v>32.128999999619744</v>
      </c>
      <c r="H331" s="300">
        <f t="shared" ref="H331" si="871">SUM(H329:H330)</f>
        <v>2.4230000000365433</v>
      </c>
      <c r="I331" s="300">
        <f t="shared" ref="I331" si="872">SUM(I329:I330)</f>
        <v>1.6849999999978091</v>
      </c>
      <c r="J331" s="300">
        <f t="shared" si="865"/>
        <v>36.236999999654095</v>
      </c>
      <c r="K331" s="300"/>
      <c r="L331" s="300">
        <f>SUM(L329:L330)</f>
        <v>31.732000000120873</v>
      </c>
      <c r="M331" s="300">
        <f t="shared" ref="M331" si="873">SUM(M329:M330)</f>
        <v>2.5899999999925734</v>
      </c>
      <c r="N331" s="300">
        <f t="shared" ref="N331" si="874">SUM(N329:N330)</f>
        <v>2.7050000000578853</v>
      </c>
      <c r="O331" s="300">
        <f t="shared" si="866"/>
        <v>37.027000000171334</v>
      </c>
      <c r="P331" s="300"/>
      <c r="Q331" s="300">
        <f>SUM(Q329:Q330)</f>
        <v>34.169000000414592</v>
      </c>
      <c r="R331" s="300">
        <f t="shared" ref="R331" si="875">SUM(R329:R330)</f>
        <v>2.7930000000096622</v>
      </c>
      <c r="S331" s="300">
        <f t="shared" ref="S331" si="876">SUM(S329:S330)</f>
        <v>2.9770000001064822</v>
      </c>
      <c r="T331" s="300">
        <f t="shared" si="867"/>
        <v>39.93900000053074</v>
      </c>
      <c r="U331" s="300"/>
      <c r="V331" s="300">
        <f>SUM(V329:V330)</f>
        <v>37.020000000354727</v>
      </c>
      <c r="W331" s="300">
        <f t="shared" ref="W331" si="877">SUM(W329:W330)</f>
        <v>3.004999999968168</v>
      </c>
      <c r="X331" s="300">
        <f t="shared" ref="X331" si="878">SUM(X329:X330)</f>
        <v>3.2960000000858685</v>
      </c>
      <c r="Y331" s="300">
        <f t="shared" si="868"/>
        <v>43.321000000408766</v>
      </c>
    </row>
    <row r="332" spans="1:25" x14ac:dyDescent="0.2">
      <c r="C332" s="319"/>
      <c r="D332" s="319"/>
      <c r="E332" s="319"/>
      <c r="F332" s="319"/>
      <c r="G332" s="319"/>
      <c r="H332" s="319"/>
      <c r="I332" s="319"/>
      <c r="J332" s="319"/>
      <c r="K332" s="319"/>
      <c r="L332" s="319"/>
      <c r="M332" s="319"/>
      <c r="N332" s="319"/>
      <c r="O332" s="319"/>
      <c r="P332" s="319"/>
      <c r="Q332" s="319"/>
      <c r="R332" s="319"/>
      <c r="S332" s="319"/>
      <c r="T332" s="319"/>
      <c r="U332" s="319"/>
      <c r="V332" s="319"/>
      <c r="W332" s="319"/>
      <c r="X332" s="319"/>
      <c r="Y332" s="319"/>
    </row>
    <row r="333" spans="1:25" x14ac:dyDescent="0.2">
      <c r="A333" s="261" t="str">
        <f>name!A48</f>
        <v>Computing services</v>
      </c>
      <c r="C333" s="263"/>
    </row>
    <row r="334" spans="1:25" x14ac:dyDescent="0.2">
      <c r="A334" s="260" t="s">
        <v>356</v>
      </c>
      <c r="B334" s="300">
        <v>34.713999999585276</v>
      </c>
      <c r="C334" s="300">
        <v>10.453999999850167</v>
      </c>
      <c r="D334" s="300">
        <v>3.5410000000249657</v>
      </c>
      <c r="E334" s="300">
        <f>SUM(B334:D334)</f>
        <v>48.70899999946041</v>
      </c>
      <c r="F334" s="300"/>
      <c r="G334" s="300">
        <v>49.981999999366046</v>
      </c>
      <c r="H334" s="300">
        <v>11.573999999885892</v>
      </c>
      <c r="I334" s="300">
        <v>1.4050000000120533</v>
      </c>
      <c r="J334" s="300">
        <f>SUM(G334:I334)</f>
        <v>62.96099999926399</v>
      </c>
      <c r="K334" s="300"/>
      <c r="L334" s="300">
        <v>61.968999999741783</v>
      </c>
      <c r="M334" s="300">
        <v>9.1929999999779568</v>
      </c>
      <c r="N334" s="300">
        <v>2.9379999999718733</v>
      </c>
      <c r="O334" s="300">
        <f>SUM(L334:N334)</f>
        <v>74.099999999691619</v>
      </c>
      <c r="P334" s="300"/>
      <c r="Q334" s="300">
        <v>68.42600000157924</v>
      </c>
      <c r="R334" s="300">
        <v>9.7829999999795447</v>
      </c>
      <c r="S334" s="300">
        <v>3.2230000000138528</v>
      </c>
      <c r="T334" s="300">
        <f>SUM(Q334:S334)</f>
        <v>81.432000001572646</v>
      </c>
      <c r="U334" s="300"/>
      <c r="V334" s="300">
        <v>77.42999999989101</v>
      </c>
      <c r="W334" s="300">
        <v>10.252000000001388</v>
      </c>
      <c r="X334" s="300">
        <v>3.5359999999954344</v>
      </c>
      <c r="Y334" s="300">
        <f>SUM(V334:X334)</f>
        <v>91.217999999887837</v>
      </c>
    </row>
    <row r="335" spans="1:25" x14ac:dyDescent="0.2">
      <c r="A335" s="260" t="s">
        <v>355</v>
      </c>
      <c r="B335" s="300">
        <v>116.80299999713633</v>
      </c>
      <c r="C335" s="300">
        <v>5.1019999998809693</v>
      </c>
      <c r="D335" s="300">
        <v>10.697000000026607</v>
      </c>
      <c r="E335" s="300">
        <f t="shared" ref="E335:E336" si="879">SUM(B335:D335)</f>
        <v>132.60199999704392</v>
      </c>
      <c r="F335" s="300"/>
      <c r="G335" s="300">
        <v>156.75099999723204</v>
      </c>
      <c r="H335" s="300">
        <v>6.5449999998910711</v>
      </c>
      <c r="I335" s="300">
        <v>8.9849999999046304</v>
      </c>
      <c r="J335" s="300">
        <f t="shared" ref="J335:J336" si="880">SUM(G335:I335)</f>
        <v>172.28099999702775</v>
      </c>
      <c r="K335" s="300"/>
      <c r="L335" s="300">
        <v>148.58200000179099</v>
      </c>
      <c r="M335" s="300">
        <v>9.0110000001003403</v>
      </c>
      <c r="N335" s="300">
        <v>15.040000000495519</v>
      </c>
      <c r="O335" s="300">
        <f t="shared" ref="O335:O336" si="881">SUM(L335:N335)</f>
        <v>172.63300000238686</v>
      </c>
      <c r="P335" s="300"/>
      <c r="Q335" s="300">
        <v>159.15300000234771</v>
      </c>
      <c r="R335" s="300">
        <v>9.7970000000704935</v>
      </c>
      <c r="S335" s="300">
        <v>16.602000001003443</v>
      </c>
      <c r="T335" s="300">
        <f t="shared" ref="T335:T336" si="882">SUM(Q335:S335)</f>
        <v>185.55200000342163</v>
      </c>
      <c r="U335" s="300"/>
      <c r="V335" s="300">
        <v>170.80800000281479</v>
      </c>
      <c r="W335" s="300">
        <v>10.714000000064809</v>
      </c>
      <c r="X335" s="300">
        <v>18.41400000086518</v>
      </c>
      <c r="Y335" s="300">
        <f t="shared" ref="Y335:Y336" si="883">SUM(V335:X335)</f>
        <v>199.93600000374477</v>
      </c>
    </row>
    <row r="336" spans="1:25" x14ac:dyDescent="0.2">
      <c r="A336" s="260" t="s">
        <v>354</v>
      </c>
      <c r="B336" s="300">
        <f>SUM(B334:B335)</f>
        <v>151.51699999672161</v>
      </c>
      <c r="C336" s="300">
        <f t="shared" ref="C336" si="884">SUM(C334:C335)</f>
        <v>15.555999999731135</v>
      </c>
      <c r="D336" s="300">
        <f t="shared" ref="D336" si="885">SUM(D334:D335)</f>
        <v>14.238000000051573</v>
      </c>
      <c r="E336" s="300">
        <f t="shared" si="879"/>
        <v>181.31099999650434</v>
      </c>
      <c r="F336" s="300"/>
      <c r="G336" s="300">
        <f>SUM(G334:G335)</f>
        <v>206.7329999965981</v>
      </c>
      <c r="H336" s="300">
        <f t="shared" ref="H336" si="886">SUM(H334:H335)</f>
        <v>18.118999999776964</v>
      </c>
      <c r="I336" s="300">
        <f t="shared" ref="I336" si="887">SUM(I334:I335)</f>
        <v>10.389999999916684</v>
      </c>
      <c r="J336" s="300">
        <f t="shared" si="880"/>
        <v>235.24199999629175</v>
      </c>
      <c r="K336" s="300"/>
      <c r="L336" s="300">
        <f>SUM(L334:L335)</f>
        <v>210.55100000153277</v>
      </c>
      <c r="M336" s="300">
        <f t="shared" ref="M336" si="888">SUM(M334:M335)</f>
        <v>18.204000000078295</v>
      </c>
      <c r="N336" s="300">
        <f t="shared" ref="N336" si="889">SUM(N334:N335)</f>
        <v>17.978000000467393</v>
      </c>
      <c r="O336" s="300">
        <f t="shared" si="881"/>
        <v>246.73300000207846</v>
      </c>
      <c r="P336" s="300"/>
      <c r="Q336" s="300">
        <f>SUM(Q334:Q335)</f>
        <v>227.57900000392695</v>
      </c>
      <c r="R336" s="300">
        <f t="shared" ref="R336" si="890">SUM(R334:R335)</f>
        <v>19.580000000050038</v>
      </c>
      <c r="S336" s="300">
        <f t="shared" ref="S336" si="891">SUM(S334:S335)</f>
        <v>19.825000001017294</v>
      </c>
      <c r="T336" s="300">
        <f t="shared" si="882"/>
        <v>266.9840000049943</v>
      </c>
      <c r="U336" s="300"/>
      <c r="V336" s="300">
        <f>SUM(V334:V335)</f>
        <v>248.2380000027058</v>
      </c>
      <c r="W336" s="300">
        <f t="shared" ref="W336" si="892">SUM(W334:W335)</f>
        <v>20.966000000066195</v>
      </c>
      <c r="X336" s="300">
        <f t="shared" ref="X336" si="893">SUM(X334:X335)</f>
        <v>21.950000000860612</v>
      </c>
      <c r="Y336" s="300">
        <f t="shared" si="883"/>
        <v>291.15400000363258</v>
      </c>
    </row>
    <row r="337" spans="1:25" x14ac:dyDescent="0.2">
      <c r="C337" s="319"/>
      <c r="D337" s="319"/>
      <c r="E337" s="319"/>
      <c r="F337" s="319"/>
      <c r="G337" s="319"/>
      <c r="H337" s="319"/>
      <c r="I337" s="319"/>
      <c r="J337" s="319"/>
      <c r="K337" s="319"/>
      <c r="L337" s="319"/>
      <c r="M337" s="319"/>
      <c r="N337" s="319"/>
      <c r="O337" s="319"/>
      <c r="P337" s="319"/>
      <c r="Q337" s="319"/>
      <c r="R337" s="319"/>
      <c r="S337" s="319"/>
      <c r="T337" s="319"/>
      <c r="U337" s="319"/>
      <c r="V337" s="319"/>
      <c r="W337" s="319"/>
      <c r="X337" s="319"/>
      <c r="Y337" s="319"/>
    </row>
    <row r="338" spans="1:25" x14ac:dyDescent="0.2">
      <c r="A338" s="261" t="str">
        <f>name!A49</f>
        <v>Information services</v>
      </c>
      <c r="C338" s="263"/>
    </row>
    <row r="339" spans="1:25" x14ac:dyDescent="0.2">
      <c r="A339" s="260" t="s">
        <v>356</v>
      </c>
      <c r="B339" s="300">
        <v>16.736999999879092</v>
      </c>
      <c r="C339" s="300">
        <v>1.2800000000029339</v>
      </c>
      <c r="D339" s="300">
        <v>0.59500000002175113</v>
      </c>
      <c r="E339" s="300">
        <f>SUM(B339:D339)</f>
        <v>18.611999999903777</v>
      </c>
      <c r="F339" s="300"/>
      <c r="G339" s="300">
        <v>18.433999999857303</v>
      </c>
      <c r="H339" s="300">
        <v>1.8480000000038204</v>
      </c>
      <c r="I339" s="300">
        <v>0.2820000000103281</v>
      </c>
      <c r="J339" s="300">
        <f>SUM(G339:I339)</f>
        <v>20.563999999871452</v>
      </c>
      <c r="K339" s="300"/>
      <c r="L339" s="300">
        <v>22.854999999899505</v>
      </c>
      <c r="M339" s="300">
        <v>1.4679999999903697</v>
      </c>
      <c r="N339" s="300">
        <v>0.43599999998517414</v>
      </c>
      <c r="O339" s="300">
        <f>SUM(L339:N339)</f>
        <v>24.758999999875048</v>
      </c>
      <c r="P339" s="300"/>
      <c r="Q339" s="300">
        <v>25.236000000359919</v>
      </c>
      <c r="R339" s="300">
        <v>1.5619999999862966</v>
      </c>
      <c r="S339" s="300">
        <v>0.48199999998911724</v>
      </c>
      <c r="T339" s="300">
        <f>SUM(Q339:S339)</f>
        <v>27.280000000335331</v>
      </c>
      <c r="U339" s="300"/>
      <c r="V339" s="300">
        <v>28.55699999993524</v>
      </c>
      <c r="W339" s="300">
        <v>1.6369999999983289</v>
      </c>
      <c r="X339" s="300">
        <v>0.50399999999255451</v>
      </c>
      <c r="Y339" s="300">
        <f>SUM(V339:X339)</f>
        <v>30.697999999926122</v>
      </c>
    </row>
    <row r="340" spans="1:25" x14ac:dyDescent="0.2">
      <c r="A340" s="260" t="s">
        <v>355</v>
      </c>
      <c r="B340" s="300">
        <v>20.886999999608399</v>
      </c>
      <c r="C340" s="300">
        <v>0.74400000000337985</v>
      </c>
      <c r="D340" s="300">
        <v>1.9320000000106388</v>
      </c>
      <c r="E340" s="300">
        <f t="shared" ref="E340:E341" si="894">SUM(B340:D340)</f>
        <v>23.562999999622416</v>
      </c>
      <c r="F340" s="300"/>
      <c r="G340" s="300">
        <v>21.441999999711225</v>
      </c>
      <c r="H340" s="300">
        <v>1.2460000000050622</v>
      </c>
      <c r="I340" s="300">
        <v>1.3019999999883647</v>
      </c>
      <c r="J340" s="300">
        <f t="shared" ref="J340:J341" si="895">SUM(G340:I340)</f>
        <v>23.989999999704651</v>
      </c>
      <c r="K340" s="300"/>
      <c r="L340" s="300">
        <v>20.324000000192207</v>
      </c>
      <c r="M340" s="300">
        <v>1.7149999999955203</v>
      </c>
      <c r="N340" s="300">
        <v>2.1790000000701242</v>
      </c>
      <c r="O340" s="300">
        <f t="shared" ref="O340:O341" si="896">SUM(L340:N340)</f>
        <v>24.218000000257852</v>
      </c>
      <c r="P340" s="300"/>
      <c r="Q340" s="300">
        <v>21.77000000024616</v>
      </c>
      <c r="R340" s="300">
        <v>1.8649999999895299</v>
      </c>
      <c r="S340" s="300">
        <v>2.4060000001457502</v>
      </c>
      <c r="T340" s="300">
        <f t="shared" ref="T340:T341" si="897">SUM(Q340:S340)</f>
        <v>26.041000000381437</v>
      </c>
      <c r="U340" s="300"/>
      <c r="V340" s="300">
        <v>23.365000000296767</v>
      </c>
      <c r="W340" s="300">
        <v>2.0389999999830817</v>
      </c>
      <c r="X340" s="300">
        <v>2.6680000001221464</v>
      </c>
      <c r="Y340" s="300">
        <f t="shared" ref="Y340:Y341" si="898">SUM(V340:X340)</f>
        <v>28.072000000401996</v>
      </c>
    </row>
    <row r="341" spans="1:25" x14ac:dyDescent="0.2">
      <c r="A341" s="260" t="s">
        <v>354</v>
      </c>
      <c r="B341" s="300">
        <f>SUM(B339:B340)</f>
        <v>37.623999999487495</v>
      </c>
      <c r="C341" s="300">
        <f t="shared" ref="C341" si="899">SUM(C339:C340)</f>
        <v>2.0240000000063136</v>
      </c>
      <c r="D341" s="300">
        <f t="shared" ref="D341" si="900">SUM(D339:D340)</f>
        <v>2.5270000000323898</v>
      </c>
      <c r="E341" s="300">
        <f t="shared" si="894"/>
        <v>42.174999999526193</v>
      </c>
      <c r="F341" s="300"/>
      <c r="G341" s="300">
        <f>SUM(G339:G340)</f>
        <v>39.875999999568528</v>
      </c>
      <c r="H341" s="300">
        <f t="shared" ref="H341" si="901">SUM(H339:H340)</f>
        <v>3.0940000000088825</v>
      </c>
      <c r="I341" s="300">
        <f t="shared" ref="I341" si="902">SUM(I339:I340)</f>
        <v>1.5839999999986927</v>
      </c>
      <c r="J341" s="300">
        <f t="shared" si="895"/>
        <v>44.553999999576106</v>
      </c>
      <c r="K341" s="300"/>
      <c r="L341" s="300">
        <f>SUM(L339:L340)</f>
        <v>43.179000000091712</v>
      </c>
      <c r="M341" s="300">
        <f t="shared" ref="M341" si="903">SUM(M339:M340)</f>
        <v>3.1829999999858902</v>
      </c>
      <c r="N341" s="300">
        <f t="shared" ref="N341" si="904">SUM(N339:N340)</f>
        <v>2.6150000000552982</v>
      </c>
      <c r="O341" s="300">
        <f t="shared" si="896"/>
        <v>48.977000000132897</v>
      </c>
      <c r="P341" s="300"/>
      <c r="Q341" s="300">
        <f>SUM(Q339:Q340)</f>
        <v>47.006000000606079</v>
      </c>
      <c r="R341" s="300">
        <f t="shared" ref="R341" si="905">SUM(R339:R340)</f>
        <v>3.4269999999758265</v>
      </c>
      <c r="S341" s="300">
        <f t="shared" ref="S341" si="906">SUM(S339:S340)</f>
        <v>2.8880000001348676</v>
      </c>
      <c r="T341" s="300">
        <f t="shared" si="897"/>
        <v>53.321000000716772</v>
      </c>
      <c r="U341" s="300"/>
      <c r="V341" s="300">
        <f>SUM(V339:V340)</f>
        <v>51.922000000232003</v>
      </c>
      <c r="W341" s="300">
        <f t="shared" ref="W341" si="907">SUM(W339:W340)</f>
        <v>3.6759999999814106</v>
      </c>
      <c r="X341" s="300">
        <f t="shared" ref="X341" si="908">SUM(X339:X340)</f>
        <v>3.1720000001147008</v>
      </c>
      <c r="Y341" s="300">
        <f t="shared" si="898"/>
        <v>58.770000000328118</v>
      </c>
    </row>
    <row r="342" spans="1:25" x14ac:dyDescent="0.2">
      <c r="C342" s="263"/>
    </row>
    <row r="343" spans="1:25" x14ac:dyDescent="0.2">
      <c r="A343" s="261" t="s">
        <v>363</v>
      </c>
      <c r="C343" s="263"/>
    </row>
    <row r="344" spans="1:25" x14ac:dyDescent="0.2">
      <c r="A344" s="260" t="s">
        <v>356</v>
      </c>
      <c r="B344" s="300">
        <f>SUM(B329,B334,B339)</f>
        <v>55.819999999426969</v>
      </c>
      <c r="C344" s="300">
        <f t="shared" ref="C344:D344" si="909">SUM(C329,C334,C339)</f>
        <v>12.50199999986436</v>
      </c>
      <c r="D344" s="300">
        <f t="shared" si="909"/>
        <v>4.6320000000486354</v>
      </c>
      <c r="E344" s="300">
        <f>SUM(B344:D344)</f>
        <v>72.95399999933997</v>
      </c>
      <c r="F344" s="300"/>
      <c r="G344" s="300">
        <f>SUM(G329,G334,G339)</f>
        <v>72.788999999174791</v>
      </c>
      <c r="H344" s="300">
        <f t="shared" ref="H344:I344" si="910">SUM(H329,H334,H339)</f>
        <v>14.701999999905288</v>
      </c>
      <c r="I344" s="300">
        <f t="shared" si="910"/>
        <v>1.7800000000229628</v>
      </c>
      <c r="J344" s="300">
        <f>SUM(G344:I344)</f>
        <v>89.27099999910304</v>
      </c>
      <c r="K344" s="300"/>
      <c r="L344" s="300">
        <f>SUM(L329,L334,L339)</f>
        <v>90.245999999592044</v>
      </c>
      <c r="M344" s="300">
        <f t="shared" ref="M344:N344" si="911">SUM(M329,M334,M339)</f>
        <v>11.677999999983887</v>
      </c>
      <c r="N344" s="300">
        <f t="shared" si="911"/>
        <v>3.4139999999569066</v>
      </c>
      <c r="O344" s="300">
        <f>SUM(L344:N344)</f>
        <v>105.33799999953283</v>
      </c>
      <c r="P344" s="300"/>
      <c r="Q344" s="300">
        <f>SUM(Q329,Q334,Q339)</f>
        <v>99.649000002076377</v>
      </c>
      <c r="R344" s="300">
        <f t="shared" ref="R344:S344" si="912">SUM(R329,R334,R339)</f>
        <v>12.426999999999971</v>
      </c>
      <c r="S344" s="300">
        <f t="shared" si="912"/>
        <v>3.7410000000028356</v>
      </c>
      <c r="T344" s="300">
        <f>SUM(Q344:S344)</f>
        <v>115.81700000207918</v>
      </c>
      <c r="U344" s="300"/>
      <c r="V344" s="300">
        <f>SUM(V329,V334,V339)</f>
        <v>112.76199999980064</v>
      </c>
      <c r="W344" s="300">
        <f t="shared" ref="W344:X344" si="913">SUM(W329,W334,W339)</f>
        <v>13.023000000000806</v>
      </c>
      <c r="X344" s="300">
        <f t="shared" si="913"/>
        <v>4.0739999999877474</v>
      </c>
      <c r="Y344" s="300">
        <f>SUM(V344:X344)</f>
        <v>129.85899999978918</v>
      </c>
    </row>
    <row r="345" spans="1:25" x14ac:dyDescent="0.2">
      <c r="A345" s="260" t="s">
        <v>355</v>
      </c>
      <c r="B345" s="300">
        <f>SUM(B330,B335,B340)</f>
        <v>167.43899999624458</v>
      </c>
      <c r="C345" s="300">
        <f t="shared" ref="C345:D345" si="914">SUM(C330,C335,C340)</f>
        <v>6.4379999998964852</v>
      </c>
      <c r="D345" s="300">
        <f t="shared" si="914"/>
        <v>15.207000000046197</v>
      </c>
      <c r="E345" s="300">
        <f t="shared" ref="E345:E346" si="915">SUM(B345:D345)</f>
        <v>189.08399999618726</v>
      </c>
      <c r="F345" s="300"/>
      <c r="G345" s="300">
        <f>SUM(G330,G335,G340)</f>
        <v>205.94899999661158</v>
      </c>
      <c r="H345" s="300">
        <f t="shared" ref="H345:I345" si="916">SUM(H330,H335,H340)</f>
        <v>8.9339999999170985</v>
      </c>
      <c r="I345" s="300">
        <f t="shared" si="916"/>
        <v>11.878999999890222</v>
      </c>
      <c r="J345" s="300">
        <f t="shared" ref="J345:J346" si="917">SUM(G345:I345)</f>
        <v>226.76199999641889</v>
      </c>
      <c r="K345" s="300"/>
      <c r="L345" s="300">
        <f>SUM(L330,L335,L340)</f>
        <v>195.21600000215329</v>
      </c>
      <c r="M345" s="300">
        <f t="shared" ref="M345:N345" si="918">SUM(M330,M335,M340)</f>
        <v>12.299000000072875</v>
      </c>
      <c r="N345" s="300">
        <f t="shared" si="918"/>
        <v>19.884000000623672</v>
      </c>
      <c r="O345" s="300">
        <f t="shared" ref="O345:O346" si="919">SUM(L345:N345)</f>
        <v>227.39900000284985</v>
      </c>
      <c r="P345" s="300"/>
      <c r="Q345" s="300">
        <f>SUM(Q330,Q335,Q340)</f>
        <v>209.10500000287126</v>
      </c>
      <c r="R345" s="300">
        <f t="shared" ref="R345:S345" si="920">SUM(R330,R335,R340)</f>
        <v>13.373000000035557</v>
      </c>
      <c r="S345" s="300">
        <f t="shared" si="920"/>
        <v>21.949000001255808</v>
      </c>
      <c r="T345" s="300">
        <f t="shared" ref="T345:T346" si="921">SUM(Q345:S345)</f>
        <v>244.42700000416261</v>
      </c>
      <c r="U345" s="300"/>
      <c r="V345" s="300">
        <f>SUM(V330,V335,V340)</f>
        <v>224.4180000034919</v>
      </c>
      <c r="W345" s="300">
        <f t="shared" ref="W345:X345" si="922">SUM(W330,W335,W340)</f>
        <v>14.62400000001497</v>
      </c>
      <c r="X345" s="300">
        <f t="shared" si="922"/>
        <v>24.344000001073436</v>
      </c>
      <c r="Y345" s="300">
        <f t="shared" ref="Y345:Y346" si="923">SUM(V345:X345)</f>
        <v>263.3860000045803</v>
      </c>
    </row>
    <row r="346" spans="1:25" x14ac:dyDescent="0.2">
      <c r="A346" s="264" t="s">
        <v>354</v>
      </c>
      <c r="B346" s="301">
        <f>SUM(B344:B345)</f>
        <v>223.25899999567156</v>
      </c>
      <c r="C346" s="301">
        <f t="shared" ref="C346" si="924">SUM(C344:C345)</f>
        <v>18.939999999760843</v>
      </c>
      <c r="D346" s="301">
        <f t="shared" ref="D346" si="925">SUM(D344:D345)</f>
        <v>19.839000000094831</v>
      </c>
      <c r="E346" s="301">
        <f t="shared" si="915"/>
        <v>262.03799999552723</v>
      </c>
      <c r="F346" s="301"/>
      <c r="G346" s="301">
        <f>SUM(G344:G345)</f>
        <v>278.73799999578637</v>
      </c>
      <c r="H346" s="301">
        <f t="shared" ref="H346" si="926">SUM(H344:H345)</f>
        <v>23.635999999822388</v>
      </c>
      <c r="I346" s="301">
        <f t="shared" ref="I346" si="927">SUM(I344:I345)</f>
        <v>13.658999999913185</v>
      </c>
      <c r="J346" s="301">
        <f t="shared" si="917"/>
        <v>316.03299999552195</v>
      </c>
      <c r="K346" s="301"/>
      <c r="L346" s="301">
        <f>SUM(L344:L345)</f>
        <v>285.46200000174531</v>
      </c>
      <c r="M346" s="301">
        <f t="shared" ref="M346" si="928">SUM(M344:M345)</f>
        <v>23.977000000056762</v>
      </c>
      <c r="N346" s="301">
        <f t="shared" ref="N346" si="929">SUM(N344:N345)</f>
        <v>23.298000000580579</v>
      </c>
      <c r="O346" s="301">
        <f t="shared" si="919"/>
        <v>332.73700000238267</v>
      </c>
      <c r="P346" s="301"/>
      <c r="Q346" s="301">
        <f>SUM(Q344:Q345)</f>
        <v>308.75400000494767</v>
      </c>
      <c r="R346" s="301">
        <f t="shared" ref="R346" si="930">SUM(R344:R345)</f>
        <v>25.800000000035528</v>
      </c>
      <c r="S346" s="301">
        <f t="shared" ref="S346" si="931">SUM(S344:S345)</f>
        <v>25.690000001258642</v>
      </c>
      <c r="T346" s="301">
        <f t="shared" si="921"/>
        <v>360.24400000624183</v>
      </c>
      <c r="U346" s="301"/>
      <c r="V346" s="301">
        <f>SUM(V344:V345)</f>
        <v>337.18000000329255</v>
      </c>
      <c r="W346" s="301">
        <f t="shared" ref="W346" si="932">SUM(W344:W345)</f>
        <v>27.647000000015776</v>
      </c>
      <c r="X346" s="301">
        <f t="shared" ref="X346" si="933">SUM(X344:X345)</f>
        <v>28.418000001061184</v>
      </c>
      <c r="Y346" s="301">
        <f t="shared" si="923"/>
        <v>393.2450000043695</v>
      </c>
    </row>
    <row r="347" spans="1:25" x14ac:dyDescent="0.2">
      <c r="A347" s="262"/>
    </row>
    <row r="348" spans="1:25" x14ac:dyDescent="0.2">
      <c r="A348" s="261"/>
    </row>
    <row r="349" spans="1:25" x14ac:dyDescent="0.2">
      <c r="C349" s="263"/>
    </row>
    <row r="350" spans="1:25" ht="15" x14ac:dyDescent="0.25">
      <c r="A350" s="265" t="str">
        <f>"Industry 14 : "&amp; name!B17</f>
        <v>Industry 14 : Finance and insurance</v>
      </c>
      <c r="B350" s="371">
        <f>$B$5</f>
        <v>2015</v>
      </c>
      <c r="C350" s="371"/>
      <c r="D350" s="371"/>
      <c r="E350" s="371"/>
      <c r="F350" s="320"/>
      <c r="G350" s="371">
        <f>$G$5</f>
        <v>2019</v>
      </c>
      <c r="H350" s="371"/>
      <c r="I350" s="371"/>
      <c r="J350" s="371"/>
      <c r="K350" s="320"/>
      <c r="L350" s="371">
        <f>$L$5</f>
        <v>2020</v>
      </c>
      <c r="M350" s="371"/>
      <c r="N350" s="371"/>
      <c r="O350" s="371"/>
      <c r="P350" s="318"/>
      <c r="Q350" s="371">
        <f>$Q$5</f>
        <v>2025</v>
      </c>
      <c r="R350" s="371"/>
      <c r="S350" s="371"/>
      <c r="T350" s="371"/>
      <c r="U350" s="320"/>
      <c r="V350" s="371">
        <f>$V$5</f>
        <v>2035</v>
      </c>
      <c r="W350" s="371"/>
      <c r="X350" s="371"/>
      <c r="Y350" s="371"/>
    </row>
    <row r="351" spans="1:25" x14ac:dyDescent="0.2">
      <c r="A351" s="264"/>
      <c r="B351" s="268" t="str">
        <f>$B$6</f>
        <v>FT</v>
      </c>
      <c r="C351" s="268" t="str">
        <f>$C$6</f>
        <v>PT</v>
      </c>
      <c r="D351" s="268" t="str">
        <f>$D$6</f>
        <v>SE</v>
      </c>
      <c r="E351" s="268" t="str">
        <f>$E$6</f>
        <v>Total</v>
      </c>
      <c r="F351" s="268"/>
      <c r="G351" s="268" t="str">
        <f>$B$6</f>
        <v>FT</v>
      </c>
      <c r="H351" s="268" t="str">
        <f>$C$6</f>
        <v>PT</v>
      </c>
      <c r="I351" s="268" t="str">
        <f>$D$6</f>
        <v>SE</v>
      </c>
      <c r="J351" s="268" t="str">
        <f>$E$6</f>
        <v>Total</v>
      </c>
      <c r="K351" s="268"/>
      <c r="L351" s="268" t="str">
        <f>$L$6</f>
        <v>FT</v>
      </c>
      <c r="M351" s="268" t="str">
        <f>$M$6</f>
        <v>PT</v>
      </c>
      <c r="N351" s="268" t="str">
        <f>$N$6</f>
        <v>SE</v>
      </c>
      <c r="O351" s="268" t="str">
        <f>$O$6</f>
        <v>Total</v>
      </c>
      <c r="P351" s="268"/>
      <c r="Q351" s="268" t="str">
        <f>$L$6</f>
        <v>FT</v>
      </c>
      <c r="R351" s="268" t="str">
        <f>$M$6</f>
        <v>PT</v>
      </c>
      <c r="S351" s="268" t="str">
        <f>$N$6</f>
        <v>SE</v>
      </c>
      <c r="T351" s="268" t="str">
        <f>$O$6</f>
        <v>Total</v>
      </c>
      <c r="U351" s="268"/>
      <c r="V351" s="268" t="str">
        <f>$V$6</f>
        <v>FT</v>
      </c>
      <c r="W351" s="268" t="str">
        <f>$W$6</f>
        <v>PT</v>
      </c>
      <c r="X351" s="268" t="str">
        <f>$X$6</f>
        <v>SE</v>
      </c>
      <c r="Y351" s="268" t="str">
        <f>$Y$6</f>
        <v>Total</v>
      </c>
    </row>
    <row r="352" spans="1:25" x14ac:dyDescent="0.2">
      <c r="C352" s="319"/>
      <c r="D352" s="319"/>
      <c r="E352" s="319"/>
      <c r="F352" s="319"/>
      <c r="G352" s="319"/>
      <c r="H352" s="319"/>
      <c r="I352" s="319"/>
      <c r="J352" s="319"/>
      <c r="K352" s="319"/>
      <c r="L352" s="319"/>
      <c r="M352" s="319"/>
      <c r="N352" s="319"/>
      <c r="O352" s="319"/>
      <c r="P352" s="319"/>
      <c r="Q352" s="319"/>
      <c r="R352" s="319"/>
      <c r="S352" s="319"/>
      <c r="T352" s="319"/>
      <c r="U352" s="319"/>
      <c r="V352" s="319"/>
      <c r="W352" s="319"/>
      <c r="X352" s="319"/>
      <c r="Y352" s="319"/>
    </row>
    <row r="353" spans="1:25" x14ac:dyDescent="0.2">
      <c r="A353" s="261" t="str">
        <f>name!A50</f>
        <v>Financial services</v>
      </c>
      <c r="C353" s="263"/>
    </row>
    <row r="354" spans="1:25" x14ac:dyDescent="0.2">
      <c r="A354" s="260" t="s">
        <v>356</v>
      </c>
      <c r="B354" s="300">
        <v>49.015999999508054</v>
      </c>
      <c r="C354" s="300">
        <v>15.090000000150317</v>
      </c>
      <c r="D354" s="300">
        <v>1.2300000000400158</v>
      </c>
      <c r="E354" s="300">
        <f>SUM(B354:D354)</f>
        <v>65.335999999698387</v>
      </c>
      <c r="F354" s="300"/>
      <c r="G354" s="300">
        <v>54.189999999206648</v>
      </c>
      <c r="H354" s="300">
        <v>13.612000000130038</v>
      </c>
      <c r="I354" s="300">
        <v>0.39000000001101437</v>
      </c>
      <c r="J354" s="300">
        <f>SUM(G354:I354)</f>
        <v>68.191999999347701</v>
      </c>
      <c r="K354" s="300"/>
      <c r="L354" s="300">
        <v>53.870999999715181</v>
      </c>
      <c r="M354" s="300">
        <v>15.24699999998152</v>
      </c>
      <c r="N354" s="300">
        <v>0.60199999998235776</v>
      </c>
      <c r="O354" s="300">
        <f>SUM(L354:N354)</f>
        <v>69.719999999679061</v>
      </c>
      <c r="P354" s="300"/>
      <c r="Q354" s="300">
        <v>54.472000001752399</v>
      </c>
      <c r="R354" s="300">
        <v>15.253000000107932</v>
      </c>
      <c r="S354" s="300">
        <v>0.5679999999869596</v>
      </c>
      <c r="T354" s="300">
        <f>SUM(Q354:S354)</f>
        <v>70.293000001847304</v>
      </c>
      <c r="U354" s="300"/>
      <c r="V354" s="300">
        <v>54.836000000160951</v>
      </c>
      <c r="W354" s="300">
        <v>15.212999999979315</v>
      </c>
      <c r="X354" s="300">
        <v>0.56799999999216078</v>
      </c>
      <c r="Y354" s="300">
        <f>SUM(V354:X354)</f>
        <v>70.617000000132435</v>
      </c>
    </row>
    <row r="355" spans="1:25" x14ac:dyDescent="0.2">
      <c r="A355" s="260" t="s">
        <v>355</v>
      </c>
      <c r="B355" s="300">
        <v>102.24099999784286</v>
      </c>
      <c r="C355" s="300">
        <v>2.9130000000113347</v>
      </c>
      <c r="D355" s="300">
        <v>6.415000000039063</v>
      </c>
      <c r="E355" s="300">
        <f t="shared" ref="E355:E356" si="934">SUM(B355:D355)</f>
        <v>111.56899999789326</v>
      </c>
      <c r="F355" s="300"/>
      <c r="G355" s="300">
        <v>111.83299999821212</v>
      </c>
      <c r="H355" s="300">
        <v>3.5490000000195945</v>
      </c>
      <c r="I355" s="300">
        <v>8.9299999999423338</v>
      </c>
      <c r="J355" s="300">
        <f t="shared" ref="J355:J356" si="935">SUM(G355:I355)</f>
        <v>124.31199999817404</v>
      </c>
      <c r="K355" s="300"/>
      <c r="L355" s="300">
        <v>109.521000000952</v>
      </c>
      <c r="M355" s="300">
        <v>3.8489999999723508</v>
      </c>
      <c r="N355" s="300">
        <v>3.7100000001099027</v>
      </c>
      <c r="O355" s="300">
        <f t="shared" ref="O355:O356" si="936">SUM(L355:N355)</f>
        <v>117.08000000103425</v>
      </c>
      <c r="P355" s="300"/>
      <c r="Q355" s="300">
        <v>111.21200000162825</v>
      </c>
      <c r="R355" s="300">
        <v>4.0699999999568748</v>
      </c>
      <c r="S355" s="300">
        <v>3.5190000002090045</v>
      </c>
      <c r="T355" s="300">
        <f t="shared" ref="T355:T356" si="937">SUM(Q355:S355)</f>
        <v>118.80100000179414</v>
      </c>
      <c r="U355" s="300"/>
      <c r="V355" s="300">
        <v>112.32100000204471</v>
      </c>
      <c r="W355" s="300">
        <v>4.3909999999203322</v>
      </c>
      <c r="X355" s="300">
        <v>3.5420000001716105</v>
      </c>
      <c r="Y355" s="300">
        <f t="shared" ref="Y355:Y356" si="938">SUM(V355:X355)</f>
        <v>120.25400000213665</v>
      </c>
    </row>
    <row r="356" spans="1:25" x14ac:dyDescent="0.2">
      <c r="A356" s="260" t="s">
        <v>354</v>
      </c>
      <c r="B356" s="300">
        <f>SUM(B354:B355)</f>
        <v>151.25699999735093</v>
      </c>
      <c r="C356" s="300">
        <f t="shared" ref="C356" si="939">SUM(C354:C355)</f>
        <v>18.003000000161652</v>
      </c>
      <c r="D356" s="300">
        <f t="shared" ref="D356" si="940">SUM(D354:D355)</f>
        <v>7.6450000000790785</v>
      </c>
      <c r="E356" s="300">
        <f t="shared" si="934"/>
        <v>176.90499999759166</v>
      </c>
      <c r="F356" s="300"/>
      <c r="G356" s="300">
        <f>SUM(G354:G355)</f>
        <v>166.02299999741876</v>
      </c>
      <c r="H356" s="300">
        <f t="shared" ref="H356" si="941">SUM(H354:H355)</f>
        <v>17.161000000149635</v>
      </c>
      <c r="I356" s="300">
        <f t="shared" ref="I356" si="942">SUM(I354:I355)</f>
        <v>9.3199999999533478</v>
      </c>
      <c r="J356" s="300">
        <f t="shared" si="935"/>
        <v>192.50399999752176</v>
      </c>
      <c r="K356" s="300"/>
      <c r="L356" s="300">
        <f>SUM(L354:L355)</f>
        <v>163.39200000066717</v>
      </c>
      <c r="M356" s="300">
        <f t="shared" ref="M356" si="943">SUM(M354:M355)</f>
        <v>19.095999999953872</v>
      </c>
      <c r="N356" s="300">
        <f t="shared" ref="N356" si="944">SUM(N354:N355)</f>
        <v>4.3120000000922607</v>
      </c>
      <c r="O356" s="300">
        <f t="shared" si="936"/>
        <v>186.80000000071331</v>
      </c>
      <c r="P356" s="300"/>
      <c r="Q356" s="300">
        <f>SUM(Q354:Q355)</f>
        <v>165.68400000338065</v>
      </c>
      <c r="R356" s="300">
        <f t="shared" ref="R356" si="945">SUM(R354:R355)</f>
        <v>19.323000000064805</v>
      </c>
      <c r="S356" s="300">
        <f t="shared" ref="S356" si="946">SUM(S354:S355)</f>
        <v>4.0870000001959639</v>
      </c>
      <c r="T356" s="300">
        <f t="shared" si="937"/>
        <v>189.09400000364141</v>
      </c>
      <c r="U356" s="300"/>
      <c r="V356" s="300">
        <f>SUM(V354:V355)</f>
        <v>167.15700000220568</v>
      </c>
      <c r="W356" s="300">
        <f t="shared" ref="W356" si="947">SUM(W354:W355)</f>
        <v>19.603999999899649</v>
      </c>
      <c r="X356" s="300">
        <f t="shared" ref="X356" si="948">SUM(X354:X355)</f>
        <v>4.1100000001637715</v>
      </c>
      <c r="Y356" s="300">
        <f t="shared" si="938"/>
        <v>190.87100000226911</v>
      </c>
    </row>
    <row r="357" spans="1:25" x14ac:dyDescent="0.2">
      <c r="C357" s="319"/>
      <c r="D357" s="319"/>
      <c r="E357" s="319"/>
      <c r="F357" s="319"/>
      <c r="G357" s="319"/>
      <c r="H357" s="319"/>
      <c r="I357" s="319"/>
      <c r="J357" s="319"/>
      <c r="K357" s="319"/>
      <c r="L357" s="319"/>
      <c r="M357" s="319"/>
      <c r="N357" s="319"/>
      <c r="O357" s="319"/>
      <c r="P357" s="319"/>
      <c r="Q357" s="319"/>
      <c r="R357" s="319"/>
      <c r="S357" s="319"/>
      <c r="T357" s="319"/>
      <c r="U357" s="319"/>
      <c r="V357" s="319"/>
      <c r="W357" s="319"/>
      <c r="X357" s="319"/>
      <c r="Y357" s="319"/>
    </row>
    <row r="358" spans="1:25" x14ac:dyDescent="0.2">
      <c r="A358" s="261" t="str">
        <f>name!A51</f>
        <v>Insurance and pensions</v>
      </c>
      <c r="C358" s="263"/>
    </row>
    <row r="359" spans="1:25" x14ac:dyDescent="0.2">
      <c r="A359" s="260" t="s">
        <v>356</v>
      </c>
      <c r="B359" s="300">
        <v>17.029999999837795</v>
      </c>
      <c r="C359" s="300">
        <v>2.6310000000154088</v>
      </c>
      <c r="D359" s="300">
        <v>2.7000000000331783E-2</v>
      </c>
      <c r="E359" s="300">
        <f>SUM(B359:D359)</f>
        <v>19.687999999853535</v>
      </c>
      <c r="F359" s="300"/>
      <c r="G359" s="300">
        <v>21.08999999971714</v>
      </c>
      <c r="H359" s="300">
        <v>1.6080000000088661</v>
      </c>
      <c r="I359" s="300">
        <v>2.8000000000360088E-2</v>
      </c>
      <c r="J359" s="300">
        <f>SUM(G359:I359)</f>
        <v>22.725999999726366</v>
      </c>
      <c r="K359" s="300"/>
      <c r="L359" s="300">
        <v>20.965999999925625</v>
      </c>
      <c r="M359" s="300">
        <v>1.8010000000003037</v>
      </c>
      <c r="N359" s="300">
        <v>6.4999999999306682E-2</v>
      </c>
      <c r="O359" s="300">
        <f>SUM(L359:N359)</f>
        <v>22.831999999925234</v>
      </c>
      <c r="P359" s="300"/>
      <c r="Q359" s="300">
        <v>21.20000000060389</v>
      </c>
      <c r="R359" s="300">
        <v>1.8010000000139501</v>
      </c>
      <c r="S359" s="300">
        <v>5.5999999999633156E-2</v>
      </c>
      <c r="T359" s="300">
        <f>SUM(Q359:S359)</f>
        <v>23.057000000617471</v>
      </c>
      <c r="U359" s="300"/>
      <c r="V359" s="300">
        <v>21.342000000059777</v>
      </c>
      <c r="W359" s="300">
        <v>1.7969999999999888</v>
      </c>
      <c r="X359" s="300">
        <v>4.4999999999692251E-2</v>
      </c>
      <c r="Y359" s="300">
        <f>SUM(V359:X359)</f>
        <v>23.184000000059459</v>
      </c>
    </row>
    <row r="360" spans="1:25" x14ac:dyDescent="0.2">
      <c r="A360" s="260" t="s">
        <v>355</v>
      </c>
      <c r="B360" s="300">
        <v>9.7649999998193326</v>
      </c>
      <c r="C360" s="300">
        <v>0.48100000000734466</v>
      </c>
      <c r="D360" s="300">
        <v>0.63900000000394719</v>
      </c>
      <c r="E360" s="300">
        <f t="shared" ref="E360:E361" si="949">SUM(B360:D360)</f>
        <v>10.884999999830624</v>
      </c>
      <c r="F360" s="300"/>
      <c r="G360" s="300">
        <v>11.964999999833198</v>
      </c>
      <c r="H360" s="300">
        <v>0.39700000000521773</v>
      </c>
      <c r="I360" s="300">
        <v>0.95399999999726115</v>
      </c>
      <c r="J360" s="300">
        <f t="shared" ref="J360:J361" si="950">SUM(G360:I360)</f>
        <v>13.315999999835677</v>
      </c>
      <c r="K360" s="300"/>
      <c r="L360" s="300">
        <v>11.71800000009001</v>
      </c>
      <c r="M360" s="300">
        <v>0.43099999999527067</v>
      </c>
      <c r="N360" s="300">
        <v>0.43600000000730088</v>
      </c>
      <c r="O360" s="300">
        <f t="shared" ref="O360:O361" si="951">SUM(L360:N360)</f>
        <v>12.585000000092581</v>
      </c>
      <c r="P360" s="300"/>
      <c r="Q360" s="300">
        <v>11.898000000155051</v>
      </c>
      <c r="R360" s="300">
        <v>0.45499999999382573</v>
      </c>
      <c r="S360" s="300">
        <v>0.39000000001267732</v>
      </c>
      <c r="T360" s="300">
        <f t="shared" ref="T360:T361" si="952">SUM(Q360:S360)</f>
        <v>12.743000000161553</v>
      </c>
      <c r="U360" s="300"/>
      <c r="V360" s="300">
        <v>12.017000000190844</v>
      </c>
      <c r="W360" s="300">
        <v>0.49099999999012972</v>
      </c>
      <c r="X360" s="300">
        <v>0.32000000000805007</v>
      </c>
      <c r="Y360" s="300">
        <f t="shared" ref="Y360:Y361" si="953">SUM(V360:X360)</f>
        <v>12.828000000189025</v>
      </c>
    </row>
    <row r="361" spans="1:25" x14ac:dyDescent="0.2">
      <c r="A361" s="260" t="s">
        <v>354</v>
      </c>
      <c r="B361" s="300">
        <f>SUM(B359:B360)</f>
        <v>26.794999999657129</v>
      </c>
      <c r="C361" s="300">
        <f t="shared" ref="C361" si="954">SUM(C359:C360)</f>
        <v>3.1120000000227535</v>
      </c>
      <c r="D361" s="300">
        <f t="shared" ref="D361" si="955">SUM(D359:D360)</f>
        <v>0.66600000000427895</v>
      </c>
      <c r="E361" s="300">
        <f t="shared" si="949"/>
        <v>30.572999999684161</v>
      </c>
      <c r="F361" s="300"/>
      <c r="G361" s="300">
        <f>SUM(G359:G360)</f>
        <v>33.05499999955034</v>
      </c>
      <c r="H361" s="300">
        <f t="shared" ref="H361" si="956">SUM(H359:H360)</f>
        <v>2.0050000000140837</v>
      </c>
      <c r="I361" s="300">
        <f t="shared" ref="I361" si="957">SUM(I359:I360)</f>
        <v>0.98199999999762122</v>
      </c>
      <c r="J361" s="300">
        <f t="shared" si="950"/>
        <v>36.041999999562044</v>
      </c>
      <c r="K361" s="300"/>
      <c r="L361" s="300">
        <f>SUM(L359:L360)</f>
        <v>32.684000000015637</v>
      </c>
      <c r="M361" s="300">
        <f t="shared" ref="M361" si="958">SUM(M359:M360)</f>
        <v>2.2319999999955744</v>
      </c>
      <c r="N361" s="300">
        <f t="shared" ref="N361" si="959">SUM(N359:N360)</f>
        <v>0.5010000000066076</v>
      </c>
      <c r="O361" s="300">
        <f t="shared" si="951"/>
        <v>35.417000000017815</v>
      </c>
      <c r="P361" s="300"/>
      <c r="Q361" s="300">
        <f>SUM(Q359:Q360)</f>
        <v>33.098000000758944</v>
      </c>
      <c r="R361" s="300">
        <f t="shared" ref="R361" si="960">SUM(R359:R360)</f>
        <v>2.2560000000077758</v>
      </c>
      <c r="S361" s="300">
        <f t="shared" ref="S361" si="961">SUM(S359:S360)</f>
        <v>0.44600000001231049</v>
      </c>
      <c r="T361" s="300">
        <f t="shared" si="952"/>
        <v>35.800000000779029</v>
      </c>
      <c r="U361" s="300"/>
      <c r="V361" s="300">
        <f>SUM(V359:V360)</f>
        <v>33.359000000250617</v>
      </c>
      <c r="W361" s="300">
        <f t="shared" ref="W361" si="962">SUM(W359:W360)</f>
        <v>2.2879999999901184</v>
      </c>
      <c r="X361" s="300">
        <f t="shared" ref="X361" si="963">SUM(X359:X360)</f>
        <v>0.3650000000077423</v>
      </c>
      <c r="Y361" s="300">
        <f t="shared" si="953"/>
        <v>36.012000000248477</v>
      </c>
    </row>
    <row r="362" spans="1:25" x14ac:dyDescent="0.2">
      <c r="C362" s="319"/>
      <c r="D362" s="319"/>
      <c r="E362" s="319"/>
      <c r="F362" s="319"/>
      <c r="G362" s="319"/>
      <c r="H362" s="319"/>
      <c r="I362" s="319"/>
      <c r="J362" s="319"/>
      <c r="K362" s="319"/>
      <c r="L362" s="319"/>
      <c r="M362" s="319"/>
      <c r="N362" s="319"/>
      <c r="O362" s="319"/>
      <c r="P362" s="319"/>
      <c r="Q362" s="319"/>
      <c r="R362" s="319"/>
      <c r="S362" s="319"/>
      <c r="T362" s="319"/>
      <c r="U362" s="319"/>
      <c r="V362" s="319"/>
      <c r="W362" s="319"/>
      <c r="X362" s="319"/>
      <c r="Y362" s="319"/>
    </row>
    <row r="363" spans="1:25" x14ac:dyDescent="0.2">
      <c r="A363" s="261" t="str">
        <f>name!A52</f>
        <v>Auxiliary financial services</v>
      </c>
      <c r="C363" s="263"/>
    </row>
    <row r="364" spans="1:25" x14ac:dyDescent="0.2">
      <c r="A364" s="260" t="s">
        <v>356</v>
      </c>
      <c r="B364" s="300">
        <v>50.892999999378553</v>
      </c>
      <c r="C364" s="300">
        <v>11.607000000049391</v>
      </c>
      <c r="D364" s="300">
        <v>3.295000000063061</v>
      </c>
      <c r="E364" s="300">
        <f>SUM(B364:D364)</f>
        <v>65.794999999490997</v>
      </c>
      <c r="F364" s="300"/>
      <c r="G364" s="300">
        <v>56.43399999906682</v>
      </c>
      <c r="H364" s="300">
        <v>9.9880000000402003</v>
      </c>
      <c r="I364" s="300">
        <v>3.510000000065324</v>
      </c>
      <c r="J364" s="300">
        <f>SUM(G364:I364)</f>
        <v>69.931999999172334</v>
      </c>
      <c r="K364" s="300"/>
      <c r="L364" s="300">
        <v>56.102999999782746</v>
      </c>
      <c r="M364" s="300">
        <v>11.186999999984693</v>
      </c>
      <c r="N364" s="300">
        <v>2.2849999999611987</v>
      </c>
      <c r="O364" s="300">
        <f>SUM(L364:N364)</f>
        <v>69.574999999728647</v>
      </c>
      <c r="P364" s="300"/>
      <c r="Q364" s="300">
        <v>56.728000001978842</v>
      </c>
      <c r="R364" s="300">
        <v>11.192000000066505</v>
      </c>
      <c r="S364" s="300">
        <v>2.496999999963589</v>
      </c>
      <c r="T364" s="300">
        <f>SUM(Q364:S364)</f>
        <v>70.417000002008933</v>
      </c>
      <c r="U364" s="300"/>
      <c r="V364" s="300">
        <v>57.107000000196955</v>
      </c>
      <c r="W364" s="300">
        <v>11.163000000000986</v>
      </c>
      <c r="X364" s="300">
        <v>2.5869999999791218</v>
      </c>
      <c r="Y364" s="300">
        <f>SUM(V364:X364)</f>
        <v>70.857000000177067</v>
      </c>
    </row>
    <row r="365" spans="1:25" x14ac:dyDescent="0.2">
      <c r="A365" s="260" t="s">
        <v>355</v>
      </c>
      <c r="B365" s="300">
        <v>90.760999997910972</v>
      </c>
      <c r="C365" s="300">
        <v>2.2710000000053818</v>
      </c>
      <c r="D365" s="300">
        <v>5.9190000000526339</v>
      </c>
      <c r="E365" s="300">
        <f t="shared" ref="E365:E366" si="964">SUM(B365:D365)</f>
        <v>98.950999997968992</v>
      </c>
      <c r="F365" s="300"/>
      <c r="G365" s="300">
        <v>99.574999998249723</v>
      </c>
      <c r="H365" s="300">
        <v>2.6390000000137448</v>
      </c>
      <c r="I365" s="300">
        <v>8.253999999938074</v>
      </c>
      <c r="J365" s="300">
        <f t="shared" ref="J365:J366" si="965">SUM(G365:I365)</f>
        <v>110.46799999820153</v>
      </c>
      <c r="K365" s="300"/>
      <c r="L365" s="300">
        <v>97.516000001011662</v>
      </c>
      <c r="M365" s="300">
        <v>2.8619999999834191</v>
      </c>
      <c r="N365" s="300">
        <v>11.715000000363775</v>
      </c>
      <c r="O365" s="300">
        <f t="shared" ref="O365:O366" si="966">SUM(L365:N365)</f>
        <v>112.09300000135886</v>
      </c>
      <c r="P365" s="300"/>
      <c r="Q365" s="300">
        <v>99.021000001605785</v>
      </c>
      <c r="R365" s="300">
        <v>3.02599999996061</v>
      </c>
      <c r="S365" s="300">
        <v>13.006000000850513</v>
      </c>
      <c r="T365" s="300">
        <f t="shared" ref="T365:T366" si="967">SUM(Q365:S365)</f>
        <v>115.05300000241689</v>
      </c>
      <c r="U365" s="300"/>
      <c r="V365" s="300">
        <v>100.00900000193839</v>
      </c>
      <c r="W365" s="300">
        <v>3.2649999999159851</v>
      </c>
      <c r="X365" s="300">
        <v>13.910000000744372</v>
      </c>
      <c r="Y365" s="300">
        <f t="shared" ref="Y365:Y366" si="968">SUM(V365:X365)</f>
        <v>117.18400000259875</v>
      </c>
    </row>
    <row r="366" spans="1:25" x14ac:dyDescent="0.2">
      <c r="A366" s="260" t="s">
        <v>354</v>
      </c>
      <c r="B366" s="300">
        <f>SUM(B364:B365)</f>
        <v>141.65399999728953</v>
      </c>
      <c r="C366" s="300">
        <f t="shared" ref="C366" si="969">SUM(C364:C365)</f>
        <v>13.878000000054772</v>
      </c>
      <c r="D366" s="300">
        <f t="shared" ref="D366" si="970">SUM(D364:D365)</f>
        <v>9.2140000001156945</v>
      </c>
      <c r="E366" s="300">
        <f t="shared" si="964"/>
        <v>164.74599999746002</v>
      </c>
      <c r="F366" s="300"/>
      <c r="G366" s="300">
        <f>SUM(G364:G365)</f>
        <v>156.00899999731655</v>
      </c>
      <c r="H366" s="300">
        <f t="shared" ref="H366" si="971">SUM(H364:H365)</f>
        <v>12.627000000053945</v>
      </c>
      <c r="I366" s="300">
        <f t="shared" ref="I366" si="972">SUM(I364:I365)</f>
        <v>11.764000000003398</v>
      </c>
      <c r="J366" s="300">
        <f t="shared" si="965"/>
        <v>180.3999999973739</v>
      </c>
      <c r="K366" s="300"/>
      <c r="L366" s="300">
        <f>SUM(L364:L365)</f>
        <v>153.61900000079441</v>
      </c>
      <c r="M366" s="300">
        <f t="shared" ref="M366" si="973">SUM(M364:M365)</f>
        <v>14.048999999968112</v>
      </c>
      <c r="N366" s="300">
        <f t="shared" ref="N366" si="974">SUM(N364:N365)</f>
        <v>14.000000000324974</v>
      </c>
      <c r="O366" s="300">
        <f t="shared" si="966"/>
        <v>181.66800000108751</v>
      </c>
      <c r="P366" s="300"/>
      <c r="Q366" s="300">
        <f>SUM(Q364:Q365)</f>
        <v>155.74900000358463</v>
      </c>
      <c r="R366" s="300">
        <f t="shared" ref="R366" si="975">SUM(R364:R365)</f>
        <v>14.218000000027114</v>
      </c>
      <c r="S366" s="300">
        <f t="shared" ref="S366" si="976">SUM(S364:S365)</f>
        <v>15.503000000814101</v>
      </c>
      <c r="T366" s="300">
        <f t="shared" si="967"/>
        <v>185.47000000442583</v>
      </c>
      <c r="U366" s="300"/>
      <c r="V366" s="300">
        <f>SUM(V364:V365)</f>
        <v>157.11600000213534</v>
      </c>
      <c r="W366" s="300">
        <f t="shared" ref="W366" si="977">SUM(W364:W365)</f>
        <v>14.42799999991697</v>
      </c>
      <c r="X366" s="300">
        <f t="shared" ref="X366" si="978">SUM(X364:X365)</f>
        <v>16.497000000723492</v>
      </c>
      <c r="Y366" s="300">
        <f t="shared" si="968"/>
        <v>188.0410000027758</v>
      </c>
    </row>
    <row r="367" spans="1:25" x14ac:dyDescent="0.2">
      <c r="C367" s="263"/>
    </row>
    <row r="368" spans="1:25" x14ac:dyDescent="0.2">
      <c r="A368" s="261" t="s">
        <v>362</v>
      </c>
      <c r="C368" s="263"/>
    </row>
    <row r="369" spans="1:25" x14ac:dyDescent="0.2">
      <c r="A369" s="260" t="s">
        <v>356</v>
      </c>
      <c r="B369" s="300">
        <f>SUM(B354,B359,B364)</f>
        <v>116.9389999987244</v>
      </c>
      <c r="C369" s="300">
        <f t="shared" ref="C369:D369" si="979">SUM(C354,C359,C364)</f>
        <v>29.32800000021512</v>
      </c>
      <c r="D369" s="300">
        <f t="shared" si="979"/>
        <v>4.5520000001034084</v>
      </c>
      <c r="E369" s="300">
        <f>SUM(B369:D369)</f>
        <v>150.81899999904294</v>
      </c>
      <c r="F369" s="300"/>
      <c r="G369" s="300">
        <f>SUM(G354,G359,G364)</f>
        <v>131.71399999799061</v>
      </c>
      <c r="H369" s="300">
        <f t="shared" ref="H369:I369" si="980">SUM(H354,H359,H364)</f>
        <v>25.208000000179105</v>
      </c>
      <c r="I369" s="300">
        <f t="shared" si="980"/>
        <v>3.9280000000766986</v>
      </c>
      <c r="J369" s="300">
        <f>SUM(G369:I369)</f>
        <v>160.84999999824643</v>
      </c>
      <c r="K369" s="300"/>
      <c r="L369" s="300">
        <f>SUM(L354,L359,L364)</f>
        <v>130.93999999942355</v>
      </c>
      <c r="M369" s="300">
        <f t="shared" ref="M369:N369" si="981">SUM(M354,M359,M364)</f>
        <v>28.234999999966515</v>
      </c>
      <c r="N369" s="300">
        <f t="shared" si="981"/>
        <v>2.9519999999428634</v>
      </c>
      <c r="O369" s="300">
        <f>SUM(L369:N369)</f>
        <v>162.12699999933292</v>
      </c>
      <c r="P369" s="300"/>
      <c r="Q369" s="300">
        <f>SUM(Q354,Q359,Q364)</f>
        <v>132.40000000433514</v>
      </c>
      <c r="R369" s="300">
        <f t="shared" ref="R369:S369" si="982">SUM(R354,R359,R364)</f>
        <v>28.246000000188388</v>
      </c>
      <c r="S369" s="300">
        <f t="shared" si="982"/>
        <v>3.1209999999501816</v>
      </c>
      <c r="T369" s="300">
        <f>SUM(Q369:S369)</f>
        <v>163.76700000447372</v>
      </c>
      <c r="U369" s="300"/>
      <c r="V369" s="300">
        <f>SUM(V354,V359,V364)</f>
        <v>133.28500000041768</v>
      </c>
      <c r="W369" s="300">
        <f t="shared" ref="W369:X369" si="983">SUM(W354,W359,W364)</f>
        <v>28.172999999980291</v>
      </c>
      <c r="X369" s="300">
        <f t="shared" si="983"/>
        <v>3.199999999970975</v>
      </c>
      <c r="Y369" s="300">
        <f>SUM(V369:X369)</f>
        <v>164.65800000036896</v>
      </c>
    </row>
    <row r="370" spans="1:25" x14ac:dyDescent="0.2">
      <c r="A370" s="260" t="s">
        <v>355</v>
      </c>
      <c r="B370" s="300">
        <f>SUM(B355,B360,B365)</f>
        <v>202.76699999557317</v>
      </c>
      <c r="C370" s="300">
        <f t="shared" ref="C370:D370" si="984">SUM(C355,C360,C365)</f>
        <v>5.6650000000240617</v>
      </c>
      <c r="D370" s="300">
        <f t="shared" si="984"/>
        <v>12.973000000095645</v>
      </c>
      <c r="E370" s="300">
        <f t="shared" ref="E370:E371" si="985">SUM(B370:D370)</f>
        <v>221.40499999569289</v>
      </c>
      <c r="F370" s="300"/>
      <c r="G370" s="300">
        <f>SUM(G355,G360,G365)</f>
        <v>223.37299999629505</v>
      </c>
      <c r="H370" s="300">
        <f t="shared" ref="H370:I370" si="986">SUM(H355,H360,H365)</f>
        <v>6.5850000000385567</v>
      </c>
      <c r="I370" s="300">
        <f t="shared" si="986"/>
        <v>18.137999999877671</v>
      </c>
      <c r="J370" s="300">
        <f t="shared" ref="J370:J371" si="987">SUM(G370:I370)</f>
        <v>248.09599999621128</v>
      </c>
      <c r="K370" s="300"/>
      <c r="L370" s="300">
        <f>SUM(L355,L360,L365)</f>
        <v>218.75500000205369</v>
      </c>
      <c r="M370" s="300">
        <f t="shared" ref="M370:N370" si="988">SUM(M355,M360,M365)</f>
        <v>7.1419999999510413</v>
      </c>
      <c r="N370" s="300">
        <f t="shared" si="988"/>
        <v>15.861000000480978</v>
      </c>
      <c r="O370" s="300">
        <f t="shared" ref="O370:O371" si="989">SUM(L370:N370)</f>
        <v>241.75800000248572</v>
      </c>
      <c r="P370" s="300"/>
      <c r="Q370" s="300">
        <f>SUM(Q355,Q360,Q365)</f>
        <v>222.13100000338909</v>
      </c>
      <c r="R370" s="300">
        <f t="shared" ref="R370:S370" si="990">SUM(R355,R360,R365)</f>
        <v>7.5509999999113102</v>
      </c>
      <c r="S370" s="300">
        <f t="shared" si="990"/>
        <v>16.915000001072194</v>
      </c>
      <c r="T370" s="300">
        <f t="shared" ref="T370:T371" si="991">SUM(Q370:S370)</f>
        <v>246.5970000043726</v>
      </c>
      <c r="U370" s="300"/>
      <c r="V370" s="300">
        <f>SUM(V355,V360,V365)</f>
        <v>224.34700000417394</v>
      </c>
      <c r="W370" s="300">
        <f t="shared" ref="W370:X370" si="992">SUM(W355,W360,W365)</f>
        <v>8.1469999998264466</v>
      </c>
      <c r="X370" s="300">
        <f t="shared" si="992"/>
        <v>17.772000000924031</v>
      </c>
      <c r="Y370" s="300">
        <f t="shared" ref="Y370:Y371" si="993">SUM(V370:X370)</f>
        <v>250.26600000492442</v>
      </c>
    </row>
    <row r="371" spans="1:25" x14ac:dyDescent="0.2">
      <c r="A371" s="264" t="s">
        <v>354</v>
      </c>
      <c r="B371" s="301">
        <f>SUM(B369:B370)</f>
        <v>319.7059999942976</v>
      </c>
      <c r="C371" s="301">
        <f t="shared" ref="C371" si="994">SUM(C369:C370)</f>
        <v>34.993000000239178</v>
      </c>
      <c r="D371" s="301">
        <f t="shared" ref="D371" si="995">SUM(D369:D370)</f>
        <v>17.525000000199054</v>
      </c>
      <c r="E371" s="301">
        <f t="shared" si="985"/>
        <v>372.22399999473583</v>
      </c>
      <c r="F371" s="301"/>
      <c r="G371" s="301">
        <f>SUM(G369:G370)</f>
        <v>355.08699999428563</v>
      </c>
      <c r="H371" s="301">
        <f t="shared" ref="H371" si="996">SUM(H369:H370)</f>
        <v>31.79300000021766</v>
      </c>
      <c r="I371" s="301">
        <f t="shared" ref="I371" si="997">SUM(I369:I370)</f>
        <v>22.065999999954371</v>
      </c>
      <c r="J371" s="301">
        <f t="shared" si="987"/>
        <v>408.94599999445768</v>
      </c>
      <c r="K371" s="301"/>
      <c r="L371" s="301">
        <f>SUM(L369:L370)</f>
        <v>349.69500000147724</v>
      </c>
      <c r="M371" s="301">
        <f t="shared" ref="M371" si="998">SUM(M369:M370)</f>
        <v>35.376999999917558</v>
      </c>
      <c r="N371" s="301">
        <f t="shared" ref="N371" si="999">SUM(N369:N370)</f>
        <v>18.813000000423841</v>
      </c>
      <c r="O371" s="301">
        <f t="shared" si="989"/>
        <v>403.88500000181864</v>
      </c>
      <c r="P371" s="301"/>
      <c r="Q371" s="301">
        <f>SUM(Q369:Q370)</f>
        <v>354.53100000772423</v>
      </c>
      <c r="R371" s="301">
        <f t="shared" ref="R371" si="1000">SUM(R369:R370)</f>
        <v>35.7970000000997</v>
      </c>
      <c r="S371" s="301">
        <f t="shared" ref="S371" si="1001">SUM(S369:S370)</f>
        <v>20.036000001022376</v>
      </c>
      <c r="T371" s="301">
        <f t="shared" si="991"/>
        <v>410.36400000884629</v>
      </c>
      <c r="U371" s="301"/>
      <c r="V371" s="301">
        <f>SUM(V369:V370)</f>
        <v>357.63200000459165</v>
      </c>
      <c r="W371" s="301">
        <f t="shared" ref="W371" si="1002">SUM(W369:W370)</f>
        <v>36.31999999980674</v>
      </c>
      <c r="X371" s="301">
        <f t="shared" ref="X371" si="1003">SUM(X369:X370)</f>
        <v>20.972000000895004</v>
      </c>
      <c r="Y371" s="301">
        <f t="shared" si="993"/>
        <v>414.92400000529335</v>
      </c>
    </row>
    <row r="375" spans="1:25" ht="15" x14ac:dyDescent="0.25">
      <c r="A375" s="265" t="str">
        <f>"Industry 15 : "&amp; name!B18</f>
        <v>Industry 15 : Real estate</v>
      </c>
      <c r="B375" s="371">
        <f>$B$5</f>
        <v>2015</v>
      </c>
      <c r="C375" s="371"/>
      <c r="D375" s="371"/>
      <c r="E375" s="371"/>
      <c r="F375" s="320"/>
      <c r="G375" s="371">
        <f>$G$5</f>
        <v>2019</v>
      </c>
      <c r="H375" s="371"/>
      <c r="I375" s="371"/>
      <c r="J375" s="371"/>
      <c r="K375" s="320"/>
      <c r="L375" s="371">
        <f>$L$5</f>
        <v>2020</v>
      </c>
      <c r="M375" s="371"/>
      <c r="N375" s="371"/>
      <c r="O375" s="371"/>
      <c r="P375" s="318"/>
      <c r="Q375" s="371">
        <f>$Q$5</f>
        <v>2025</v>
      </c>
      <c r="R375" s="371"/>
      <c r="S375" s="371"/>
      <c r="T375" s="371"/>
      <c r="U375" s="320"/>
      <c r="V375" s="371">
        <f>$V$5</f>
        <v>2035</v>
      </c>
      <c r="W375" s="371"/>
      <c r="X375" s="371"/>
      <c r="Y375" s="371"/>
    </row>
    <row r="376" spans="1:25" x14ac:dyDescent="0.2">
      <c r="A376" s="264"/>
      <c r="B376" s="268" t="str">
        <f>$B$6</f>
        <v>FT</v>
      </c>
      <c r="C376" s="268" t="str">
        <f>$C$6</f>
        <v>PT</v>
      </c>
      <c r="D376" s="268" t="str">
        <f>$D$6</f>
        <v>SE</v>
      </c>
      <c r="E376" s="268" t="str">
        <f>$E$6</f>
        <v>Total</v>
      </c>
      <c r="F376" s="268"/>
      <c r="G376" s="268" t="str">
        <f>$B$6</f>
        <v>FT</v>
      </c>
      <c r="H376" s="268" t="str">
        <f>$C$6</f>
        <v>PT</v>
      </c>
      <c r="I376" s="268" t="str">
        <f>$D$6</f>
        <v>SE</v>
      </c>
      <c r="J376" s="268" t="str">
        <f>$E$6</f>
        <v>Total</v>
      </c>
      <c r="K376" s="268"/>
      <c r="L376" s="268" t="str">
        <f>$L$6</f>
        <v>FT</v>
      </c>
      <c r="M376" s="268" t="str">
        <f>$M$6</f>
        <v>PT</v>
      </c>
      <c r="N376" s="268" t="str">
        <f>$N$6</f>
        <v>SE</v>
      </c>
      <c r="O376" s="268" t="str">
        <f>$O$6</f>
        <v>Total</v>
      </c>
      <c r="P376" s="268"/>
      <c r="Q376" s="268" t="str">
        <f>$L$6</f>
        <v>FT</v>
      </c>
      <c r="R376" s="268" t="str">
        <f>$M$6</f>
        <v>PT</v>
      </c>
      <c r="S376" s="268" t="str">
        <f>$N$6</f>
        <v>SE</v>
      </c>
      <c r="T376" s="268" t="str">
        <f>$O$6</f>
        <v>Total</v>
      </c>
      <c r="U376" s="268"/>
      <c r="V376" s="268" t="str">
        <f>$V$6</f>
        <v>FT</v>
      </c>
      <c r="W376" s="268" t="str">
        <f>$W$6</f>
        <v>PT</v>
      </c>
      <c r="X376" s="268" t="str">
        <f>$X$6</f>
        <v>SE</v>
      </c>
      <c r="Y376" s="268" t="str">
        <f>$Y$6</f>
        <v>Total</v>
      </c>
    </row>
    <row r="377" spans="1:25" x14ac:dyDescent="0.2">
      <c r="C377" s="319"/>
      <c r="D377" s="319"/>
      <c r="E377" s="319"/>
      <c r="F377" s="319"/>
      <c r="G377" s="319"/>
      <c r="H377" s="319"/>
      <c r="I377" s="319"/>
      <c r="J377" s="319"/>
      <c r="K377" s="319"/>
      <c r="L377" s="319"/>
      <c r="M377" s="319"/>
      <c r="N377" s="319"/>
      <c r="O377" s="319"/>
      <c r="P377" s="319"/>
      <c r="Q377" s="319"/>
      <c r="R377" s="319"/>
      <c r="S377" s="319"/>
      <c r="T377" s="319"/>
      <c r="U377" s="319"/>
      <c r="V377" s="319"/>
      <c r="W377" s="319"/>
      <c r="X377" s="319"/>
      <c r="Y377" s="319"/>
    </row>
    <row r="378" spans="1:25" x14ac:dyDescent="0.2">
      <c r="A378" s="261" t="str">
        <f>name!A53</f>
        <v>Real estate</v>
      </c>
      <c r="C378" s="263"/>
    </row>
    <row r="379" spans="1:25" x14ac:dyDescent="0.2">
      <c r="A379" s="260" t="s">
        <v>356</v>
      </c>
      <c r="B379" s="300">
        <v>46.717999999805123</v>
      </c>
      <c r="C379" s="300">
        <v>20.519000000162745</v>
      </c>
      <c r="D379" s="300">
        <v>5.6330000000963745</v>
      </c>
      <c r="E379" s="300">
        <f>SUM(B379:D379)</f>
        <v>72.870000000064238</v>
      </c>
      <c r="F379" s="300"/>
      <c r="G379" s="300">
        <v>48.114999999708779</v>
      </c>
      <c r="H379" s="300">
        <v>12.286000000115795</v>
      </c>
      <c r="I379" s="300">
        <v>4.1420000000728283</v>
      </c>
      <c r="J379" s="300">
        <f>SUM(G379:I379)</f>
        <v>64.542999999897404</v>
      </c>
      <c r="K379" s="300"/>
      <c r="L379" s="300">
        <v>50.281999999681339</v>
      </c>
      <c r="M379" s="300">
        <v>21.907999999854685</v>
      </c>
      <c r="N379" s="300">
        <v>3.8179999999312257</v>
      </c>
      <c r="O379" s="300">
        <f>SUM(L379:N379)</f>
        <v>76.007999999467259</v>
      </c>
      <c r="P379" s="300"/>
      <c r="Q379" s="300">
        <v>49.147000000737428</v>
      </c>
      <c r="R379" s="300">
        <v>19.776999999804296</v>
      </c>
      <c r="S379" s="300">
        <v>3.6539999999636348</v>
      </c>
      <c r="T379" s="300">
        <f>SUM(Q379:S379)</f>
        <v>72.578000000505355</v>
      </c>
      <c r="U379" s="300"/>
      <c r="V379" s="300">
        <v>54.514999999897022</v>
      </c>
      <c r="W379" s="300">
        <v>18.753999999857584</v>
      </c>
      <c r="X379" s="300">
        <v>3.8129999999660358</v>
      </c>
      <c r="Y379" s="300">
        <f>SUM(V379:X379)</f>
        <v>77.081999999720651</v>
      </c>
    </row>
    <row r="380" spans="1:25" x14ac:dyDescent="0.2">
      <c r="A380" s="260" t="s">
        <v>355</v>
      </c>
      <c r="B380" s="300">
        <v>50.328999999110302</v>
      </c>
      <c r="C380" s="300">
        <v>5.8739999999515229</v>
      </c>
      <c r="D380" s="300">
        <v>7.3240000001129975</v>
      </c>
      <c r="E380" s="300">
        <f t="shared" ref="E380:E381" si="1004">SUM(B380:D380)</f>
        <v>63.526999999174819</v>
      </c>
      <c r="F380" s="300"/>
      <c r="G380" s="300">
        <v>55.848999999317073</v>
      </c>
      <c r="H380" s="300">
        <v>6.2969999999605282</v>
      </c>
      <c r="I380" s="300">
        <v>3.9790000000513572</v>
      </c>
      <c r="J380" s="300">
        <f t="shared" ref="J380:J381" si="1005">SUM(G380:I380)</f>
        <v>66.124999999328963</v>
      </c>
      <c r="K380" s="300"/>
      <c r="L380" s="300">
        <v>69.717000000431909</v>
      </c>
      <c r="M380" s="300">
        <v>9.6810000000617311</v>
      </c>
      <c r="N380" s="300">
        <v>5.3710000000308638</v>
      </c>
      <c r="O380" s="300">
        <f t="shared" ref="O380:O381" si="1006">SUM(L380:N380)</f>
        <v>84.7690000005245</v>
      </c>
      <c r="P380" s="300"/>
      <c r="Q380" s="300">
        <v>65.751000000656688</v>
      </c>
      <c r="R380" s="300">
        <v>9.155000000047389</v>
      </c>
      <c r="S380" s="300">
        <v>5.3320000000816909</v>
      </c>
      <c r="T380" s="300">
        <f t="shared" ref="T380:T381" si="1007">SUM(Q380:S380)</f>
        <v>80.238000000785775</v>
      </c>
      <c r="U380" s="300"/>
      <c r="V380" s="300">
        <v>68.086000000873469</v>
      </c>
      <c r="W380" s="300">
        <v>9.6530000000643401</v>
      </c>
      <c r="X380" s="300">
        <v>5.9990000000645498</v>
      </c>
      <c r="Y380" s="300">
        <f t="shared" ref="Y380:Y381" si="1008">SUM(V380:X380)</f>
        <v>83.738000001002362</v>
      </c>
    </row>
    <row r="381" spans="1:25" x14ac:dyDescent="0.2">
      <c r="A381" s="264" t="s">
        <v>354</v>
      </c>
      <c r="B381" s="301">
        <f>SUM(B379:B380)</f>
        <v>97.046999998915425</v>
      </c>
      <c r="C381" s="301">
        <f t="shared" ref="C381" si="1009">SUM(C379:C380)</f>
        <v>26.393000000114267</v>
      </c>
      <c r="D381" s="301">
        <f t="shared" ref="D381" si="1010">SUM(D379:D380)</f>
        <v>12.957000000209373</v>
      </c>
      <c r="E381" s="301">
        <f t="shared" si="1004"/>
        <v>136.39699999923906</v>
      </c>
      <c r="F381" s="301"/>
      <c r="G381" s="301">
        <f>SUM(G379:G380)</f>
        <v>103.96399999902584</v>
      </c>
      <c r="H381" s="301">
        <f t="shared" ref="H381" si="1011">SUM(H379:H380)</f>
        <v>18.583000000076325</v>
      </c>
      <c r="I381" s="301">
        <f t="shared" ref="I381" si="1012">SUM(I379:I380)</f>
        <v>8.1210000001241855</v>
      </c>
      <c r="J381" s="301">
        <f t="shared" si="1005"/>
        <v>130.66799999922637</v>
      </c>
      <c r="K381" s="301"/>
      <c r="L381" s="301">
        <f>SUM(L379:L380)</f>
        <v>119.99900000011326</v>
      </c>
      <c r="M381" s="301">
        <f t="shared" ref="M381" si="1013">SUM(M379:M380)</f>
        <v>31.588999999916417</v>
      </c>
      <c r="N381" s="301">
        <f t="shared" ref="N381" si="1014">SUM(N379:N380)</f>
        <v>9.188999999962089</v>
      </c>
      <c r="O381" s="301">
        <f t="shared" si="1006"/>
        <v>160.77699999999174</v>
      </c>
      <c r="P381" s="301"/>
      <c r="Q381" s="301">
        <f>SUM(Q379:Q380)</f>
        <v>114.89800000139411</v>
      </c>
      <c r="R381" s="301">
        <f t="shared" ref="R381" si="1015">SUM(R379:R380)</f>
        <v>28.931999999851683</v>
      </c>
      <c r="S381" s="301">
        <f t="shared" ref="S381" si="1016">SUM(S379:S380)</f>
        <v>8.9860000000453262</v>
      </c>
      <c r="T381" s="301">
        <f t="shared" si="1007"/>
        <v>152.81600000129112</v>
      </c>
      <c r="U381" s="301"/>
      <c r="V381" s="301">
        <f>SUM(V379:V380)</f>
        <v>122.60100000077048</v>
      </c>
      <c r="W381" s="301">
        <f t="shared" ref="W381" si="1017">SUM(W379:W380)</f>
        <v>28.406999999921922</v>
      </c>
      <c r="X381" s="301">
        <f t="shared" ref="X381" si="1018">SUM(X379:X380)</f>
        <v>9.8120000000305865</v>
      </c>
      <c r="Y381" s="301">
        <f t="shared" si="1008"/>
        <v>160.82000000072298</v>
      </c>
    </row>
    <row r="382" spans="1:25" x14ac:dyDescent="0.2">
      <c r="C382" s="263"/>
    </row>
    <row r="383" spans="1:25" x14ac:dyDescent="0.2">
      <c r="A383" s="261"/>
    </row>
    <row r="384" spans="1:25" x14ac:dyDescent="0.2">
      <c r="C384" s="263"/>
    </row>
    <row r="385" spans="1:25" ht="15" x14ac:dyDescent="0.25">
      <c r="A385" s="265" t="str">
        <f>"Industry 16 : "&amp; name!B19</f>
        <v>Industry 16 : Professional services</v>
      </c>
      <c r="B385" s="371">
        <f>$B$5</f>
        <v>2015</v>
      </c>
      <c r="C385" s="371"/>
      <c r="D385" s="371"/>
      <c r="E385" s="371"/>
      <c r="F385" s="320"/>
      <c r="G385" s="371">
        <f>$G$5</f>
        <v>2019</v>
      </c>
      <c r="H385" s="371"/>
      <c r="I385" s="371"/>
      <c r="J385" s="371"/>
      <c r="K385" s="320"/>
      <c r="L385" s="371">
        <f>$L$5</f>
        <v>2020</v>
      </c>
      <c r="M385" s="371"/>
      <c r="N385" s="371"/>
      <c r="O385" s="371"/>
      <c r="P385" s="318"/>
      <c r="Q385" s="371">
        <f>$Q$5</f>
        <v>2025</v>
      </c>
      <c r="R385" s="371"/>
      <c r="S385" s="371"/>
      <c r="T385" s="371"/>
      <c r="U385" s="320"/>
      <c r="V385" s="371">
        <f>$V$5</f>
        <v>2035</v>
      </c>
      <c r="W385" s="371"/>
      <c r="X385" s="371"/>
      <c r="Y385" s="371"/>
    </row>
    <row r="386" spans="1:25" x14ac:dyDescent="0.2">
      <c r="A386" s="264"/>
      <c r="B386" s="268" t="str">
        <f>$B$6</f>
        <v>FT</v>
      </c>
      <c r="C386" s="268" t="str">
        <f>$C$6</f>
        <v>PT</v>
      </c>
      <c r="D386" s="268" t="str">
        <f>$D$6</f>
        <v>SE</v>
      </c>
      <c r="E386" s="268" t="str">
        <f>$E$6</f>
        <v>Total</v>
      </c>
      <c r="F386" s="268"/>
      <c r="G386" s="268" t="str">
        <f>$B$6</f>
        <v>FT</v>
      </c>
      <c r="H386" s="268" t="str">
        <f>$C$6</f>
        <v>PT</v>
      </c>
      <c r="I386" s="268" t="str">
        <f>$D$6</f>
        <v>SE</v>
      </c>
      <c r="J386" s="268" t="str">
        <f>$E$6</f>
        <v>Total</v>
      </c>
      <c r="K386" s="268"/>
      <c r="L386" s="268" t="str">
        <f>$L$6</f>
        <v>FT</v>
      </c>
      <c r="M386" s="268" t="str">
        <f>$M$6</f>
        <v>PT</v>
      </c>
      <c r="N386" s="268" t="str">
        <f>$N$6</f>
        <v>SE</v>
      </c>
      <c r="O386" s="268" t="str">
        <f>$O$6</f>
        <v>Total</v>
      </c>
      <c r="P386" s="268"/>
      <c r="Q386" s="268" t="str">
        <f>$L$6</f>
        <v>FT</v>
      </c>
      <c r="R386" s="268" t="str">
        <f>$M$6</f>
        <v>PT</v>
      </c>
      <c r="S386" s="268" t="str">
        <f>$N$6</f>
        <v>SE</v>
      </c>
      <c r="T386" s="268" t="str">
        <f>$O$6</f>
        <v>Total</v>
      </c>
      <c r="U386" s="268"/>
      <c r="V386" s="268" t="str">
        <f>$V$6</f>
        <v>FT</v>
      </c>
      <c r="W386" s="268" t="str">
        <f>$W$6</f>
        <v>PT</v>
      </c>
      <c r="X386" s="268" t="str">
        <f>$X$6</f>
        <v>SE</v>
      </c>
      <c r="Y386" s="268" t="str">
        <f>$Y$6</f>
        <v>Total</v>
      </c>
    </row>
    <row r="387" spans="1:25" x14ac:dyDescent="0.2">
      <c r="C387" s="319"/>
      <c r="D387" s="319"/>
      <c r="E387" s="319"/>
      <c r="F387" s="319"/>
      <c r="G387" s="319"/>
      <c r="H387" s="319"/>
      <c r="I387" s="319"/>
      <c r="J387" s="319"/>
      <c r="K387" s="319"/>
      <c r="L387" s="319"/>
      <c r="M387" s="319"/>
      <c r="N387" s="319"/>
      <c r="O387" s="319"/>
      <c r="P387" s="319"/>
      <c r="Q387" s="319"/>
      <c r="R387" s="319"/>
      <c r="S387" s="319"/>
      <c r="T387" s="319"/>
      <c r="U387" s="319"/>
      <c r="V387" s="319"/>
      <c r="W387" s="319"/>
      <c r="X387" s="319"/>
      <c r="Y387" s="319"/>
    </row>
    <row r="388" spans="1:25" x14ac:dyDescent="0.2">
      <c r="A388" s="261" t="str">
        <f>name!A54</f>
        <v>Legal and accounting</v>
      </c>
      <c r="C388" s="263"/>
    </row>
    <row r="389" spans="1:25" x14ac:dyDescent="0.2">
      <c r="A389" s="260" t="s">
        <v>356</v>
      </c>
      <c r="B389" s="300">
        <v>73.800999998459233</v>
      </c>
      <c r="C389" s="300">
        <v>19.804999999868386</v>
      </c>
      <c r="D389" s="300">
        <v>12.283999999971998</v>
      </c>
      <c r="E389" s="300">
        <f>SUM(B389:D389)</f>
        <v>105.88999999829961</v>
      </c>
      <c r="F389" s="300"/>
      <c r="G389" s="300">
        <v>89.392999997984788</v>
      </c>
      <c r="H389" s="300">
        <v>23.335999999881903</v>
      </c>
      <c r="I389" s="300">
        <v>10.819999999991989</v>
      </c>
      <c r="J389" s="300">
        <f>SUM(G389:I389)</f>
        <v>123.54899999785869</v>
      </c>
      <c r="K389" s="300"/>
      <c r="L389" s="300">
        <v>83.476000000106026</v>
      </c>
      <c r="M389" s="300">
        <v>28.694000000026314</v>
      </c>
      <c r="N389" s="300">
        <v>11.429999999962458</v>
      </c>
      <c r="O389" s="300">
        <f>SUM(L389:N389)</f>
        <v>123.60000000009481</v>
      </c>
      <c r="P389" s="300"/>
      <c r="Q389" s="300">
        <v>87.491000003444057</v>
      </c>
      <c r="R389" s="300">
        <v>30.615000000210244</v>
      </c>
      <c r="S389" s="300">
        <v>12.058000000169566</v>
      </c>
      <c r="T389" s="300">
        <f>SUM(Q389:S389)</f>
        <v>130.16400000382387</v>
      </c>
      <c r="U389" s="300"/>
      <c r="V389" s="300">
        <v>90.48200000035726</v>
      </c>
      <c r="W389" s="300">
        <v>32.778000000068104</v>
      </c>
      <c r="X389" s="300">
        <v>12.614000000055645</v>
      </c>
      <c r="Y389" s="300">
        <f>SUM(V389:X389)</f>
        <v>135.874000000481</v>
      </c>
    </row>
    <row r="390" spans="1:25" x14ac:dyDescent="0.2">
      <c r="A390" s="260" t="s">
        <v>355</v>
      </c>
      <c r="B390" s="300">
        <v>75.964999997555935</v>
      </c>
      <c r="C390" s="300">
        <v>6.2719999998585143</v>
      </c>
      <c r="D390" s="300">
        <v>18.471000000073364</v>
      </c>
      <c r="E390" s="300">
        <f t="shared" ref="E390:E391" si="1019">SUM(B390:D390)</f>
        <v>100.7079999974878</v>
      </c>
      <c r="F390" s="300"/>
      <c r="G390" s="300">
        <v>90.753999997943922</v>
      </c>
      <c r="H390" s="300">
        <v>7.8769999998756166</v>
      </c>
      <c r="I390" s="300">
        <v>32.001999999587589</v>
      </c>
      <c r="J390" s="300">
        <f t="shared" ref="J390:J391" si="1020">SUM(G390:I390)</f>
        <v>130.63299999740713</v>
      </c>
      <c r="K390" s="300"/>
      <c r="L390" s="300">
        <v>77.065000001131494</v>
      </c>
      <c r="M390" s="300">
        <v>8.2090000000965127</v>
      </c>
      <c r="N390" s="300">
        <v>21.288000000985505</v>
      </c>
      <c r="O390" s="300">
        <f t="shared" ref="O390:O391" si="1021">SUM(L390:N390)</f>
        <v>106.56200000221351</v>
      </c>
      <c r="P390" s="300"/>
      <c r="Q390" s="300">
        <v>82.475000001506118</v>
      </c>
      <c r="R390" s="300">
        <v>8.9470000000689591</v>
      </c>
      <c r="S390" s="300">
        <v>22.384000001954174</v>
      </c>
      <c r="T390" s="300">
        <f t="shared" ref="T390:T391" si="1022">SUM(Q390:S390)</f>
        <v>113.80600000352925</v>
      </c>
      <c r="U390" s="300"/>
      <c r="V390" s="300">
        <v>89.080000001826278</v>
      </c>
      <c r="W390" s="300">
        <v>9.9950000000974359</v>
      </c>
      <c r="X390" s="300">
        <v>23.277000001530006</v>
      </c>
      <c r="Y390" s="300">
        <f t="shared" ref="Y390:Y391" si="1023">SUM(V390:X390)</f>
        <v>122.35200000345372</v>
      </c>
    </row>
    <row r="391" spans="1:25" x14ac:dyDescent="0.2">
      <c r="A391" s="260" t="s">
        <v>354</v>
      </c>
      <c r="B391" s="300">
        <f>SUM(B389:B390)</f>
        <v>149.76599999601518</v>
      </c>
      <c r="C391" s="300">
        <f t="shared" ref="C391" si="1024">SUM(C389:C390)</f>
        <v>26.076999999726901</v>
      </c>
      <c r="D391" s="300">
        <f t="shared" ref="D391" si="1025">SUM(D389:D390)</f>
        <v>30.755000000045364</v>
      </c>
      <c r="E391" s="300">
        <f t="shared" si="1019"/>
        <v>206.59799999578743</v>
      </c>
      <c r="F391" s="300"/>
      <c r="G391" s="300">
        <f>SUM(G389:G390)</f>
        <v>180.1469999959287</v>
      </c>
      <c r="H391" s="300">
        <f t="shared" ref="H391" si="1026">SUM(H389:H390)</f>
        <v>31.212999999757521</v>
      </c>
      <c r="I391" s="300">
        <f t="shared" ref="I391" si="1027">SUM(I389:I390)</f>
        <v>42.821999999579575</v>
      </c>
      <c r="J391" s="300">
        <f t="shared" si="1020"/>
        <v>254.18199999526581</v>
      </c>
      <c r="K391" s="300"/>
      <c r="L391" s="300">
        <f>SUM(L389:L390)</f>
        <v>160.54100000123753</v>
      </c>
      <c r="M391" s="300">
        <f t="shared" ref="M391" si="1028">SUM(M389:M390)</f>
        <v>36.90300000012283</v>
      </c>
      <c r="N391" s="300">
        <f t="shared" ref="N391" si="1029">SUM(N389:N390)</f>
        <v>32.718000000947967</v>
      </c>
      <c r="O391" s="300">
        <f t="shared" si="1021"/>
        <v>230.16200000230833</v>
      </c>
      <c r="P391" s="300"/>
      <c r="Q391" s="300">
        <f>SUM(Q389:Q390)</f>
        <v>169.96600000495016</v>
      </c>
      <c r="R391" s="300">
        <f t="shared" ref="R391" si="1030">SUM(R389:R390)</f>
        <v>39.562000000279205</v>
      </c>
      <c r="S391" s="300">
        <f t="shared" ref="S391" si="1031">SUM(S389:S390)</f>
        <v>34.442000002123741</v>
      </c>
      <c r="T391" s="300">
        <f t="shared" si="1022"/>
        <v>243.97000000735309</v>
      </c>
      <c r="U391" s="300"/>
      <c r="V391" s="300">
        <f>SUM(V389:V390)</f>
        <v>179.56200000218354</v>
      </c>
      <c r="W391" s="300">
        <f t="shared" ref="W391" si="1032">SUM(W389:W390)</f>
        <v>42.773000000165538</v>
      </c>
      <c r="X391" s="300">
        <f t="shared" ref="X391" si="1033">SUM(X389:X390)</f>
        <v>35.891000001585653</v>
      </c>
      <c r="Y391" s="300">
        <f t="shared" si="1023"/>
        <v>258.22600000393476</v>
      </c>
    </row>
    <row r="392" spans="1:25" x14ac:dyDescent="0.2">
      <c r="C392" s="319"/>
      <c r="D392" s="319"/>
      <c r="E392" s="319"/>
      <c r="F392" s="319"/>
      <c r="G392" s="319"/>
      <c r="H392" s="319"/>
      <c r="I392" s="319"/>
      <c r="J392" s="319"/>
      <c r="K392" s="319"/>
      <c r="L392" s="319"/>
      <c r="M392" s="319"/>
      <c r="N392" s="319"/>
      <c r="O392" s="319"/>
      <c r="P392" s="319"/>
      <c r="Q392" s="319"/>
      <c r="R392" s="319"/>
      <c r="S392" s="319"/>
      <c r="T392" s="319"/>
      <c r="U392" s="319"/>
      <c r="V392" s="319"/>
      <c r="W392" s="319"/>
      <c r="X392" s="319"/>
      <c r="Y392" s="319"/>
    </row>
    <row r="393" spans="1:25" x14ac:dyDescent="0.2">
      <c r="A393" s="261" t="str">
        <f>name!A55</f>
        <v>Head offices, etc</v>
      </c>
      <c r="C393" s="263"/>
    </row>
    <row r="394" spans="1:25" x14ac:dyDescent="0.2">
      <c r="A394" s="260" t="s">
        <v>356</v>
      </c>
      <c r="B394" s="300">
        <v>77.569999998380695</v>
      </c>
      <c r="C394" s="300">
        <v>36.007999999760678</v>
      </c>
      <c r="D394" s="300">
        <v>13.989999999968129</v>
      </c>
      <c r="E394" s="300">
        <f>SUM(B394:D394)</f>
        <v>127.5679999981095</v>
      </c>
      <c r="F394" s="300"/>
      <c r="G394" s="300">
        <v>78.088999998239615</v>
      </c>
      <c r="H394" s="300">
        <v>30.897999999843641</v>
      </c>
      <c r="I394" s="300">
        <v>7.8499999999941874</v>
      </c>
      <c r="J394" s="300">
        <f>SUM(G394:I394)</f>
        <v>116.83699999807745</v>
      </c>
      <c r="K394" s="300"/>
      <c r="L394" s="300">
        <v>70.663000000089923</v>
      </c>
      <c r="M394" s="300">
        <v>33.194000000030393</v>
      </c>
      <c r="N394" s="300">
        <v>9.0269999999703643</v>
      </c>
      <c r="O394" s="300">
        <f>SUM(L394:N394)</f>
        <v>112.88400000009068</v>
      </c>
      <c r="P394" s="300"/>
      <c r="Q394" s="300">
        <v>75.12700000295753</v>
      </c>
      <c r="R394" s="300">
        <v>35.618000000244578</v>
      </c>
      <c r="S394" s="300">
        <v>9.1830000001291392</v>
      </c>
      <c r="T394" s="300">
        <f>SUM(Q394:S394)</f>
        <v>119.92800000333125</v>
      </c>
      <c r="U394" s="300"/>
      <c r="V394" s="300">
        <v>80.71400000031872</v>
      </c>
      <c r="W394" s="300">
        <v>38.877000000080784</v>
      </c>
      <c r="X394" s="300">
        <v>8.9700000000395814</v>
      </c>
      <c r="Y394" s="300">
        <f>SUM(V394:X394)</f>
        <v>128.56100000043909</v>
      </c>
    </row>
    <row r="395" spans="1:25" x14ac:dyDescent="0.2">
      <c r="A395" s="260" t="s">
        <v>355</v>
      </c>
      <c r="B395" s="300">
        <v>116.63399999624758</v>
      </c>
      <c r="C395" s="300">
        <v>14.573999999671244</v>
      </c>
      <c r="D395" s="300">
        <v>13.623000000054114</v>
      </c>
      <c r="E395" s="300">
        <f t="shared" ref="E395:E396" si="1034">SUM(B395:D395)</f>
        <v>144.83099999597295</v>
      </c>
      <c r="F395" s="300"/>
      <c r="G395" s="300">
        <v>102.52499999767718</v>
      </c>
      <c r="H395" s="300">
        <v>14.906999999764604</v>
      </c>
      <c r="I395" s="300">
        <v>16.094999999792599</v>
      </c>
      <c r="J395" s="300">
        <f t="shared" ref="J395:J396" si="1035">SUM(G395:I395)</f>
        <v>133.52699999723438</v>
      </c>
      <c r="K395" s="300"/>
      <c r="L395" s="300">
        <v>102.09800000149903</v>
      </c>
      <c r="M395" s="300">
        <v>14.839000000174472</v>
      </c>
      <c r="N395" s="300">
        <v>13.48700000062435</v>
      </c>
      <c r="O395" s="300">
        <f t="shared" ref="O395:O396" si="1036">SUM(L395:N395)</f>
        <v>130.42400000229787</v>
      </c>
      <c r="P395" s="300"/>
      <c r="Q395" s="300">
        <v>105.51400000192683</v>
      </c>
      <c r="R395" s="300">
        <v>15.857000000122218</v>
      </c>
      <c r="S395" s="300">
        <v>14.207000001240319</v>
      </c>
      <c r="T395" s="300">
        <f t="shared" ref="T395:T396" si="1037">SUM(Q395:S395)</f>
        <v>135.57800000328936</v>
      </c>
      <c r="U395" s="300"/>
      <c r="V395" s="300">
        <v>107.10400000219582</v>
      </c>
      <c r="W395" s="300">
        <v>17.192000000167589</v>
      </c>
      <c r="X395" s="300">
        <v>14.996000000985667</v>
      </c>
      <c r="Y395" s="300">
        <f t="shared" ref="Y395:Y396" si="1038">SUM(V395:X395)</f>
        <v>139.29200000334907</v>
      </c>
    </row>
    <row r="396" spans="1:25" x14ac:dyDescent="0.2">
      <c r="A396" s="260" t="s">
        <v>354</v>
      </c>
      <c r="B396" s="300">
        <f>SUM(B394:B395)</f>
        <v>194.20399999462828</v>
      </c>
      <c r="C396" s="300">
        <f t="shared" ref="C396" si="1039">SUM(C394:C395)</f>
        <v>50.581999999431922</v>
      </c>
      <c r="D396" s="300">
        <f t="shared" ref="D396" si="1040">SUM(D394:D395)</f>
        <v>27.613000000022243</v>
      </c>
      <c r="E396" s="300">
        <f t="shared" si="1034"/>
        <v>272.39899999408243</v>
      </c>
      <c r="F396" s="300"/>
      <c r="G396" s="300">
        <f>SUM(G394:G395)</f>
        <v>180.6139999959168</v>
      </c>
      <c r="H396" s="300">
        <f t="shared" ref="H396" si="1041">SUM(H394:H395)</f>
        <v>45.804999999608242</v>
      </c>
      <c r="I396" s="300">
        <f t="shared" ref="I396" si="1042">SUM(I394:I395)</f>
        <v>23.944999999786788</v>
      </c>
      <c r="J396" s="300">
        <f t="shared" si="1035"/>
        <v>250.36399999531181</v>
      </c>
      <c r="K396" s="300"/>
      <c r="L396" s="300">
        <f>SUM(L394:L395)</f>
        <v>172.76100000158897</v>
      </c>
      <c r="M396" s="300">
        <f t="shared" ref="M396" si="1043">SUM(M394:M395)</f>
        <v>48.033000000204865</v>
      </c>
      <c r="N396" s="300">
        <f t="shared" ref="N396" si="1044">SUM(N394:N395)</f>
        <v>22.514000000594713</v>
      </c>
      <c r="O396" s="300">
        <f t="shared" si="1036"/>
        <v>243.30800000238855</v>
      </c>
      <c r="P396" s="300"/>
      <c r="Q396" s="300">
        <f>SUM(Q394:Q395)</f>
        <v>180.64100000488435</v>
      </c>
      <c r="R396" s="300">
        <f t="shared" ref="R396" si="1045">SUM(R394:R395)</f>
        <v>51.475000000366798</v>
      </c>
      <c r="S396" s="300">
        <f t="shared" ref="S396" si="1046">SUM(S394:S395)</f>
        <v>23.390000001369458</v>
      </c>
      <c r="T396" s="300">
        <f t="shared" si="1037"/>
        <v>255.50600000662061</v>
      </c>
      <c r="U396" s="300"/>
      <c r="V396" s="300">
        <f>SUM(V394:V395)</f>
        <v>187.81800000251454</v>
      </c>
      <c r="W396" s="300">
        <f t="shared" ref="W396" si="1047">SUM(W394:W395)</f>
        <v>56.069000000248373</v>
      </c>
      <c r="X396" s="300">
        <f t="shared" ref="X396" si="1048">SUM(X394:X395)</f>
        <v>23.96600000102525</v>
      </c>
      <c r="Y396" s="300">
        <f t="shared" si="1038"/>
        <v>267.85300000378817</v>
      </c>
    </row>
    <row r="397" spans="1:25" x14ac:dyDescent="0.2">
      <c r="C397" s="319"/>
      <c r="D397" s="319"/>
      <c r="E397" s="319"/>
      <c r="F397" s="319"/>
      <c r="G397" s="319"/>
      <c r="H397" s="319"/>
      <c r="I397" s="319"/>
      <c r="J397" s="319"/>
      <c r="K397" s="319"/>
      <c r="L397" s="319"/>
      <c r="M397" s="319"/>
      <c r="N397" s="319"/>
      <c r="O397" s="319"/>
      <c r="P397" s="319"/>
      <c r="Q397" s="319"/>
      <c r="R397" s="319"/>
      <c r="S397" s="319"/>
      <c r="T397" s="319"/>
      <c r="U397" s="319"/>
      <c r="V397" s="319"/>
      <c r="W397" s="319"/>
      <c r="X397" s="319"/>
      <c r="Y397" s="319"/>
    </row>
    <row r="398" spans="1:25" x14ac:dyDescent="0.2">
      <c r="A398" s="261" t="str">
        <f>name!A56</f>
        <v>Architectural and related</v>
      </c>
      <c r="C398" s="263"/>
    </row>
    <row r="399" spans="1:25" x14ac:dyDescent="0.2">
      <c r="A399" s="260" t="s">
        <v>356</v>
      </c>
      <c r="B399" s="300">
        <v>24.105999999496774</v>
      </c>
      <c r="C399" s="300">
        <v>5.4689999999636543</v>
      </c>
      <c r="D399" s="300">
        <v>2.8789999999934417</v>
      </c>
      <c r="E399" s="300">
        <f>SUM(B399:D399)</f>
        <v>32.45399999945387</v>
      </c>
      <c r="F399" s="300"/>
      <c r="G399" s="300">
        <v>26.924999999393002</v>
      </c>
      <c r="H399" s="300">
        <v>7.4159999999624677</v>
      </c>
      <c r="I399" s="300">
        <v>1.619999999998802</v>
      </c>
      <c r="J399" s="300">
        <f>SUM(G399:I399)</f>
        <v>35.960999999354271</v>
      </c>
      <c r="K399" s="300"/>
      <c r="L399" s="300">
        <v>25.934000000032963</v>
      </c>
      <c r="M399" s="300">
        <v>7.3890000000067726</v>
      </c>
      <c r="N399" s="300">
        <v>2.6139999999914134</v>
      </c>
      <c r="O399" s="300">
        <f>SUM(L399:N399)</f>
        <v>35.937000000031148</v>
      </c>
      <c r="P399" s="300"/>
      <c r="Q399" s="300">
        <v>25.975000001022522</v>
      </c>
      <c r="R399" s="300">
        <v>7.2370000000496928</v>
      </c>
      <c r="S399" s="300">
        <v>2.4830000000349193</v>
      </c>
      <c r="T399" s="300">
        <f>SUM(Q399:S399)</f>
        <v>35.695000001107132</v>
      </c>
      <c r="U399" s="300"/>
      <c r="V399" s="300">
        <v>28.504000000112544</v>
      </c>
      <c r="W399" s="300">
        <v>7.6460000000158912</v>
      </c>
      <c r="X399" s="300">
        <v>2.4570000000108401</v>
      </c>
      <c r="Y399" s="300">
        <f>SUM(V399:X399)</f>
        <v>38.60700000013928</v>
      </c>
    </row>
    <row r="400" spans="1:25" x14ac:dyDescent="0.2">
      <c r="A400" s="260" t="s">
        <v>355</v>
      </c>
      <c r="B400" s="300">
        <v>52.688999998304809</v>
      </c>
      <c r="C400" s="300">
        <v>2.1209999999521512</v>
      </c>
      <c r="D400" s="300">
        <v>7.389000000029343</v>
      </c>
      <c r="E400" s="300">
        <f t="shared" ref="E400:E401" si="1049">SUM(B400:D400)</f>
        <v>62.198999998286304</v>
      </c>
      <c r="F400" s="300"/>
      <c r="G400" s="300">
        <v>59.711999998647165</v>
      </c>
      <c r="H400" s="300">
        <v>5.1649999999184395</v>
      </c>
      <c r="I400" s="300">
        <v>13.70799999982335</v>
      </c>
      <c r="J400" s="300">
        <f t="shared" ref="J400:J401" si="1050">SUM(G400:I400)</f>
        <v>78.584999998388952</v>
      </c>
      <c r="K400" s="300"/>
      <c r="L400" s="300">
        <v>59.305000000870784</v>
      </c>
      <c r="M400" s="300">
        <v>4.1480000000487642</v>
      </c>
      <c r="N400" s="300">
        <v>10.927000000505849</v>
      </c>
      <c r="O400" s="300">
        <f t="shared" ref="O400:O401" si="1051">SUM(L400:N400)</f>
        <v>74.380000001425401</v>
      </c>
      <c r="P400" s="300"/>
      <c r="Q400" s="300">
        <v>56.718000001035712</v>
      </c>
      <c r="R400" s="300">
        <v>4.1240000000317796</v>
      </c>
      <c r="S400" s="300">
        <v>10.474000000914391</v>
      </c>
      <c r="T400" s="300">
        <f t="shared" ref="T400:T401" si="1052">SUM(Q400:S400)</f>
        <v>71.316000001981877</v>
      </c>
      <c r="U400" s="300"/>
      <c r="V400" s="300">
        <v>57.092000001170483</v>
      </c>
      <c r="W400" s="300">
        <v>4.486000000043731</v>
      </c>
      <c r="X400" s="300">
        <v>10.597000000696527</v>
      </c>
      <c r="Y400" s="300">
        <f t="shared" ref="Y400:Y401" si="1053">SUM(V400:X400)</f>
        <v>72.175000001910746</v>
      </c>
    </row>
    <row r="401" spans="1:25" x14ac:dyDescent="0.2">
      <c r="A401" s="260" t="s">
        <v>354</v>
      </c>
      <c r="B401" s="300">
        <f>SUM(B399:B400)</f>
        <v>76.794999997801582</v>
      </c>
      <c r="C401" s="300">
        <f t="shared" ref="C401" si="1054">SUM(C399:C400)</f>
        <v>7.5899999999158059</v>
      </c>
      <c r="D401" s="300">
        <f t="shared" ref="D401" si="1055">SUM(D399:D400)</f>
        <v>10.268000000022784</v>
      </c>
      <c r="E401" s="300">
        <f t="shared" si="1049"/>
        <v>94.652999997740167</v>
      </c>
      <c r="F401" s="300"/>
      <c r="G401" s="300">
        <f>SUM(G399:G400)</f>
        <v>86.636999998040167</v>
      </c>
      <c r="H401" s="300">
        <f t="shared" ref="H401" si="1056">SUM(H399:H400)</f>
        <v>12.580999999880907</v>
      </c>
      <c r="I401" s="300">
        <f t="shared" ref="I401" si="1057">SUM(I399:I400)</f>
        <v>15.327999999822152</v>
      </c>
      <c r="J401" s="300">
        <f t="shared" si="1050"/>
        <v>114.54599999774322</v>
      </c>
      <c r="K401" s="300"/>
      <c r="L401" s="300">
        <f>SUM(L399:L400)</f>
        <v>85.239000000903744</v>
      </c>
      <c r="M401" s="300">
        <f t="shared" ref="M401" si="1058">SUM(M399:M400)</f>
        <v>11.537000000055537</v>
      </c>
      <c r="N401" s="300">
        <f t="shared" ref="N401" si="1059">SUM(N399:N400)</f>
        <v>13.541000000497263</v>
      </c>
      <c r="O401" s="300">
        <f t="shared" si="1051"/>
        <v>110.31700000145655</v>
      </c>
      <c r="P401" s="300"/>
      <c r="Q401" s="300">
        <f>SUM(Q399:Q400)</f>
        <v>82.693000002058227</v>
      </c>
      <c r="R401" s="300">
        <f t="shared" ref="R401" si="1060">SUM(R399:R400)</f>
        <v>11.361000000081471</v>
      </c>
      <c r="S401" s="300">
        <f t="shared" ref="S401" si="1061">SUM(S399:S400)</f>
        <v>12.957000000949311</v>
      </c>
      <c r="T401" s="300">
        <f t="shared" si="1052"/>
        <v>107.01100000308901</v>
      </c>
      <c r="U401" s="300"/>
      <c r="V401" s="300">
        <f>SUM(V399:V400)</f>
        <v>85.596000001283031</v>
      </c>
      <c r="W401" s="300">
        <f t="shared" ref="W401" si="1062">SUM(W399:W400)</f>
        <v>12.132000000059623</v>
      </c>
      <c r="X401" s="300">
        <f t="shared" ref="X401" si="1063">SUM(X399:X400)</f>
        <v>13.054000000707367</v>
      </c>
      <c r="Y401" s="300">
        <f t="shared" si="1053"/>
        <v>110.78200000205001</v>
      </c>
    </row>
    <row r="402" spans="1:25" x14ac:dyDescent="0.2">
      <c r="C402" s="319"/>
      <c r="D402" s="319"/>
      <c r="E402" s="319"/>
      <c r="F402" s="319"/>
      <c r="G402" s="319"/>
      <c r="H402" s="319"/>
      <c r="I402" s="319"/>
      <c r="J402" s="319"/>
      <c r="K402" s="319"/>
      <c r="L402" s="319"/>
      <c r="M402" s="319"/>
      <c r="N402" s="319"/>
      <c r="O402" s="319"/>
      <c r="P402" s="319"/>
      <c r="Q402" s="319"/>
      <c r="R402" s="319"/>
      <c r="S402" s="319"/>
      <c r="T402" s="319"/>
      <c r="U402" s="319"/>
      <c r="V402" s="319"/>
      <c r="W402" s="319"/>
      <c r="X402" s="319"/>
      <c r="Y402" s="319"/>
    </row>
    <row r="403" spans="1:25" x14ac:dyDescent="0.2">
      <c r="A403" s="261" t="str">
        <f>name!A57</f>
        <v>Scientific research and development</v>
      </c>
      <c r="C403" s="263"/>
    </row>
    <row r="404" spans="1:25" x14ac:dyDescent="0.2">
      <c r="A404" s="260" t="s">
        <v>356</v>
      </c>
      <c r="B404" s="300">
        <v>5.151999999971216</v>
      </c>
      <c r="C404" s="300">
        <v>0.9739999999782053</v>
      </c>
      <c r="D404" s="300">
        <v>2.9330000000089287</v>
      </c>
      <c r="E404" s="300">
        <f>SUM(B404:D404)</f>
        <v>9.058999999958349</v>
      </c>
      <c r="F404" s="300"/>
      <c r="G404" s="300">
        <v>6.8840000000107597</v>
      </c>
      <c r="H404" s="300">
        <v>0.83799999998358154</v>
      </c>
      <c r="I404" s="300">
        <v>3.0340000000107006</v>
      </c>
      <c r="J404" s="300">
        <f>SUM(G404:I404)</f>
        <v>10.756000000005042</v>
      </c>
      <c r="K404" s="300"/>
      <c r="L404" s="300">
        <v>6.7240000001761162</v>
      </c>
      <c r="M404" s="300">
        <v>0.92799999998803673</v>
      </c>
      <c r="N404" s="300">
        <v>3.091999999990394</v>
      </c>
      <c r="O404" s="300">
        <f>SUM(L404:N404)</f>
        <v>10.744000000154546</v>
      </c>
      <c r="P404" s="300"/>
      <c r="Q404" s="300">
        <v>7.5129999999211998</v>
      </c>
      <c r="R404" s="300">
        <v>1.0239999999741132</v>
      </c>
      <c r="S404" s="300">
        <v>3.5850000000288822</v>
      </c>
      <c r="T404" s="300">
        <f>SUM(Q404:S404)</f>
        <v>12.121999999924196</v>
      </c>
      <c r="U404" s="300"/>
      <c r="V404" s="300">
        <v>8.0890000001209739</v>
      </c>
      <c r="W404" s="300">
        <v>1.0910000000023394</v>
      </c>
      <c r="X404" s="300">
        <v>4.2530000000013333</v>
      </c>
      <c r="Y404" s="300">
        <f>SUM(V404:X404)</f>
        <v>13.433000000124647</v>
      </c>
    </row>
    <row r="405" spans="1:25" x14ac:dyDescent="0.2">
      <c r="A405" s="260" t="s">
        <v>355</v>
      </c>
      <c r="B405" s="300">
        <v>8.1519999998867068</v>
      </c>
      <c r="C405" s="300">
        <v>0.91399999996590109</v>
      </c>
      <c r="D405" s="300">
        <v>2.6579999999917856</v>
      </c>
      <c r="E405" s="300">
        <f t="shared" ref="E405:E406" si="1064">SUM(B405:D405)</f>
        <v>11.723999999844393</v>
      </c>
      <c r="F405" s="300"/>
      <c r="G405" s="300">
        <v>10.360999999908376</v>
      </c>
      <c r="H405" s="300">
        <v>0.84199999997166586</v>
      </c>
      <c r="I405" s="300">
        <v>4.1909999999254888</v>
      </c>
      <c r="J405" s="300">
        <f t="shared" ref="J405:J406" si="1065">SUM(G405:I405)</f>
        <v>15.39399999980553</v>
      </c>
      <c r="K405" s="300"/>
      <c r="L405" s="300">
        <v>9.4620000002748217</v>
      </c>
      <c r="M405" s="300">
        <v>0.59600000001823938</v>
      </c>
      <c r="N405" s="300">
        <v>2.9870000001251049</v>
      </c>
      <c r="O405" s="300">
        <f t="shared" ref="O405:O406" si="1066">SUM(L405:N405)</f>
        <v>13.045000000418167</v>
      </c>
      <c r="P405" s="300"/>
      <c r="Q405" s="300">
        <v>10.426000000104638</v>
      </c>
      <c r="R405" s="300">
        <v>0.68500000000643313</v>
      </c>
      <c r="S405" s="300">
        <v>3.361000000262381</v>
      </c>
      <c r="T405" s="300">
        <f t="shared" ref="T405:T406" si="1067">SUM(Q405:S405)</f>
        <v>14.472000000373452</v>
      </c>
      <c r="U405" s="300"/>
      <c r="V405" s="300">
        <v>10.89800000019541</v>
      </c>
      <c r="W405" s="300">
        <v>0.79100000000557813</v>
      </c>
      <c r="X405" s="300">
        <v>3.70900000022813</v>
      </c>
      <c r="Y405" s="300">
        <f t="shared" ref="Y405:Y406" si="1068">SUM(V405:X405)</f>
        <v>15.398000000429118</v>
      </c>
    </row>
    <row r="406" spans="1:25" x14ac:dyDescent="0.2">
      <c r="A406" s="260" t="s">
        <v>354</v>
      </c>
      <c r="B406" s="300">
        <f>SUM(B404:B405)</f>
        <v>13.303999999857922</v>
      </c>
      <c r="C406" s="300">
        <f t="shared" ref="C406" si="1069">SUM(C404:C405)</f>
        <v>1.8879999999441064</v>
      </c>
      <c r="D406" s="300">
        <f t="shared" ref="D406" si="1070">SUM(D404:D405)</f>
        <v>5.5910000000007143</v>
      </c>
      <c r="E406" s="300">
        <f t="shared" si="1064"/>
        <v>20.782999999802744</v>
      </c>
      <c r="F406" s="300"/>
      <c r="G406" s="300">
        <f>SUM(G404:G405)</f>
        <v>17.244999999919138</v>
      </c>
      <c r="H406" s="300">
        <f t="shared" ref="H406" si="1071">SUM(H404:H405)</f>
        <v>1.6799999999552475</v>
      </c>
      <c r="I406" s="300">
        <f t="shared" ref="I406" si="1072">SUM(I404:I405)</f>
        <v>7.2249999999361894</v>
      </c>
      <c r="J406" s="300">
        <f t="shared" si="1065"/>
        <v>26.149999999810575</v>
      </c>
      <c r="K406" s="300"/>
      <c r="L406" s="300">
        <f>SUM(L404:L405)</f>
        <v>16.186000000450939</v>
      </c>
      <c r="M406" s="300">
        <f t="shared" ref="M406" si="1073">SUM(M404:M405)</f>
        <v>1.5240000000062761</v>
      </c>
      <c r="N406" s="300">
        <f t="shared" ref="N406" si="1074">SUM(N404:N405)</f>
        <v>6.0790000001154993</v>
      </c>
      <c r="O406" s="300">
        <f t="shared" si="1066"/>
        <v>23.789000000572713</v>
      </c>
      <c r="P406" s="300"/>
      <c r="Q406" s="300">
        <f>SUM(Q404:Q405)</f>
        <v>17.939000000025839</v>
      </c>
      <c r="R406" s="300">
        <f t="shared" ref="R406" si="1075">SUM(R404:R405)</f>
        <v>1.7089999999805463</v>
      </c>
      <c r="S406" s="300">
        <f t="shared" ref="S406" si="1076">SUM(S404:S405)</f>
        <v>6.9460000002912636</v>
      </c>
      <c r="T406" s="300">
        <f t="shared" si="1067"/>
        <v>26.594000000297648</v>
      </c>
      <c r="U406" s="300"/>
      <c r="V406" s="300">
        <f>SUM(V404:V405)</f>
        <v>18.987000000316385</v>
      </c>
      <c r="W406" s="300">
        <f t="shared" ref="W406" si="1077">SUM(W404:W405)</f>
        <v>1.8820000000079176</v>
      </c>
      <c r="X406" s="300">
        <f t="shared" ref="X406" si="1078">SUM(X404:X405)</f>
        <v>7.9620000002294633</v>
      </c>
      <c r="Y406" s="300">
        <f t="shared" si="1068"/>
        <v>28.831000000553765</v>
      </c>
    </row>
    <row r="407" spans="1:25" x14ac:dyDescent="0.2">
      <c r="C407" s="319"/>
      <c r="D407" s="319"/>
      <c r="E407" s="319"/>
      <c r="F407" s="319"/>
      <c r="G407" s="319"/>
      <c r="H407" s="319"/>
      <c r="I407" s="319"/>
      <c r="J407" s="319"/>
      <c r="K407" s="319"/>
      <c r="L407" s="319"/>
      <c r="M407" s="319"/>
      <c r="N407" s="319"/>
      <c r="O407" s="319"/>
      <c r="P407" s="319"/>
      <c r="Q407" s="319"/>
      <c r="R407" s="319"/>
      <c r="S407" s="319"/>
      <c r="T407" s="319"/>
      <c r="U407" s="319"/>
      <c r="V407" s="319"/>
      <c r="W407" s="319"/>
      <c r="X407" s="319"/>
      <c r="Y407" s="319"/>
    </row>
    <row r="408" spans="1:25" x14ac:dyDescent="0.2">
      <c r="A408" s="261" t="str">
        <f>name!A58</f>
        <v>Advertising, etc</v>
      </c>
      <c r="C408" s="263"/>
    </row>
    <row r="409" spans="1:25" x14ac:dyDescent="0.2">
      <c r="A409" s="260" t="s">
        <v>356</v>
      </c>
      <c r="B409" s="300">
        <v>42.277999999117419</v>
      </c>
      <c r="C409" s="300">
        <v>9.6499999999358774</v>
      </c>
      <c r="D409" s="300">
        <v>12.235999999972115</v>
      </c>
      <c r="E409" s="300">
        <f>SUM(B409:D409)</f>
        <v>64.163999999025407</v>
      </c>
      <c r="F409" s="300"/>
      <c r="G409" s="300">
        <v>48.855999998898589</v>
      </c>
      <c r="H409" s="300">
        <v>7.7259999999608935</v>
      </c>
      <c r="I409" s="300">
        <v>11.100999999991778</v>
      </c>
      <c r="J409" s="300">
        <f>SUM(G409:I409)</f>
        <v>67.682999998851258</v>
      </c>
      <c r="K409" s="300"/>
      <c r="L409" s="300">
        <v>47.721000000060599</v>
      </c>
      <c r="M409" s="300">
        <v>8.5550000000078334</v>
      </c>
      <c r="N409" s="300">
        <v>11.313999999962853</v>
      </c>
      <c r="O409" s="300">
        <f>SUM(L409:N409)</f>
        <v>67.590000000031296</v>
      </c>
      <c r="P409" s="300"/>
      <c r="Q409" s="300">
        <v>53.317000002098908</v>
      </c>
      <c r="R409" s="300">
        <v>9.4460000000648616</v>
      </c>
      <c r="S409" s="300">
        <v>13.115000000184432</v>
      </c>
      <c r="T409" s="300">
        <f>SUM(Q409:S409)</f>
        <v>75.878000002348202</v>
      </c>
      <c r="U409" s="300"/>
      <c r="V409" s="300">
        <v>57.407000000226645</v>
      </c>
      <c r="W409" s="300">
        <v>10.0590000000209</v>
      </c>
      <c r="X409" s="300">
        <v>15.559000000068654</v>
      </c>
      <c r="Y409" s="300">
        <f>SUM(V409:X409)</f>
        <v>83.025000000316197</v>
      </c>
    </row>
    <row r="410" spans="1:25" x14ac:dyDescent="0.2">
      <c r="A410" s="260" t="s">
        <v>355</v>
      </c>
      <c r="B410" s="300">
        <v>31.754999998978356</v>
      </c>
      <c r="C410" s="300">
        <v>3.3579999999242434</v>
      </c>
      <c r="D410" s="300">
        <v>11.495000000045653</v>
      </c>
      <c r="E410" s="300">
        <f t="shared" ref="E410:E411" si="1079">SUM(B410:D410)</f>
        <v>46.607999998948259</v>
      </c>
      <c r="F410" s="300"/>
      <c r="G410" s="300">
        <v>34.904999999209217</v>
      </c>
      <c r="H410" s="300">
        <v>2.880999999954506</v>
      </c>
      <c r="I410" s="300">
        <v>15.895999999795171</v>
      </c>
      <c r="J410" s="300">
        <f t="shared" ref="J410:J411" si="1080">SUM(G410:I410)</f>
        <v>53.681999998958894</v>
      </c>
      <c r="K410" s="300"/>
      <c r="L410" s="300">
        <v>31.877000000468087</v>
      </c>
      <c r="M410" s="300">
        <v>2.0380000000239633</v>
      </c>
      <c r="N410" s="300">
        <v>11.328000000524403</v>
      </c>
      <c r="O410" s="300">
        <f t="shared" ref="O410:O411" si="1081">SUM(L410:N410)</f>
        <v>45.243000001016455</v>
      </c>
      <c r="P410" s="300"/>
      <c r="Q410" s="300">
        <v>35.125000000641457</v>
      </c>
      <c r="R410" s="300">
        <v>2.3430000000180553</v>
      </c>
      <c r="S410" s="300">
        <v>12.747000001112841</v>
      </c>
      <c r="T410" s="300">
        <f t="shared" ref="T410:T411" si="1082">SUM(Q410:S410)</f>
        <v>50.215000001772353</v>
      </c>
      <c r="U410" s="300"/>
      <c r="V410" s="300">
        <v>36.716000000752743</v>
      </c>
      <c r="W410" s="300">
        <v>2.7080000000263982</v>
      </c>
      <c r="X410" s="300">
        <v>14.066000000924554</v>
      </c>
      <c r="Y410" s="300">
        <f t="shared" ref="Y410:Y411" si="1083">SUM(V410:X410)</f>
        <v>53.490000001703692</v>
      </c>
    </row>
    <row r="411" spans="1:25" x14ac:dyDescent="0.2">
      <c r="A411" s="260" t="s">
        <v>354</v>
      </c>
      <c r="B411" s="300">
        <f>SUM(B409:B410)</f>
        <v>74.032999998095775</v>
      </c>
      <c r="C411" s="300">
        <f t="shared" ref="C411" si="1084">SUM(C409:C410)</f>
        <v>13.007999999860122</v>
      </c>
      <c r="D411" s="300">
        <f t="shared" ref="D411" si="1085">SUM(D409:D410)</f>
        <v>23.731000000017769</v>
      </c>
      <c r="E411" s="300">
        <f t="shared" si="1079"/>
        <v>110.77199999797367</v>
      </c>
      <c r="F411" s="300"/>
      <c r="G411" s="300">
        <f>SUM(G409:G410)</f>
        <v>83.760999998107806</v>
      </c>
      <c r="H411" s="300">
        <f t="shared" ref="H411" si="1086">SUM(H409:H410)</f>
        <v>10.606999999915399</v>
      </c>
      <c r="I411" s="300">
        <f t="shared" ref="I411" si="1087">SUM(I409:I410)</f>
        <v>26.996999999786951</v>
      </c>
      <c r="J411" s="300">
        <f t="shared" si="1080"/>
        <v>121.36499999781016</v>
      </c>
      <c r="K411" s="300"/>
      <c r="L411" s="300">
        <f>SUM(L409:L410)</f>
        <v>79.598000000528685</v>
      </c>
      <c r="M411" s="300">
        <f t="shared" ref="M411" si="1088">SUM(M409:M410)</f>
        <v>10.593000000031797</v>
      </c>
      <c r="N411" s="300">
        <f t="shared" ref="N411" si="1089">SUM(N409:N410)</f>
        <v>22.642000000487258</v>
      </c>
      <c r="O411" s="300">
        <f t="shared" si="1081"/>
        <v>112.83300000104774</v>
      </c>
      <c r="P411" s="300"/>
      <c r="Q411" s="300">
        <f>SUM(Q409:Q410)</f>
        <v>88.442000002740372</v>
      </c>
      <c r="R411" s="300">
        <f t="shared" ref="R411" si="1090">SUM(R409:R410)</f>
        <v>11.789000000082916</v>
      </c>
      <c r="S411" s="300">
        <f t="shared" ref="S411" si="1091">SUM(S409:S410)</f>
        <v>25.862000001297275</v>
      </c>
      <c r="T411" s="300">
        <f t="shared" si="1082"/>
        <v>126.09300000412057</v>
      </c>
      <c r="U411" s="300"/>
      <c r="V411" s="300">
        <f>SUM(V409:V410)</f>
        <v>94.123000000979388</v>
      </c>
      <c r="W411" s="300">
        <f t="shared" ref="W411" si="1092">SUM(W409:W410)</f>
        <v>12.767000000047299</v>
      </c>
      <c r="X411" s="300">
        <f t="shared" ref="X411" si="1093">SUM(X409:X410)</f>
        <v>29.625000000993207</v>
      </c>
      <c r="Y411" s="300">
        <f t="shared" si="1083"/>
        <v>136.51500000201989</v>
      </c>
    </row>
    <row r="412" spans="1:25" x14ac:dyDescent="0.2">
      <c r="C412" s="319"/>
      <c r="D412" s="319"/>
      <c r="E412" s="319"/>
      <c r="F412" s="319"/>
      <c r="G412" s="319"/>
      <c r="H412" s="319"/>
      <c r="I412" s="319"/>
      <c r="J412" s="319"/>
      <c r="K412" s="319"/>
      <c r="L412" s="319"/>
      <c r="M412" s="319"/>
      <c r="N412" s="319"/>
      <c r="O412" s="319"/>
      <c r="P412" s="319"/>
      <c r="Q412" s="319"/>
      <c r="R412" s="319"/>
      <c r="S412" s="319"/>
      <c r="T412" s="319"/>
      <c r="U412" s="319"/>
      <c r="V412" s="319"/>
      <c r="W412" s="319"/>
      <c r="X412" s="319"/>
      <c r="Y412" s="319"/>
    </row>
    <row r="413" spans="1:25" x14ac:dyDescent="0.2">
      <c r="A413" s="261" t="str">
        <f>name!A59</f>
        <v>Other professional</v>
      </c>
      <c r="C413" s="263"/>
    </row>
    <row r="414" spans="1:25" x14ac:dyDescent="0.2">
      <c r="A414" s="260" t="s">
        <v>356</v>
      </c>
      <c r="B414" s="300">
        <v>8.853999999838841</v>
      </c>
      <c r="C414" s="300">
        <v>3.4030000000066161</v>
      </c>
      <c r="D414" s="300">
        <v>5.8210000000885431</v>
      </c>
      <c r="E414" s="300">
        <f>SUM(B414:D414)</f>
        <v>18.077999999934001</v>
      </c>
      <c r="F414" s="300"/>
      <c r="G414" s="300">
        <v>10.954999999785505</v>
      </c>
      <c r="H414" s="300">
        <v>4.5890000000098681</v>
      </c>
      <c r="I414" s="300">
        <v>6.0250000000783448</v>
      </c>
      <c r="J414" s="300">
        <f>SUM(G414:I414)</f>
        <v>21.568999999873718</v>
      </c>
      <c r="K414" s="300"/>
      <c r="L414" s="300">
        <v>10.700000000016987</v>
      </c>
      <c r="M414" s="300">
        <v>5.0809999999813211</v>
      </c>
      <c r="N414" s="300">
        <v>6.139999999907471</v>
      </c>
      <c r="O414" s="300">
        <f>SUM(L414:N414)</f>
        <v>21.920999999905778</v>
      </c>
      <c r="P414" s="300"/>
      <c r="Q414" s="300">
        <v>11.955000000404965</v>
      </c>
      <c r="R414" s="300">
        <v>5.6099999999871981</v>
      </c>
      <c r="S414" s="300">
        <v>7.1180000000072514</v>
      </c>
      <c r="T414" s="300">
        <f>SUM(Q414:S414)</f>
        <v>24.683000000399417</v>
      </c>
      <c r="U414" s="300"/>
      <c r="V414" s="300">
        <v>12.872000000050773</v>
      </c>
      <c r="W414" s="300">
        <v>5.9750000000053207</v>
      </c>
      <c r="X414" s="300">
        <v>8.4449999999941561</v>
      </c>
      <c r="Y414" s="300">
        <f>SUM(V414:X414)</f>
        <v>27.292000000050251</v>
      </c>
    </row>
    <row r="415" spans="1:25" x14ac:dyDescent="0.2">
      <c r="A415" s="260" t="s">
        <v>355</v>
      </c>
      <c r="B415" s="300">
        <v>20.008999999466202</v>
      </c>
      <c r="C415" s="300">
        <v>1.9729999999983483</v>
      </c>
      <c r="D415" s="300">
        <v>7.218000000035854</v>
      </c>
      <c r="E415" s="300">
        <f t="shared" ref="E415:E416" si="1094">SUM(B415:D415)</f>
        <v>29.199999999500402</v>
      </c>
      <c r="F415" s="300"/>
      <c r="G415" s="300">
        <v>23.549999999551389</v>
      </c>
      <c r="H415" s="300">
        <v>2.8520000000020742</v>
      </c>
      <c r="I415" s="300">
        <v>11.388999999862188</v>
      </c>
      <c r="J415" s="300">
        <f t="shared" ref="J415:J416" si="1095">SUM(G415:I415)</f>
        <v>37.790999999415654</v>
      </c>
      <c r="K415" s="300"/>
      <c r="L415" s="300">
        <v>21.507000000276406</v>
      </c>
      <c r="M415" s="300">
        <v>2.0170000000000674</v>
      </c>
      <c r="N415" s="300">
        <v>8.1170000003697229</v>
      </c>
      <c r="O415" s="300">
        <f t="shared" ref="O415:O416" si="1096">SUM(L415:N415)</f>
        <v>31.641000000646194</v>
      </c>
      <c r="P415" s="300"/>
      <c r="Q415" s="300">
        <v>23.699000000380604</v>
      </c>
      <c r="R415" s="300">
        <v>2.3189999999898077</v>
      </c>
      <c r="S415" s="300">
        <v>9.133000000803559</v>
      </c>
      <c r="T415" s="300">
        <f t="shared" ref="T415:T416" si="1097">SUM(Q415:S415)</f>
        <v>35.151000001173969</v>
      </c>
      <c r="U415" s="300"/>
      <c r="V415" s="300">
        <v>24.77200000048186</v>
      </c>
      <c r="W415" s="300">
        <v>2.6799999999712019</v>
      </c>
      <c r="X415" s="300">
        <v>10.078000000690402</v>
      </c>
      <c r="Y415" s="300">
        <f t="shared" ref="Y415:Y416" si="1098">SUM(V415:X415)</f>
        <v>37.530000001143463</v>
      </c>
    </row>
    <row r="416" spans="1:25" x14ac:dyDescent="0.2">
      <c r="A416" s="260" t="s">
        <v>354</v>
      </c>
      <c r="B416" s="300">
        <f>SUM(B414:B415)</f>
        <v>28.862999999305043</v>
      </c>
      <c r="C416" s="300">
        <f t="shared" ref="C416" si="1099">SUM(C414:C415)</f>
        <v>5.3760000000049644</v>
      </c>
      <c r="D416" s="300">
        <f t="shared" ref="D416" si="1100">SUM(D414:D415)</f>
        <v>13.039000000124396</v>
      </c>
      <c r="E416" s="300">
        <f t="shared" si="1094"/>
        <v>47.277999999434407</v>
      </c>
      <c r="F416" s="300"/>
      <c r="G416" s="300">
        <f>SUM(G414:G415)</f>
        <v>34.504999999336896</v>
      </c>
      <c r="H416" s="300">
        <f t="shared" ref="H416" si="1101">SUM(H414:H415)</f>
        <v>7.4410000000119423</v>
      </c>
      <c r="I416" s="300">
        <f t="shared" ref="I416" si="1102">SUM(I414:I415)</f>
        <v>17.413999999940533</v>
      </c>
      <c r="J416" s="300">
        <f t="shared" si="1095"/>
        <v>59.359999999289371</v>
      </c>
      <c r="K416" s="300"/>
      <c r="L416" s="300">
        <f>SUM(L414:L415)</f>
        <v>32.207000000293391</v>
      </c>
      <c r="M416" s="300">
        <f t="shared" ref="M416" si="1103">SUM(M414:M415)</f>
        <v>7.0979999999813881</v>
      </c>
      <c r="N416" s="300">
        <f t="shared" ref="N416" si="1104">SUM(N414:N415)</f>
        <v>14.257000000277195</v>
      </c>
      <c r="O416" s="300">
        <f t="shared" si="1096"/>
        <v>53.562000000551976</v>
      </c>
      <c r="P416" s="300"/>
      <c r="Q416" s="300">
        <f>SUM(Q414:Q415)</f>
        <v>35.654000000785572</v>
      </c>
      <c r="R416" s="300">
        <f t="shared" ref="R416" si="1105">SUM(R414:R415)</f>
        <v>7.9289999999770053</v>
      </c>
      <c r="S416" s="300">
        <f t="shared" ref="S416" si="1106">SUM(S414:S415)</f>
        <v>16.251000000810812</v>
      </c>
      <c r="T416" s="300">
        <f t="shared" si="1097"/>
        <v>59.834000001573393</v>
      </c>
      <c r="U416" s="300"/>
      <c r="V416" s="300">
        <f>SUM(V414:V415)</f>
        <v>37.644000000532635</v>
      </c>
      <c r="W416" s="300">
        <f t="shared" ref="W416" si="1107">SUM(W414:W415)</f>
        <v>8.654999999976523</v>
      </c>
      <c r="X416" s="300">
        <f t="shared" ref="X416" si="1108">SUM(X414:X415)</f>
        <v>18.523000000684558</v>
      </c>
      <c r="Y416" s="300">
        <f t="shared" si="1098"/>
        <v>64.822000001193715</v>
      </c>
    </row>
    <row r="417" spans="1:25" x14ac:dyDescent="0.2">
      <c r="A417" s="261"/>
      <c r="C417" s="319"/>
      <c r="D417" s="319"/>
      <c r="E417" s="319"/>
      <c r="F417" s="319"/>
      <c r="G417" s="319"/>
      <c r="H417" s="319"/>
      <c r="I417" s="319"/>
      <c r="J417" s="319"/>
      <c r="K417" s="319"/>
      <c r="L417" s="319"/>
      <c r="M417" s="319"/>
      <c r="N417" s="319"/>
      <c r="O417" s="319"/>
      <c r="P417" s="319"/>
      <c r="Q417" s="319"/>
      <c r="R417" s="319"/>
      <c r="S417" s="319"/>
      <c r="T417" s="319"/>
      <c r="U417" s="319"/>
      <c r="V417" s="319"/>
      <c r="W417" s="319"/>
      <c r="X417" s="319"/>
      <c r="Y417" s="319"/>
    </row>
    <row r="418" spans="1:25" x14ac:dyDescent="0.2">
      <c r="A418" s="261" t="str">
        <f>name!A60</f>
        <v>Veterinary</v>
      </c>
      <c r="C418" s="263"/>
    </row>
    <row r="419" spans="1:25" x14ac:dyDescent="0.2">
      <c r="A419" s="260" t="s">
        <v>356</v>
      </c>
      <c r="B419" s="300">
        <v>2.0799999999802852</v>
      </c>
      <c r="C419" s="300">
        <v>0.54199999998793469</v>
      </c>
      <c r="D419" s="300">
        <v>1.0249999999146708</v>
      </c>
      <c r="E419" s="300">
        <f>SUM(B419:D419)</f>
        <v>3.6469999998828908</v>
      </c>
      <c r="F419" s="300"/>
      <c r="G419" s="300">
        <v>1.3769999999899665</v>
      </c>
      <c r="H419" s="300">
        <v>0.63199999998989198</v>
      </c>
      <c r="I419" s="300">
        <v>0.68399999994753635</v>
      </c>
      <c r="J419" s="300">
        <f>SUM(G419:I419)</f>
        <v>2.6929999999273946</v>
      </c>
      <c r="K419" s="300"/>
      <c r="L419" s="300">
        <v>1.3450000000077225</v>
      </c>
      <c r="M419" s="300">
        <v>0.69999999998705387</v>
      </c>
      <c r="N419" s="300">
        <v>0.69700000005922802</v>
      </c>
      <c r="O419" s="300">
        <f>SUM(L419:N419)</f>
        <v>2.7420000000540048</v>
      </c>
      <c r="P419" s="300"/>
      <c r="Q419" s="300">
        <v>1.5020000000116061</v>
      </c>
      <c r="R419" s="300">
        <v>0.77299999997455371</v>
      </c>
      <c r="S419" s="300">
        <v>0.80800000000522409</v>
      </c>
      <c r="T419" s="300">
        <f>SUM(Q419:S419)</f>
        <v>3.082999999991384</v>
      </c>
      <c r="U419" s="300"/>
      <c r="V419" s="300">
        <v>1.6180000000045069</v>
      </c>
      <c r="W419" s="300">
        <v>0.82299999999980999</v>
      </c>
      <c r="X419" s="300">
        <v>0.95899999999732655</v>
      </c>
      <c r="Y419" s="300">
        <f>SUM(V419:X419)</f>
        <v>3.4000000000016435</v>
      </c>
    </row>
    <row r="420" spans="1:25" x14ac:dyDescent="0.2">
      <c r="A420" s="260" t="s">
        <v>355</v>
      </c>
      <c r="B420" s="300">
        <v>1.6939999999759816</v>
      </c>
      <c r="C420" s="300">
        <v>0.17799999999981356</v>
      </c>
      <c r="D420" s="300">
        <v>0.16700000000490331</v>
      </c>
      <c r="E420" s="300">
        <f t="shared" ref="E420:E421" si="1109">SUM(B420:D420)</f>
        <v>2.0389999999806987</v>
      </c>
      <c r="F420" s="300"/>
      <c r="G420" s="300">
        <v>1.0669999999909221</v>
      </c>
      <c r="H420" s="300">
        <v>0.22299999999927198</v>
      </c>
      <c r="I420" s="300">
        <v>0.16899999999800244</v>
      </c>
      <c r="J420" s="300">
        <f t="shared" ref="J420:J421" si="1110">SUM(G420:I420)</f>
        <v>1.4589999999881966</v>
      </c>
      <c r="K420" s="300"/>
      <c r="L420" s="300">
        <v>0.97400000001277831</v>
      </c>
      <c r="M420" s="300">
        <v>0.15700000000058628</v>
      </c>
      <c r="N420" s="300">
        <v>0.12100000000879284</v>
      </c>
      <c r="O420" s="300">
        <f t="shared" ref="O420:O421" si="1111">SUM(L420:N420)</f>
        <v>1.2520000000221574</v>
      </c>
      <c r="P420" s="300"/>
      <c r="Q420" s="300">
        <v>1.0730000000092736</v>
      </c>
      <c r="R420" s="300">
        <v>0.18100000000028896</v>
      </c>
      <c r="S420" s="300">
        <v>0.13600000001792203</v>
      </c>
      <c r="T420" s="300">
        <f t="shared" ref="T420:T421" si="1112">SUM(Q420:S420)</f>
        <v>1.3900000000274846</v>
      </c>
      <c r="U420" s="300"/>
      <c r="V420" s="300">
        <v>1.122000000014167</v>
      </c>
      <c r="W420" s="300">
        <v>0.20900000000091165</v>
      </c>
      <c r="X420" s="300">
        <v>0.1500000000144224</v>
      </c>
      <c r="Y420" s="300">
        <f t="shared" ref="Y420:Y421" si="1113">SUM(V420:X420)</f>
        <v>1.4810000000295009</v>
      </c>
    </row>
    <row r="421" spans="1:25" x14ac:dyDescent="0.2">
      <c r="A421" s="260" t="s">
        <v>354</v>
      </c>
      <c r="B421" s="300">
        <f>SUM(B419:B420)</f>
        <v>3.773999999956267</v>
      </c>
      <c r="C421" s="300">
        <f t="shared" ref="C421" si="1114">SUM(C419:C420)</f>
        <v>0.71999999998774822</v>
      </c>
      <c r="D421" s="300">
        <f t="shared" ref="D421" si="1115">SUM(D419:D420)</f>
        <v>1.1919999999195741</v>
      </c>
      <c r="E421" s="300">
        <f t="shared" si="1109"/>
        <v>5.6859999998635891</v>
      </c>
      <c r="F421" s="300"/>
      <c r="G421" s="300">
        <f>SUM(G419:G420)</f>
        <v>2.4439999999808886</v>
      </c>
      <c r="H421" s="300">
        <f t="shared" ref="H421" si="1116">SUM(H419:H420)</f>
        <v>0.85499999998916398</v>
      </c>
      <c r="I421" s="300">
        <f t="shared" ref="I421" si="1117">SUM(I419:I420)</f>
        <v>0.85299999994553877</v>
      </c>
      <c r="J421" s="300">
        <f t="shared" si="1110"/>
        <v>4.1519999999155912</v>
      </c>
      <c r="K421" s="300"/>
      <c r="L421" s="300">
        <f>SUM(L419:L420)</f>
        <v>2.3190000000205009</v>
      </c>
      <c r="M421" s="300">
        <f t="shared" ref="M421" si="1118">SUM(M419:M420)</f>
        <v>0.85699999998764009</v>
      </c>
      <c r="N421" s="300">
        <f t="shared" ref="N421" si="1119">SUM(N419:N420)</f>
        <v>0.81800000006802087</v>
      </c>
      <c r="O421" s="300">
        <f t="shared" si="1111"/>
        <v>3.994000000076162</v>
      </c>
      <c r="P421" s="300"/>
      <c r="Q421" s="300">
        <f>SUM(Q419:Q420)</f>
        <v>2.5750000000208795</v>
      </c>
      <c r="R421" s="300">
        <f t="shared" ref="R421" si="1120">SUM(R419:R420)</f>
        <v>0.95399999997484264</v>
      </c>
      <c r="S421" s="300">
        <f t="shared" ref="S421" si="1121">SUM(S419:S420)</f>
        <v>0.9440000000231461</v>
      </c>
      <c r="T421" s="300">
        <f t="shared" si="1112"/>
        <v>4.4730000000188683</v>
      </c>
      <c r="U421" s="300"/>
      <c r="V421" s="300">
        <f>SUM(V419:V420)</f>
        <v>2.7400000000186742</v>
      </c>
      <c r="W421" s="300">
        <f t="shared" ref="W421" si="1122">SUM(W419:W420)</f>
        <v>1.0320000000007217</v>
      </c>
      <c r="X421" s="300">
        <f t="shared" ref="X421" si="1123">SUM(X419:X420)</f>
        <v>1.109000000011749</v>
      </c>
      <c r="Y421" s="300">
        <f t="shared" si="1113"/>
        <v>4.8810000000311451</v>
      </c>
    </row>
    <row r="423" spans="1:25" x14ac:dyDescent="0.2">
      <c r="A423" s="261" t="s">
        <v>361</v>
      </c>
    </row>
    <row r="424" spans="1:25" x14ac:dyDescent="0.2">
      <c r="A424" s="260" t="s">
        <v>356</v>
      </c>
      <c r="B424" s="300">
        <f>SUM(B389,B394,B399,B404,B409,B414,B419)</f>
        <v>233.84099999524446</v>
      </c>
      <c r="C424" s="300">
        <f t="shared" ref="C424:D425" si="1124">SUM(C389,C394,C399,C404,C409,C414,C419)</f>
        <v>75.850999999501354</v>
      </c>
      <c r="D424" s="300">
        <f t="shared" si="1124"/>
        <v>51.167999999917832</v>
      </c>
      <c r="E424" s="300">
        <f>SUM(B424:D424)</f>
        <v>360.85999999466361</v>
      </c>
      <c r="F424" s="300"/>
      <c r="G424" s="300">
        <f>SUM(G389,G394,G399,G404,G409,G414,G419)</f>
        <v>262.47899999430223</v>
      </c>
      <c r="H424" s="300">
        <f t="shared" ref="H424:I424" si="1125">SUM(H389,H394,H399,H404,H409,H414,H419)</f>
        <v>75.434999999632225</v>
      </c>
      <c r="I424" s="300">
        <f t="shared" si="1125"/>
        <v>41.134000000013337</v>
      </c>
      <c r="J424" s="300">
        <f>SUM(G424:I424)</f>
        <v>379.04799999394777</v>
      </c>
      <c r="K424" s="300"/>
      <c r="L424" s="300">
        <f>SUM(L389,L394,L399,L404,L409,L414,L419)</f>
        <v>246.56300000049035</v>
      </c>
      <c r="M424" s="300">
        <f t="shared" ref="M424:N424" si="1126">SUM(M389,M394,M399,M404,M409,M414,M419)</f>
        <v>84.541000000027722</v>
      </c>
      <c r="N424" s="300">
        <f t="shared" si="1126"/>
        <v>44.313999999844185</v>
      </c>
      <c r="O424" s="300">
        <f>SUM(L424:N424)</f>
        <v>375.41800000036221</v>
      </c>
      <c r="P424" s="300"/>
      <c r="Q424" s="300">
        <f>SUM(Q389,Q394,Q399,Q404,Q409,Q414,Q419)</f>
        <v>262.88000000986079</v>
      </c>
      <c r="R424" s="300">
        <f t="shared" ref="R424:S424" si="1127">SUM(R389,R394,R399,R404,R409,R414,R419)</f>
        <v>90.323000000505232</v>
      </c>
      <c r="S424" s="300">
        <f t="shared" si="1127"/>
        <v>48.350000000559412</v>
      </c>
      <c r="T424" s="300">
        <f>SUM(Q424:S424)</f>
        <v>401.55300001092547</v>
      </c>
      <c r="U424" s="300"/>
      <c r="V424" s="300">
        <f>SUM(V389,V394,V399,V404,V409,V414,V419)</f>
        <v>279.68600000119136</v>
      </c>
      <c r="W424" s="300">
        <f t="shared" ref="W424:X424" si="1128">SUM(W389,W394,W399,W404,W409,W414,W419)</f>
        <v>97.249000000193149</v>
      </c>
      <c r="X424" s="300">
        <f t="shared" si="1128"/>
        <v>53.25700000016753</v>
      </c>
      <c r="Y424" s="300">
        <f>SUM(V424:X424)</f>
        <v>430.19200000155206</v>
      </c>
    </row>
    <row r="425" spans="1:25" x14ac:dyDescent="0.2">
      <c r="A425" s="260" t="s">
        <v>355</v>
      </c>
      <c r="B425" s="300">
        <f>SUM(B390,B395,B400,B405,B410,B415,B420)</f>
        <v>306.89799999041554</v>
      </c>
      <c r="C425" s="300">
        <f t="shared" si="1124"/>
        <v>29.389999999370215</v>
      </c>
      <c r="D425" s="300">
        <f t="shared" si="1124"/>
        <v>61.02100000023502</v>
      </c>
      <c r="E425" s="300">
        <f t="shared" ref="E425:E426" si="1129">SUM(B425:D425)</f>
        <v>397.30899999002077</v>
      </c>
      <c r="F425" s="300"/>
      <c r="G425" s="300">
        <f>SUM(G390,G395,G400,G405,G410,G415,G420)</f>
        <v>322.87399999292819</v>
      </c>
      <c r="H425" s="300">
        <f t="shared" ref="H425:I425" si="1130">SUM(H390,H395,H400,H405,H410,H415,H420)</f>
        <v>34.746999999486178</v>
      </c>
      <c r="I425" s="300">
        <f t="shared" si="1130"/>
        <v>93.449999998784392</v>
      </c>
      <c r="J425" s="300">
        <f t="shared" ref="J425:J426" si="1131">SUM(G425:I425)</f>
        <v>451.07099999119873</v>
      </c>
      <c r="K425" s="300"/>
      <c r="L425" s="300">
        <f>SUM(L390,L395,L400,L405,L410,L415,L420)</f>
        <v>302.28800000453339</v>
      </c>
      <c r="M425" s="300">
        <f t="shared" ref="M425:N425" si="1132">SUM(M390,M395,M400,M405,M410,M415,M420)</f>
        <v>32.004000000362609</v>
      </c>
      <c r="N425" s="300">
        <f t="shared" si="1132"/>
        <v>68.255000003143735</v>
      </c>
      <c r="O425" s="300">
        <f t="shared" ref="O425:O426" si="1133">SUM(L425:N425)</f>
        <v>402.54700000803973</v>
      </c>
      <c r="P425" s="300"/>
      <c r="Q425" s="300">
        <f>SUM(Q390,Q395,Q400,Q405,Q410,Q415,Q420)</f>
        <v>315.03000000560462</v>
      </c>
      <c r="R425" s="300">
        <f t="shared" ref="R425:S425" si="1134">SUM(R390,R395,R400,R405,R410,R415,R420)</f>
        <v>34.456000000237545</v>
      </c>
      <c r="S425" s="300">
        <f t="shared" si="1134"/>
        <v>72.442000006305577</v>
      </c>
      <c r="T425" s="300">
        <f t="shared" ref="T425:T426" si="1135">SUM(Q425:S425)</f>
        <v>421.92800001214778</v>
      </c>
      <c r="U425" s="300"/>
      <c r="V425" s="300">
        <f>SUM(V390,V395,V400,V405,V410,V415,V420)</f>
        <v>326.78400000663675</v>
      </c>
      <c r="W425" s="300">
        <f t="shared" ref="W425:X425" si="1136">SUM(W390,W395,W400,W405,W410,W415,W420)</f>
        <v>38.061000000312838</v>
      </c>
      <c r="X425" s="300">
        <f t="shared" si="1136"/>
        <v>76.873000005069684</v>
      </c>
      <c r="Y425" s="300">
        <f t="shared" ref="Y425:Y426" si="1137">SUM(V425:X425)</f>
        <v>441.71800001201927</v>
      </c>
    </row>
    <row r="426" spans="1:25" x14ac:dyDescent="0.2">
      <c r="A426" s="264" t="s">
        <v>354</v>
      </c>
      <c r="B426" s="301">
        <f>SUM(B424:B425)</f>
        <v>540.73899998566003</v>
      </c>
      <c r="C426" s="301">
        <f t="shared" ref="C426" si="1138">SUM(C424:C425)</f>
        <v>105.24099999887157</v>
      </c>
      <c r="D426" s="301">
        <f t="shared" ref="D426" si="1139">SUM(D424:D425)</f>
        <v>112.18900000015284</v>
      </c>
      <c r="E426" s="301">
        <f t="shared" si="1129"/>
        <v>758.16899998468443</v>
      </c>
      <c r="F426" s="301"/>
      <c r="G426" s="301">
        <f>SUM(G424:G425)</f>
        <v>585.35299998723042</v>
      </c>
      <c r="H426" s="301">
        <f t="shared" ref="H426" si="1140">SUM(H424:H425)</f>
        <v>110.1819999991184</v>
      </c>
      <c r="I426" s="301">
        <f t="shared" ref="I426" si="1141">SUM(I424:I425)</f>
        <v>134.58399999879774</v>
      </c>
      <c r="J426" s="301">
        <f t="shared" si="1131"/>
        <v>830.1189999851465</v>
      </c>
      <c r="K426" s="301"/>
      <c r="L426" s="301">
        <f>SUM(L424:L425)</f>
        <v>548.85100000502371</v>
      </c>
      <c r="M426" s="301">
        <f t="shared" ref="M426" si="1142">SUM(M424:M425)</f>
        <v>116.54500000039033</v>
      </c>
      <c r="N426" s="301">
        <f t="shared" ref="N426" si="1143">SUM(N424:N425)</f>
        <v>112.56900000298792</v>
      </c>
      <c r="O426" s="301">
        <f t="shared" si="1133"/>
        <v>777.96500000840194</v>
      </c>
      <c r="P426" s="301"/>
      <c r="Q426" s="301">
        <f>SUM(Q424:Q425)</f>
        <v>577.91000001546536</v>
      </c>
      <c r="R426" s="301">
        <f t="shared" ref="R426" si="1144">SUM(R424:R425)</f>
        <v>124.77900000074277</v>
      </c>
      <c r="S426" s="301">
        <f t="shared" ref="S426" si="1145">SUM(S424:S425)</f>
        <v>120.79200000686498</v>
      </c>
      <c r="T426" s="301">
        <f t="shared" si="1135"/>
        <v>823.48100002307319</v>
      </c>
      <c r="U426" s="301"/>
      <c r="V426" s="301">
        <f>SUM(V424:V425)</f>
        <v>606.47000000782805</v>
      </c>
      <c r="W426" s="301">
        <f t="shared" ref="W426" si="1146">SUM(W424:W425)</f>
        <v>135.31000000050599</v>
      </c>
      <c r="X426" s="301">
        <f t="shared" ref="X426" si="1147">SUM(X424:X425)</f>
        <v>130.13000000523721</v>
      </c>
      <c r="Y426" s="301">
        <f t="shared" si="1137"/>
        <v>871.91000001357122</v>
      </c>
    </row>
    <row r="427" spans="1:25" x14ac:dyDescent="0.2">
      <c r="C427" s="263"/>
    </row>
    <row r="428" spans="1:25" x14ac:dyDescent="0.2">
      <c r="A428" s="261"/>
    </row>
    <row r="429" spans="1:25" x14ac:dyDescent="0.2">
      <c r="C429" s="263"/>
    </row>
    <row r="430" spans="1:25" ht="15" x14ac:dyDescent="0.25">
      <c r="A430" s="265" t="str">
        <f>"Industry 17 : "&amp; name!B20</f>
        <v>Industry 17 : Support services</v>
      </c>
      <c r="B430" s="371">
        <f>$B$5</f>
        <v>2015</v>
      </c>
      <c r="C430" s="371"/>
      <c r="D430" s="371"/>
      <c r="E430" s="371"/>
      <c r="F430" s="320"/>
      <c r="G430" s="371">
        <f>$G$5</f>
        <v>2019</v>
      </c>
      <c r="H430" s="371"/>
      <c r="I430" s="371"/>
      <c r="J430" s="371"/>
      <c r="K430" s="320"/>
      <c r="L430" s="371">
        <f>$L$5</f>
        <v>2020</v>
      </c>
      <c r="M430" s="371"/>
      <c r="N430" s="371"/>
      <c r="O430" s="371"/>
      <c r="P430" s="318"/>
      <c r="Q430" s="371">
        <f>$Q$5</f>
        <v>2025</v>
      </c>
      <c r="R430" s="371"/>
      <c r="S430" s="371"/>
      <c r="T430" s="371"/>
      <c r="U430" s="320"/>
      <c r="V430" s="371">
        <f>$V$5</f>
        <v>2035</v>
      </c>
      <c r="W430" s="371"/>
      <c r="X430" s="371"/>
      <c r="Y430" s="371"/>
    </row>
    <row r="431" spans="1:25" x14ac:dyDescent="0.2">
      <c r="A431" s="264"/>
      <c r="B431" s="268" t="str">
        <f>$B$6</f>
        <v>FT</v>
      </c>
      <c r="C431" s="268" t="str">
        <f>$C$6</f>
        <v>PT</v>
      </c>
      <c r="D431" s="268" t="str">
        <f>$D$6</f>
        <v>SE</v>
      </c>
      <c r="E431" s="268" t="str">
        <f>$E$6</f>
        <v>Total</v>
      </c>
      <c r="F431" s="268"/>
      <c r="G431" s="268" t="str">
        <f>$B$6</f>
        <v>FT</v>
      </c>
      <c r="H431" s="268" t="str">
        <f>$C$6</f>
        <v>PT</v>
      </c>
      <c r="I431" s="268" t="str">
        <f>$D$6</f>
        <v>SE</v>
      </c>
      <c r="J431" s="268" t="str">
        <f>$E$6</f>
        <v>Total</v>
      </c>
      <c r="K431" s="268"/>
      <c r="L431" s="268" t="str">
        <f>$L$6</f>
        <v>FT</v>
      </c>
      <c r="M431" s="268" t="str">
        <f>$M$6</f>
        <v>PT</v>
      </c>
      <c r="N431" s="268" t="str">
        <f>$N$6</f>
        <v>SE</v>
      </c>
      <c r="O431" s="268" t="str">
        <f>$O$6</f>
        <v>Total</v>
      </c>
      <c r="P431" s="268"/>
      <c r="Q431" s="268" t="str">
        <f>$L$6</f>
        <v>FT</v>
      </c>
      <c r="R431" s="268" t="str">
        <f>$M$6</f>
        <v>PT</v>
      </c>
      <c r="S431" s="268" t="str">
        <f>$N$6</f>
        <v>SE</v>
      </c>
      <c r="T431" s="268" t="str">
        <f>$O$6</f>
        <v>Total</v>
      </c>
      <c r="U431" s="268"/>
      <c r="V431" s="268" t="str">
        <f>$V$6</f>
        <v>FT</v>
      </c>
      <c r="W431" s="268" t="str">
        <f>$W$6</f>
        <v>PT</v>
      </c>
      <c r="X431" s="268" t="str">
        <f>$X$6</f>
        <v>SE</v>
      </c>
      <c r="Y431" s="268" t="str">
        <f>$Y$6</f>
        <v>Total</v>
      </c>
    </row>
    <row r="432" spans="1:25" x14ac:dyDescent="0.2">
      <c r="A432" s="262"/>
      <c r="C432" s="319"/>
      <c r="D432" s="319"/>
      <c r="E432" s="319"/>
      <c r="F432" s="319"/>
      <c r="G432" s="319"/>
      <c r="H432" s="319"/>
      <c r="I432" s="319"/>
      <c r="J432" s="319"/>
      <c r="K432" s="319"/>
      <c r="L432" s="319"/>
      <c r="M432" s="319"/>
      <c r="N432" s="319"/>
      <c r="O432" s="319"/>
      <c r="P432" s="319"/>
      <c r="Q432" s="319"/>
      <c r="R432" s="319"/>
      <c r="S432" s="319"/>
      <c r="T432" s="319"/>
      <c r="U432" s="319"/>
      <c r="V432" s="319"/>
      <c r="W432" s="319"/>
      <c r="X432" s="319"/>
      <c r="Y432" s="319"/>
    </row>
    <row r="433" spans="1:25" x14ac:dyDescent="0.2">
      <c r="A433" s="261" t="str">
        <f>name!A61</f>
        <v>Rental and leasing</v>
      </c>
      <c r="C433" s="263"/>
    </row>
    <row r="434" spans="1:25" x14ac:dyDescent="0.2">
      <c r="A434" s="260" t="s">
        <v>356</v>
      </c>
      <c r="B434" s="300">
        <v>1.964999999992558</v>
      </c>
      <c r="C434" s="300">
        <v>1.321000000019763</v>
      </c>
      <c r="D434" s="300">
        <v>0.59400000000673026</v>
      </c>
      <c r="E434" s="300">
        <f>SUM(B434:D434)</f>
        <v>3.8800000000190513</v>
      </c>
      <c r="F434" s="300"/>
      <c r="G434" s="300">
        <v>3.3259999999818777</v>
      </c>
      <c r="H434" s="300">
        <v>1.5960000000199364</v>
      </c>
      <c r="I434" s="300">
        <v>1.0120000000101221</v>
      </c>
      <c r="J434" s="300">
        <f>SUM(G434:I434)</f>
        <v>5.9340000000119364</v>
      </c>
      <c r="K434" s="300"/>
      <c r="L434" s="300">
        <v>3.1079999999709433</v>
      </c>
      <c r="M434" s="300">
        <v>1.5140000000079592</v>
      </c>
      <c r="N434" s="300">
        <v>0.64299999999673152</v>
      </c>
      <c r="O434" s="300">
        <f>SUM(L434:N434)</f>
        <v>5.2649999999756334</v>
      </c>
      <c r="P434" s="300"/>
      <c r="Q434" s="300">
        <v>3.3220000000414287</v>
      </c>
      <c r="R434" s="300">
        <v>1.560000000020759</v>
      </c>
      <c r="S434" s="300">
        <v>0.66399999999991011</v>
      </c>
      <c r="T434" s="300">
        <f>SUM(Q434:S434)</f>
        <v>5.5460000000620981</v>
      </c>
      <c r="U434" s="300"/>
      <c r="V434" s="300">
        <v>3.5769999999832511</v>
      </c>
      <c r="W434" s="300">
        <v>1.5869999999965163</v>
      </c>
      <c r="X434" s="300">
        <v>0.70599999999896101</v>
      </c>
      <c r="Y434" s="300">
        <f>SUM(V434:X434)</f>
        <v>5.8699999999787282</v>
      </c>
    </row>
    <row r="435" spans="1:25" x14ac:dyDescent="0.2">
      <c r="A435" s="260" t="s">
        <v>355</v>
      </c>
      <c r="B435" s="300">
        <v>9.8279999999921461</v>
      </c>
      <c r="C435" s="300">
        <v>2.6510000000497675</v>
      </c>
      <c r="D435" s="300">
        <v>0.86700000001879685</v>
      </c>
      <c r="E435" s="300">
        <f t="shared" ref="E435:E436" si="1148">SUM(B435:D435)</f>
        <v>13.346000000060711</v>
      </c>
      <c r="F435" s="300"/>
      <c r="G435" s="300">
        <v>13.87299999998435</v>
      </c>
      <c r="H435" s="300">
        <v>3.2160000000419173</v>
      </c>
      <c r="I435" s="300">
        <v>0.66300000000367232</v>
      </c>
      <c r="J435" s="300">
        <f t="shared" ref="J435:J436" si="1149">SUM(G435:I435)</f>
        <v>17.752000000029941</v>
      </c>
      <c r="K435" s="300"/>
      <c r="L435" s="300">
        <v>14.08800000001048</v>
      </c>
      <c r="M435" s="300">
        <v>2.9399999999747921</v>
      </c>
      <c r="N435" s="300">
        <v>1.0700000000140344</v>
      </c>
      <c r="O435" s="300">
        <f t="shared" ref="O435:O436" si="1150">SUM(L435:N435)</f>
        <v>18.097999999999306</v>
      </c>
      <c r="P435" s="300"/>
      <c r="Q435" s="300">
        <v>14.793000000033807</v>
      </c>
      <c r="R435" s="300">
        <v>3.0799999999759988</v>
      </c>
      <c r="S435" s="300">
        <v>1.1060000000365453</v>
      </c>
      <c r="T435" s="300">
        <f t="shared" ref="T435:T436" si="1151">SUM(Q435:S435)</f>
        <v>18.979000000046351</v>
      </c>
      <c r="U435" s="300"/>
      <c r="V435" s="300">
        <v>15.582000000081447</v>
      </c>
      <c r="W435" s="300">
        <v>3.2149999999986023</v>
      </c>
      <c r="X435" s="300">
        <v>1.1690000000256673</v>
      </c>
      <c r="Y435" s="300">
        <f t="shared" ref="Y435:Y436" si="1152">SUM(V435:X435)</f>
        <v>19.966000000105719</v>
      </c>
    </row>
    <row r="436" spans="1:25" x14ac:dyDescent="0.2">
      <c r="A436" s="260" t="s">
        <v>354</v>
      </c>
      <c r="B436" s="300">
        <f>SUM(B434:B435)</f>
        <v>11.792999999984705</v>
      </c>
      <c r="C436" s="300">
        <f t="shared" ref="C436" si="1153">SUM(C434:C435)</f>
        <v>3.9720000000695306</v>
      </c>
      <c r="D436" s="300">
        <f t="shared" ref="D436" si="1154">SUM(D434:D435)</f>
        <v>1.461000000025527</v>
      </c>
      <c r="E436" s="300">
        <f t="shared" si="1148"/>
        <v>17.226000000079765</v>
      </c>
      <c r="F436" s="300"/>
      <c r="G436" s="300">
        <f>SUM(G434:G435)</f>
        <v>17.198999999966226</v>
      </c>
      <c r="H436" s="300">
        <f t="shared" ref="H436" si="1155">SUM(H434:H435)</f>
        <v>4.8120000000618539</v>
      </c>
      <c r="I436" s="300">
        <f t="shared" ref="I436" si="1156">SUM(I434:I435)</f>
        <v>1.6750000000137946</v>
      </c>
      <c r="J436" s="300">
        <f t="shared" si="1149"/>
        <v>23.686000000041876</v>
      </c>
      <c r="K436" s="300"/>
      <c r="L436" s="300">
        <f>SUM(L434:L435)</f>
        <v>17.195999999981424</v>
      </c>
      <c r="M436" s="300">
        <f t="shared" ref="M436" si="1157">SUM(M434:M435)</f>
        <v>4.4539999999827513</v>
      </c>
      <c r="N436" s="300">
        <f t="shared" ref="N436" si="1158">SUM(N434:N435)</f>
        <v>1.7130000000107659</v>
      </c>
      <c r="O436" s="300">
        <f t="shared" si="1150"/>
        <v>23.362999999974942</v>
      </c>
      <c r="P436" s="300"/>
      <c r="Q436" s="300">
        <f>SUM(Q434:Q435)</f>
        <v>18.115000000075234</v>
      </c>
      <c r="R436" s="300">
        <f t="shared" ref="R436" si="1159">SUM(R434:R435)</f>
        <v>4.6399999999967578</v>
      </c>
      <c r="S436" s="300">
        <f t="shared" ref="S436" si="1160">SUM(S434:S435)</f>
        <v>1.7700000000364553</v>
      </c>
      <c r="T436" s="300">
        <f t="shared" si="1151"/>
        <v>24.525000000108445</v>
      </c>
      <c r="U436" s="300"/>
      <c r="V436" s="300">
        <f>SUM(V434:V435)</f>
        <v>19.159000000064697</v>
      </c>
      <c r="W436" s="300">
        <f t="shared" ref="W436" si="1161">SUM(W434:W435)</f>
        <v>4.8019999999951182</v>
      </c>
      <c r="X436" s="300">
        <f t="shared" ref="X436" si="1162">SUM(X434:X435)</f>
        <v>1.8750000000246283</v>
      </c>
      <c r="Y436" s="300">
        <f t="shared" si="1152"/>
        <v>25.836000000084443</v>
      </c>
    </row>
    <row r="437" spans="1:25" x14ac:dyDescent="0.2">
      <c r="C437" s="319"/>
      <c r="D437" s="319"/>
      <c r="E437" s="319"/>
      <c r="F437" s="319"/>
      <c r="G437" s="319"/>
      <c r="H437" s="319"/>
      <c r="I437" s="319"/>
      <c r="J437" s="319"/>
      <c r="K437" s="319"/>
      <c r="L437" s="319"/>
      <c r="M437" s="319"/>
      <c r="N437" s="319"/>
      <c r="O437" s="319"/>
      <c r="P437" s="319"/>
      <c r="Q437" s="319"/>
      <c r="R437" s="319"/>
      <c r="S437" s="319"/>
      <c r="T437" s="319"/>
      <c r="U437" s="319"/>
      <c r="V437" s="319"/>
      <c r="W437" s="319"/>
      <c r="X437" s="319"/>
      <c r="Y437" s="319"/>
    </row>
    <row r="438" spans="1:25" x14ac:dyDescent="0.2">
      <c r="A438" s="261" t="str">
        <f>name!A62</f>
        <v>Employment activities</v>
      </c>
      <c r="C438" s="263"/>
    </row>
    <row r="439" spans="1:25" x14ac:dyDescent="0.2">
      <c r="A439" s="260" t="s">
        <v>356</v>
      </c>
      <c r="B439" s="300">
        <v>38.723000000046774</v>
      </c>
      <c r="C439" s="300">
        <v>23.005000000268584</v>
      </c>
      <c r="D439" s="300">
        <v>12.230000000444942</v>
      </c>
      <c r="E439" s="300">
        <f>SUM(B439:D439)</f>
        <v>73.958000000760308</v>
      </c>
      <c r="F439" s="300"/>
      <c r="G439" s="300">
        <v>41.612000000001025</v>
      </c>
      <c r="H439" s="300">
        <v>27.456000000240245</v>
      </c>
      <c r="I439" s="300">
        <v>14.716000000495924</v>
      </c>
      <c r="J439" s="300">
        <f>SUM(G439:I439)</f>
        <v>83.784000000737194</v>
      </c>
      <c r="K439" s="300"/>
      <c r="L439" s="300">
        <v>38.880999999777217</v>
      </c>
      <c r="M439" s="300">
        <v>26.056999999774629</v>
      </c>
      <c r="N439" s="300">
        <v>9.3449999996977127</v>
      </c>
      <c r="O439" s="300">
        <f>SUM(L439:N439)</f>
        <v>74.282999999249569</v>
      </c>
      <c r="P439" s="300"/>
      <c r="Q439" s="300">
        <v>41.561000000068312</v>
      </c>
      <c r="R439" s="300">
        <v>26.846999999671119</v>
      </c>
      <c r="S439" s="300">
        <v>9.6489999998299201</v>
      </c>
      <c r="T439" s="300">
        <f>SUM(Q439:S439)</f>
        <v>78.056999999569356</v>
      </c>
      <c r="U439" s="300"/>
      <c r="V439" s="300">
        <v>44.752999999808679</v>
      </c>
      <c r="W439" s="300">
        <v>27.312000000019335</v>
      </c>
      <c r="X439" s="300">
        <v>10.254999999916665</v>
      </c>
      <c r="Y439" s="300">
        <f>SUM(V439:X439)</f>
        <v>82.319999999744681</v>
      </c>
    </row>
    <row r="440" spans="1:25" x14ac:dyDescent="0.2">
      <c r="A440" s="260" t="s">
        <v>355</v>
      </c>
      <c r="B440" s="300">
        <v>73.064000000497018</v>
      </c>
      <c r="C440" s="300">
        <v>35.994000000841382</v>
      </c>
      <c r="D440" s="300">
        <v>5.4930000001173811</v>
      </c>
      <c r="E440" s="300">
        <f t="shared" ref="E440:E441" si="1163">SUM(B440:D440)</f>
        <v>114.55100000145578</v>
      </c>
      <c r="F440" s="300"/>
      <c r="G440" s="300">
        <v>65.476000000314087</v>
      </c>
      <c r="H440" s="300">
        <v>43.171000000688323</v>
      </c>
      <c r="I440" s="300">
        <v>2.9629999999912888</v>
      </c>
      <c r="J440" s="300">
        <f t="shared" ref="J440:J441" si="1164">SUM(G440:I440)</f>
        <v>111.61000000099369</v>
      </c>
      <c r="K440" s="300"/>
      <c r="L440" s="300">
        <v>66.489999999839895</v>
      </c>
      <c r="M440" s="300">
        <v>39.456999999605216</v>
      </c>
      <c r="N440" s="300">
        <v>4.7850000002112036</v>
      </c>
      <c r="O440" s="300">
        <f t="shared" ref="O440:O441" si="1165">SUM(L440:N440)</f>
        <v>110.73199999965631</v>
      </c>
      <c r="P440" s="300"/>
      <c r="Q440" s="300">
        <v>69.816999999715222</v>
      </c>
      <c r="R440" s="300">
        <v>41.34599999951427</v>
      </c>
      <c r="S440" s="300">
        <v>4.9460000004633455</v>
      </c>
      <c r="T440" s="300">
        <f t="shared" ref="T440:T441" si="1166">SUM(Q440:S440)</f>
        <v>116.10899999969284</v>
      </c>
      <c r="U440" s="300"/>
      <c r="V440" s="300">
        <v>73.540999999495654</v>
      </c>
      <c r="W440" s="300">
        <v>43.151999999404289</v>
      </c>
      <c r="X440" s="300">
        <v>5.2260000004320482</v>
      </c>
      <c r="Y440" s="300">
        <f t="shared" ref="Y440:Y441" si="1167">SUM(V440:X440)</f>
        <v>121.918999999332</v>
      </c>
    </row>
    <row r="441" spans="1:25" x14ac:dyDescent="0.2">
      <c r="A441" s="260" t="s">
        <v>354</v>
      </c>
      <c r="B441" s="300">
        <f>SUM(B439:B440)</f>
        <v>111.7870000005438</v>
      </c>
      <c r="C441" s="300">
        <f t="shared" ref="C441" si="1168">SUM(C439:C440)</f>
        <v>58.999000001109962</v>
      </c>
      <c r="D441" s="300">
        <f t="shared" ref="D441" si="1169">SUM(D439:D440)</f>
        <v>17.723000000562322</v>
      </c>
      <c r="E441" s="300">
        <f t="shared" si="1163"/>
        <v>188.50900000221606</v>
      </c>
      <c r="F441" s="300"/>
      <c r="G441" s="300">
        <f>SUM(G439:G440)</f>
        <v>107.08800000031511</v>
      </c>
      <c r="H441" s="300">
        <f t="shared" ref="H441" si="1170">SUM(H439:H440)</f>
        <v>70.627000000928575</v>
      </c>
      <c r="I441" s="300">
        <f t="shared" ref="I441" si="1171">SUM(I439:I440)</f>
        <v>17.679000000487214</v>
      </c>
      <c r="J441" s="300">
        <f t="shared" si="1164"/>
        <v>195.39400000173089</v>
      </c>
      <c r="K441" s="300"/>
      <c r="L441" s="300">
        <f>SUM(L439:L440)</f>
        <v>105.37099999961711</v>
      </c>
      <c r="M441" s="300">
        <f t="shared" ref="M441" si="1172">SUM(M439:M440)</f>
        <v>65.513999999379848</v>
      </c>
      <c r="N441" s="300">
        <f t="shared" ref="N441" si="1173">SUM(N439:N440)</f>
        <v>14.129999999908916</v>
      </c>
      <c r="O441" s="300">
        <f t="shared" si="1165"/>
        <v>185.01499999890586</v>
      </c>
      <c r="P441" s="300"/>
      <c r="Q441" s="300">
        <f>SUM(Q439:Q440)</f>
        <v>111.37799999978353</v>
      </c>
      <c r="R441" s="300">
        <f t="shared" ref="R441" si="1174">SUM(R439:R440)</f>
        <v>68.192999999185389</v>
      </c>
      <c r="S441" s="300">
        <f t="shared" ref="S441" si="1175">SUM(S439:S440)</f>
        <v>14.595000000293265</v>
      </c>
      <c r="T441" s="300">
        <f t="shared" si="1166"/>
        <v>194.16599999926217</v>
      </c>
      <c r="U441" s="300"/>
      <c r="V441" s="300">
        <f>SUM(V439:V440)</f>
        <v>118.29399999930433</v>
      </c>
      <c r="W441" s="300">
        <f t="shared" ref="W441" si="1176">SUM(W439:W440)</f>
        <v>70.463999999423621</v>
      </c>
      <c r="X441" s="300">
        <f t="shared" ref="X441" si="1177">SUM(X439:X440)</f>
        <v>15.481000000348713</v>
      </c>
      <c r="Y441" s="300">
        <f t="shared" si="1167"/>
        <v>204.23899999907664</v>
      </c>
    </row>
    <row r="442" spans="1:25" x14ac:dyDescent="0.2">
      <c r="C442" s="319"/>
      <c r="D442" s="319"/>
      <c r="E442" s="319"/>
      <c r="F442" s="319"/>
      <c r="G442" s="319"/>
      <c r="H442" s="319"/>
      <c r="I442" s="319"/>
      <c r="J442" s="319"/>
      <c r="K442" s="319"/>
      <c r="L442" s="319"/>
      <c r="M442" s="319"/>
      <c r="N442" s="319"/>
      <c r="O442" s="319"/>
      <c r="P442" s="319"/>
      <c r="Q442" s="319"/>
      <c r="R442" s="319"/>
      <c r="S442" s="319"/>
      <c r="T442" s="319"/>
      <c r="U442" s="319"/>
      <c r="V442" s="319"/>
      <c r="W442" s="319"/>
      <c r="X442" s="319"/>
      <c r="Y442" s="319"/>
    </row>
    <row r="443" spans="1:25" x14ac:dyDescent="0.2">
      <c r="A443" s="261" t="str">
        <f>name!A63</f>
        <v>Travel, etc</v>
      </c>
      <c r="C443" s="263"/>
    </row>
    <row r="444" spans="1:25" x14ac:dyDescent="0.2">
      <c r="A444" s="260" t="s">
        <v>356</v>
      </c>
      <c r="B444" s="300">
        <v>3.1470000000071883</v>
      </c>
      <c r="C444" s="300">
        <v>0.7520000000189534</v>
      </c>
      <c r="D444" s="300">
        <v>2.1140000000451873</v>
      </c>
      <c r="E444" s="300">
        <f>SUM(B444:D444)</f>
        <v>6.0130000000713295</v>
      </c>
      <c r="F444" s="300"/>
      <c r="G444" s="300">
        <v>3.7769999999906751</v>
      </c>
      <c r="H444" s="300">
        <v>0.80700000001909278</v>
      </c>
      <c r="I444" s="300">
        <v>2.639000000060892</v>
      </c>
      <c r="J444" s="300">
        <f>SUM(G444:I444)</f>
        <v>7.2230000000706598</v>
      </c>
      <c r="K444" s="300"/>
      <c r="L444" s="300">
        <v>3.5289999999309529</v>
      </c>
      <c r="M444" s="300">
        <v>0.76599999999837487</v>
      </c>
      <c r="N444" s="300">
        <v>1.675999999959717</v>
      </c>
      <c r="O444" s="300">
        <f>SUM(L444:N444)</f>
        <v>5.9709999998890444</v>
      </c>
      <c r="P444" s="300"/>
      <c r="Q444" s="300">
        <v>3.7720000000377816</v>
      </c>
      <c r="R444" s="300">
        <v>0.78900000000123971</v>
      </c>
      <c r="S444" s="300">
        <v>1.7299999999902411</v>
      </c>
      <c r="T444" s="300">
        <f>SUM(Q444:S444)</f>
        <v>6.2910000000292623</v>
      </c>
      <c r="U444" s="300"/>
      <c r="V444" s="300">
        <v>4.0619999999520484</v>
      </c>
      <c r="W444" s="300">
        <v>0.80299999999263638</v>
      </c>
      <c r="X444" s="300">
        <v>1.8389999999932742</v>
      </c>
      <c r="Y444" s="300">
        <f>SUM(V444:X444)</f>
        <v>6.7039999999379587</v>
      </c>
    </row>
    <row r="445" spans="1:25" x14ac:dyDescent="0.2">
      <c r="A445" s="260" t="s">
        <v>355</v>
      </c>
      <c r="B445" s="300">
        <v>15.80100000031287</v>
      </c>
      <c r="C445" s="300">
        <v>2.3580000000728152</v>
      </c>
      <c r="D445" s="300">
        <v>0.64300000001463153</v>
      </c>
      <c r="E445" s="300">
        <f t="shared" ref="E445:E446" si="1178">SUM(B445:D445)</f>
        <v>18.802000000400316</v>
      </c>
      <c r="F445" s="300"/>
      <c r="G445" s="300">
        <v>15.814000000235172</v>
      </c>
      <c r="H445" s="300">
        <v>2.5430000000612476</v>
      </c>
      <c r="I445" s="300">
        <v>0.36000000000040389</v>
      </c>
      <c r="J445" s="300">
        <f t="shared" ref="J445:J446" si="1179">SUM(G445:I445)</f>
        <v>18.717000000296824</v>
      </c>
      <c r="K445" s="300"/>
      <c r="L445" s="300">
        <v>16.058999999720559</v>
      </c>
      <c r="M445" s="300">
        <v>2.3249999999580089</v>
      </c>
      <c r="N445" s="300">
        <v>0.58100000000655327</v>
      </c>
      <c r="O445" s="300">
        <f t="shared" ref="O445:O446" si="1180">SUM(L445:N445)</f>
        <v>18.964999999685123</v>
      </c>
      <c r="P445" s="300"/>
      <c r="Q445" s="300">
        <v>16.86299999976093</v>
      </c>
      <c r="R445" s="300">
        <v>2.4359999999564037</v>
      </c>
      <c r="S445" s="300">
        <v>0.60100000002096088</v>
      </c>
      <c r="T445" s="300">
        <f t="shared" ref="T445:T446" si="1181">SUM(Q445:S445)</f>
        <v>19.899999999738295</v>
      </c>
      <c r="U445" s="300"/>
      <c r="V445" s="300">
        <v>17.761999999616702</v>
      </c>
      <c r="W445" s="300">
        <v>2.5419999999469485</v>
      </c>
      <c r="X445" s="300">
        <v>0.63500000001458001</v>
      </c>
      <c r="Y445" s="300">
        <f t="shared" ref="Y445:Y446" si="1182">SUM(V445:X445)</f>
        <v>20.938999999578229</v>
      </c>
    </row>
    <row r="446" spans="1:25" x14ac:dyDescent="0.2">
      <c r="A446" s="260" t="s">
        <v>354</v>
      </c>
      <c r="B446" s="300">
        <f>SUM(B444:B445)</f>
        <v>18.948000000320057</v>
      </c>
      <c r="C446" s="300">
        <f t="shared" ref="C446" si="1183">SUM(C444:C445)</f>
        <v>3.1100000000917687</v>
      </c>
      <c r="D446" s="300">
        <f t="shared" ref="D446" si="1184">SUM(D444:D445)</f>
        <v>2.7570000000598189</v>
      </c>
      <c r="E446" s="300">
        <f t="shared" si="1178"/>
        <v>24.815000000471645</v>
      </c>
      <c r="F446" s="300"/>
      <c r="G446" s="300">
        <f>SUM(G444:G445)</f>
        <v>19.591000000225847</v>
      </c>
      <c r="H446" s="300">
        <f t="shared" ref="H446" si="1185">SUM(H444:H445)</f>
        <v>3.3500000000803403</v>
      </c>
      <c r="I446" s="300">
        <f t="shared" ref="I446" si="1186">SUM(I444:I445)</f>
        <v>2.999000000061296</v>
      </c>
      <c r="J446" s="300">
        <f t="shared" si="1179"/>
        <v>25.940000000367483</v>
      </c>
      <c r="K446" s="300"/>
      <c r="L446" s="300">
        <f>SUM(L444:L445)</f>
        <v>19.587999999651512</v>
      </c>
      <c r="M446" s="300">
        <f t="shared" ref="M446" si="1187">SUM(M444:M445)</f>
        <v>3.0909999999563835</v>
      </c>
      <c r="N446" s="300">
        <f t="shared" ref="N446" si="1188">SUM(N444:N445)</f>
        <v>2.2569999999662702</v>
      </c>
      <c r="O446" s="300">
        <f t="shared" si="1180"/>
        <v>24.935999999574165</v>
      </c>
      <c r="P446" s="300"/>
      <c r="Q446" s="300">
        <f>SUM(Q444:Q445)</f>
        <v>20.634999999798712</v>
      </c>
      <c r="R446" s="300">
        <f t="shared" ref="R446" si="1189">SUM(R444:R445)</f>
        <v>3.2249999999576433</v>
      </c>
      <c r="S446" s="300">
        <f t="shared" ref="S446" si="1190">SUM(S444:S445)</f>
        <v>2.3310000000112021</v>
      </c>
      <c r="T446" s="300">
        <f t="shared" si="1181"/>
        <v>26.190999999767556</v>
      </c>
      <c r="U446" s="300"/>
      <c r="V446" s="300">
        <f>SUM(V444:V445)</f>
        <v>21.823999999568748</v>
      </c>
      <c r="W446" s="300">
        <f t="shared" ref="W446" si="1191">SUM(W444:W445)</f>
        <v>3.344999999939585</v>
      </c>
      <c r="X446" s="300">
        <f t="shared" ref="X446" si="1192">SUM(X444:X445)</f>
        <v>2.4740000000078544</v>
      </c>
      <c r="Y446" s="300">
        <f t="shared" si="1182"/>
        <v>27.642999999516189</v>
      </c>
    </row>
    <row r="447" spans="1:25" x14ac:dyDescent="0.2">
      <c r="C447" s="319"/>
      <c r="D447" s="319"/>
      <c r="E447" s="319"/>
      <c r="F447" s="319"/>
      <c r="G447" s="319"/>
      <c r="H447" s="319"/>
      <c r="I447" s="319"/>
      <c r="J447" s="319"/>
      <c r="K447" s="319"/>
      <c r="L447" s="319"/>
      <c r="M447" s="319"/>
      <c r="N447" s="319"/>
      <c r="O447" s="319"/>
      <c r="P447" s="319"/>
      <c r="Q447" s="319"/>
      <c r="R447" s="319"/>
      <c r="S447" s="319"/>
      <c r="T447" s="319"/>
      <c r="U447" s="319"/>
      <c r="V447" s="319"/>
      <c r="W447" s="319"/>
      <c r="X447" s="319"/>
      <c r="Y447" s="319"/>
    </row>
    <row r="448" spans="1:25" x14ac:dyDescent="0.2">
      <c r="A448" s="261" t="str">
        <f>name!A64</f>
        <v>Security, etc</v>
      </c>
      <c r="C448" s="263"/>
    </row>
    <row r="449" spans="1:25" x14ac:dyDescent="0.2">
      <c r="A449" s="260" t="s">
        <v>356</v>
      </c>
      <c r="B449" s="300">
        <v>9.0330000000222661</v>
      </c>
      <c r="C449" s="300">
        <v>3.3110000000432267</v>
      </c>
      <c r="D449" s="300">
        <v>1.0080000000394038</v>
      </c>
      <c r="E449" s="300">
        <f>SUM(B449:D449)</f>
        <v>13.352000000104896</v>
      </c>
      <c r="F449" s="300"/>
      <c r="G449" s="300">
        <v>9.2110000000104737</v>
      </c>
      <c r="H449" s="300">
        <v>2.4230000000233614</v>
      </c>
      <c r="I449" s="300">
        <v>1.0520000000376812</v>
      </c>
      <c r="J449" s="300">
        <f>SUM(G449:I449)</f>
        <v>12.686000000071516</v>
      </c>
      <c r="K449" s="300"/>
      <c r="L449" s="300">
        <v>8.6069999999423494</v>
      </c>
      <c r="M449" s="300">
        <v>2.2989999999792303</v>
      </c>
      <c r="N449" s="300">
        <v>0.66799999997726422</v>
      </c>
      <c r="O449" s="300">
        <f>SUM(L449:N449)</f>
        <v>11.573999999898843</v>
      </c>
      <c r="P449" s="300"/>
      <c r="Q449" s="300">
        <v>9.1999999999990507</v>
      </c>
      <c r="R449" s="300">
        <v>2.3689999999689939</v>
      </c>
      <c r="S449" s="300">
        <v>0.6899999999865627</v>
      </c>
      <c r="T449" s="300">
        <f>SUM(Q449:S449)</f>
        <v>12.258999999954607</v>
      </c>
      <c r="U449" s="300"/>
      <c r="V449" s="300">
        <v>9.9059999999474027</v>
      </c>
      <c r="W449" s="300">
        <v>2.4100000000017765</v>
      </c>
      <c r="X449" s="300">
        <v>0.73299999999388166</v>
      </c>
      <c r="Y449" s="300">
        <f>SUM(V449:X449)</f>
        <v>13.04899999994306</v>
      </c>
    </row>
    <row r="450" spans="1:25" x14ac:dyDescent="0.2">
      <c r="A450" s="260" t="s">
        <v>355</v>
      </c>
      <c r="B450" s="300">
        <v>36.780000000301413</v>
      </c>
      <c r="C450" s="300">
        <v>7.4950000001811219</v>
      </c>
      <c r="D450" s="300">
        <v>3.6830000000829584</v>
      </c>
      <c r="E450" s="300">
        <f t="shared" ref="E450:E451" si="1193">SUM(B450:D450)</f>
        <v>47.958000000565491</v>
      </c>
      <c r="F450" s="300"/>
      <c r="G450" s="300">
        <v>31.278000000177702</v>
      </c>
      <c r="H450" s="300">
        <v>5.5110000000899975</v>
      </c>
      <c r="I450" s="300">
        <v>1.7230000000102896</v>
      </c>
      <c r="J450" s="300">
        <f t="shared" ref="J450:J451" si="1194">SUM(G450:I450)</f>
        <v>38.512000000277986</v>
      </c>
      <c r="K450" s="300"/>
      <c r="L450" s="300">
        <v>31.762999999905432</v>
      </c>
      <c r="M450" s="300">
        <v>5.0369999999487129</v>
      </c>
      <c r="N450" s="300">
        <v>2.7830000000689812</v>
      </c>
      <c r="O450" s="300">
        <f t="shared" ref="O450:O451" si="1195">SUM(L450:N450)</f>
        <v>39.582999999923125</v>
      </c>
      <c r="P450" s="300"/>
      <c r="Q450" s="300">
        <v>33.351999999844999</v>
      </c>
      <c r="R450" s="300">
        <v>5.2779999999381353</v>
      </c>
      <c r="S450" s="300">
        <v>2.8770000001487395</v>
      </c>
      <c r="T450" s="300">
        <f t="shared" ref="T450:T451" si="1196">SUM(Q450:S450)</f>
        <v>41.506999999931878</v>
      </c>
      <c r="U450" s="300"/>
      <c r="V450" s="300">
        <v>35.130999999747139</v>
      </c>
      <c r="W450" s="300">
        <v>5.5089999999249795</v>
      </c>
      <c r="X450" s="300">
        <v>3.0400000001144143</v>
      </c>
      <c r="Y450" s="300">
        <f t="shared" ref="Y450:Y451" si="1197">SUM(V450:X450)</f>
        <v>43.679999999786531</v>
      </c>
    </row>
    <row r="451" spans="1:25" x14ac:dyDescent="0.2">
      <c r="A451" s="260" t="s">
        <v>354</v>
      </c>
      <c r="B451" s="300">
        <f>SUM(B449:B450)</f>
        <v>45.813000000323683</v>
      </c>
      <c r="C451" s="300">
        <f t="shared" ref="C451" si="1198">SUM(C449:C450)</f>
        <v>10.806000000224348</v>
      </c>
      <c r="D451" s="300">
        <f t="shared" ref="D451" si="1199">SUM(D449:D450)</f>
        <v>4.6910000001223624</v>
      </c>
      <c r="E451" s="300">
        <f t="shared" si="1193"/>
        <v>61.310000000670392</v>
      </c>
      <c r="F451" s="300"/>
      <c r="G451" s="300">
        <f>SUM(G449:G450)</f>
        <v>40.489000000188177</v>
      </c>
      <c r="H451" s="300">
        <f t="shared" ref="H451" si="1200">SUM(H449:H450)</f>
        <v>7.9340000001133593</v>
      </c>
      <c r="I451" s="300">
        <f t="shared" ref="I451" si="1201">SUM(I449:I450)</f>
        <v>2.7750000000479709</v>
      </c>
      <c r="J451" s="300">
        <f t="shared" si="1194"/>
        <v>51.198000000349509</v>
      </c>
      <c r="K451" s="300"/>
      <c r="L451" s="300">
        <f>SUM(L449:L450)</f>
        <v>40.369999999847778</v>
      </c>
      <c r="M451" s="300">
        <f t="shared" ref="M451" si="1202">SUM(M449:M450)</f>
        <v>7.3359999999279433</v>
      </c>
      <c r="N451" s="300">
        <f t="shared" ref="N451" si="1203">SUM(N449:N450)</f>
        <v>3.4510000000462453</v>
      </c>
      <c r="O451" s="300">
        <f t="shared" si="1195"/>
        <v>51.156999999821963</v>
      </c>
      <c r="P451" s="300"/>
      <c r="Q451" s="300">
        <f>SUM(Q449:Q450)</f>
        <v>42.55199999984405</v>
      </c>
      <c r="R451" s="300">
        <f t="shared" ref="R451" si="1204">SUM(R449:R450)</f>
        <v>7.6469999999071288</v>
      </c>
      <c r="S451" s="300">
        <f t="shared" ref="S451" si="1205">SUM(S449:S450)</f>
        <v>3.5670000001353022</v>
      </c>
      <c r="T451" s="300">
        <f t="shared" si="1196"/>
        <v>53.765999999886482</v>
      </c>
      <c r="U451" s="300"/>
      <c r="V451" s="300">
        <f>SUM(V449:V450)</f>
        <v>45.036999999694544</v>
      </c>
      <c r="W451" s="300">
        <f t="shared" ref="W451" si="1206">SUM(W449:W450)</f>
        <v>7.918999999926756</v>
      </c>
      <c r="X451" s="300">
        <f t="shared" ref="X451" si="1207">SUM(X449:X450)</f>
        <v>3.7730000001082962</v>
      </c>
      <c r="Y451" s="300">
        <f t="shared" si="1197"/>
        <v>56.728999999729595</v>
      </c>
    </row>
    <row r="452" spans="1:25" x14ac:dyDescent="0.2">
      <c r="C452" s="319"/>
      <c r="D452" s="319"/>
      <c r="E452" s="319"/>
      <c r="F452" s="319"/>
      <c r="G452" s="319"/>
      <c r="H452" s="319"/>
      <c r="I452" s="319"/>
      <c r="J452" s="319"/>
      <c r="K452" s="319"/>
      <c r="L452" s="319"/>
      <c r="M452" s="319"/>
      <c r="N452" s="319"/>
      <c r="O452" s="319"/>
      <c r="P452" s="319"/>
      <c r="Q452" s="319"/>
      <c r="R452" s="319"/>
      <c r="S452" s="319"/>
      <c r="T452" s="319"/>
      <c r="U452" s="319"/>
      <c r="V452" s="319"/>
      <c r="W452" s="319"/>
      <c r="X452" s="319"/>
      <c r="Y452" s="319"/>
    </row>
    <row r="453" spans="1:25" x14ac:dyDescent="0.2">
      <c r="A453" s="261" t="str">
        <f>name!A65</f>
        <v>Services to buildings</v>
      </c>
      <c r="C453" s="263"/>
    </row>
    <row r="454" spans="1:25" x14ac:dyDescent="0.2">
      <c r="A454" s="260" t="s">
        <v>356</v>
      </c>
      <c r="B454" s="300">
        <v>50.131000000079304</v>
      </c>
      <c r="C454" s="300">
        <v>67.448000000750909</v>
      </c>
      <c r="D454" s="300">
        <v>9.8580000003269035</v>
      </c>
      <c r="E454" s="300">
        <f>SUM(B454:D454)</f>
        <v>127.43700000115712</v>
      </c>
      <c r="F454" s="300"/>
      <c r="G454" s="300">
        <v>48.906000000032243</v>
      </c>
      <c r="H454" s="300">
        <v>66.59700000056506</v>
      </c>
      <c r="I454" s="300">
        <v>10.502000000316123</v>
      </c>
      <c r="J454" s="300">
        <f>SUM(G454:I454)</f>
        <v>126.00500000091341</v>
      </c>
      <c r="K454" s="300"/>
      <c r="L454" s="300">
        <v>45.695999999687977</v>
      </c>
      <c r="M454" s="300">
        <v>63.203999999444427</v>
      </c>
      <c r="N454" s="300">
        <v>6.668999999815262</v>
      </c>
      <c r="O454" s="300">
        <f>SUM(L454:N454)</f>
        <v>115.56899999894766</v>
      </c>
      <c r="P454" s="300"/>
      <c r="Q454" s="300">
        <v>48.846000000018336</v>
      </c>
      <c r="R454" s="300">
        <v>65.1199999991846</v>
      </c>
      <c r="S454" s="300">
        <v>6.8859999999017205</v>
      </c>
      <c r="T454" s="300">
        <f>SUM(Q454:S454)</f>
        <v>120.85199999910466</v>
      </c>
      <c r="U454" s="300"/>
      <c r="V454" s="300">
        <v>52.597999999723712</v>
      </c>
      <c r="W454" s="300">
        <v>66.248000000037081</v>
      </c>
      <c r="X454" s="300">
        <v>7.3179999999573937</v>
      </c>
      <c r="Y454" s="300">
        <f>SUM(V454:X454)</f>
        <v>126.16399999971819</v>
      </c>
    </row>
    <row r="455" spans="1:25" x14ac:dyDescent="0.2">
      <c r="A455" s="260" t="s">
        <v>355</v>
      </c>
      <c r="B455" s="300">
        <v>31.643000000143367</v>
      </c>
      <c r="C455" s="300">
        <v>22.592000000442582</v>
      </c>
      <c r="D455" s="300">
        <v>4.7820000000821077</v>
      </c>
      <c r="E455" s="300">
        <f t="shared" ref="E455:E456" si="1208">SUM(B455:D455)</f>
        <v>59.017000000668055</v>
      </c>
      <c r="F455" s="300"/>
      <c r="G455" s="300">
        <v>25.743000000084038</v>
      </c>
      <c r="H455" s="300">
        <v>22.417000000299264</v>
      </c>
      <c r="I455" s="300">
        <v>2.2840000000178997</v>
      </c>
      <c r="J455" s="300">
        <f t="shared" ref="J455:J456" si="1209">SUM(G455:I455)</f>
        <v>50.444000000401203</v>
      </c>
      <c r="K455" s="300"/>
      <c r="L455" s="300">
        <v>26.141999999953416</v>
      </c>
      <c r="M455" s="300">
        <v>20.487999999830905</v>
      </c>
      <c r="N455" s="300">
        <v>3.6880000000537594</v>
      </c>
      <c r="O455" s="300">
        <f t="shared" ref="O455:O456" si="1210">SUM(L455:N455)</f>
        <v>50.317999999838079</v>
      </c>
      <c r="P455" s="300"/>
      <c r="Q455" s="300">
        <v>27.449999999926519</v>
      </c>
      <c r="R455" s="300">
        <v>21.468999999789098</v>
      </c>
      <c r="S455" s="300">
        <v>3.8120000001004346</v>
      </c>
      <c r="T455" s="300">
        <f t="shared" ref="T455:T456" si="1211">SUM(Q455:S455)</f>
        <v>52.730999999816049</v>
      </c>
      <c r="U455" s="300"/>
      <c r="V455" s="300">
        <v>28.913999999853665</v>
      </c>
      <c r="W455" s="300">
        <v>22.406999999751054</v>
      </c>
      <c r="X455" s="300">
        <v>4.0280000000491434</v>
      </c>
      <c r="Y455" s="300">
        <f t="shared" ref="Y455:Y456" si="1212">SUM(V455:X455)</f>
        <v>55.34899999965387</v>
      </c>
    </row>
    <row r="456" spans="1:25" x14ac:dyDescent="0.2">
      <c r="A456" s="260" t="s">
        <v>354</v>
      </c>
      <c r="B456" s="300">
        <f>SUM(B454:B455)</f>
        <v>81.774000000222671</v>
      </c>
      <c r="C456" s="300">
        <f t="shared" ref="C456" si="1213">SUM(C454:C455)</f>
        <v>90.040000001193491</v>
      </c>
      <c r="D456" s="300">
        <f t="shared" ref="D456" si="1214">SUM(D454:D455)</f>
        <v>14.64000000040901</v>
      </c>
      <c r="E456" s="300">
        <f t="shared" si="1208"/>
        <v>186.45400000182516</v>
      </c>
      <c r="F456" s="300"/>
      <c r="G456" s="300">
        <f>SUM(G454:G455)</f>
        <v>74.649000000116274</v>
      </c>
      <c r="H456" s="300">
        <f t="shared" ref="H456" si="1215">SUM(H454:H455)</f>
        <v>89.014000000864328</v>
      </c>
      <c r="I456" s="300">
        <f t="shared" ref="I456" si="1216">SUM(I454:I455)</f>
        <v>12.786000000334022</v>
      </c>
      <c r="J456" s="300">
        <f t="shared" si="1209"/>
        <v>176.44900000131463</v>
      </c>
      <c r="K456" s="300"/>
      <c r="L456" s="300">
        <f>SUM(L454:L455)</f>
        <v>71.837999999641397</v>
      </c>
      <c r="M456" s="300">
        <f t="shared" ref="M456" si="1217">SUM(M454:M455)</f>
        <v>83.691999999275339</v>
      </c>
      <c r="N456" s="300">
        <f t="shared" ref="N456" si="1218">SUM(N454:N455)</f>
        <v>10.356999999869021</v>
      </c>
      <c r="O456" s="300">
        <f t="shared" si="1210"/>
        <v>165.88699999878577</v>
      </c>
      <c r="P456" s="300"/>
      <c r="Q456" s="300">
        <f>SUM(Q454:Q455)</f>
        <v>76.295999999944854</v>
      </c>
      <c r="R456" s="300">
        <f t="shared" ref="R456" si="1219">SUM(R454:R455)</f>
        <v>86.588999998973691</v>
      </c>
      <c r="S456" s="300">
        <f t="shared" ref="S456" si="1220">SUM(S454:S455)</f>
        <v>10.698000000002155</v>
      </c>
      <c r="T456" s="300">
        <f t="shared" si="1211"/>
        <v>173.58299999892071</v>
      </c>
      <c r="U456" s="300"/>
      <c r="V456" s="300">
        <f>SUM(V454:V455)</f>
        <v>81.51199999957737</v>
      </c>
      <c r="W456" s="300">
        <f t="shared" ref="W456" si="1221">SUM(W454:W455)</f>
        <v>88.654999999788132</v>
      </c>
      <c r="X456" s="300">
        <f t="shared" ref="X456" si="1222">SUM(X454:X455)</f>
        <v>11.346000000006537</v>
      </c>
      <c r="Y456" s="300">
        <f t="shared" si="1212"/>
        <v>181.51299999937203</v>
      </c>
    </row>
    <row r="457" spans="1:25" x14ac:dyDescent="0.2">
      <c r="C457" s="319"/>
      <c r="D457" s="319"/>
      <c r="E457" s="319"/>
      <c r="F457" s="319"/>
      <c r="G457" s="319"/>
      <c r="H457" s="319"/>
      <c r="I457" s="319"/>
      <c r="J457" s="319"/>
      <c r="K457" s="319"/>
      <c r="L457" s="319"/>
      <c r="M457" s="319"/>
      <c r="N457" s="319"/>
      <c r="O457" s="319"/>
      <c r="P457" s="319"/>
      <c r="Q457" s="319"/>
      <c r="R457" s="319"/>
      <c r="S457" s="319"/>
      <c r="T457" s="319"/>
      <c r="U457" s="319"/>
      <c r="V457" s="319"/>
      <c r="W457" s="319"/>
      <c r="X457" s="319"/>
      <c r="Y457" s="319"/>
    </row>
    <row r="458" spans="1:25" x14ac:dyDescent="0.2">
      <c r="A458" s="261" t="str">
        <f>name!A66</f>
        <v>Office administrative</v>
      </c>
      <c r="C458" s="263"/>
    </row>
    <row r="459" spans="1:25" x14ac:dyDescent="0.2">
      <c r="A459" s="260" t="s">
        <v>356</v>
      </c>
      <c r="B459" s="300">
        <v>18.120000000044662</v>
      </c>
      <c r="C459" s="300">
        <v>6.2430000000815005</v>
      </c>
      <c r="D459" s="300">
        <v>5.5570000002172284</v>
      </c>
      <c r="E459" s="300">
        <f>SUM(B459:D459)</f>
        <v>29.920000000343393</v>
      </c>
      <c r="F459" s="300"/>
      <c r="G459" s="300">
        <v>29.568000000033582</v>
      </c>
      <c r="H459" s="300">
        <v>11.322000000109158</v>
      </c>
      <c r="I459" s="300">
        <v>9.9630000003568639</v>
      </c>
      <c r="J459" s="300">
        <f>SUM(G459:I459)</f>
        <v>50.853000000499605</v>
      </c>
      <c r="K459" s="300"/>
      <c r="L459" s="300">
        <v>27.626999999814977</v>
      </c>
      <c r="M459" s="300">
        <v>10.744999999902934</v>
      </c>
      <c r="N459" s="300">
        <v>6.3269999997846549</v>
      </c>
      <c r="O459" s="300">
        <f>SUM(L459:N459)</f>
        <v>44.698999999502568</v>
      </c>
      <c r="P459" s="300"/>
      <c r="Q459" s="300">
        <v>29.531999999996909</v>
      </c>
      <c r="R459" s="300">
        <v>11.06999999985511</v>
      </c>
      <c r="S459" s="300">
        <v>6.5329999998727741</v>
      </c>
      <c r="T459" s="300">
        <f>SUM(Q459:S459)</f>
        <v>47.134999999724791</v>
      </c>
      <c r="U459" s="300"/>
      <c r="V459" s="300">
        <v>31.799999999831183</v>
      </c>
      <c r="W459" s="300">
        <v>11.262000000008307</v>
      </c>
      <c r="X459" s="300">
        <v>6.9429999999420424</v>
      </c>
      <c r="Y459" s="300">
        <f>SUM(V459:X459)</f>
        <v>50.004999999781532</v>
      </c>
    </row>
    <row r="460" spans="1:25" x14ac:dyDescent="0.2">
      <c r="A460" s="260" t="s">
        <v>355</v>
      </c>
      <c r="B460" s="300">
        <v>50.320000000412392</v>
      </c>
      <c r="C460" s="300">
        <v>8.6860000002098978</v>
      </c>
      <c r="D460" s="300">
        <v>3.177000000071561</v>
      </c>
      <c r="E460" s="300">
        <f t="shared" ref="E460:E461" si="1223">SUM(B460:D460)</f>
        <v>62.183000000693852</v>
      </c>
      <c r="F460" s="300"/>
      <c r="G460" s="300">
        <v>68.475000000389059</v>
      </c>
      <c r="H460" s="300">
        <v>15.829000000258509</v>
      </c>
      <c r="I460" s="300">
        <v>2.5540000000152565</v>
      </c>
      <c r="J460" s="300">
        <f t="shared" ref="J460:J461" si="1224">SUM(G460:I460)</f>
        <v>86.858000000662813</v>
      </c>
      <c r="K460" s="300"/>
      <c r="L460" s="300">
        <v>69.53499999979293</v>
      </c>
      <c r="M460" s="300">
        <v>14.466999999852685</v>
      </c>
      <c r="N460" s="300">
        <v>4.1240000001022228</v>
      </c>
      <c r="O460" s="300">
        <f t="shared" ref="O460:O461" si="1225">SUM(L460:N460)</f>
        <v>88.125999999747847</v>
      </c>
      <c r="P460" s="300"/>
      <c r="Q460" s="300">
        <v>73.014999999660688</v>
      </c>
      <c r="R460" s="300">
        <v>15.158999999822312</v>
      </c>
      <c r="S460" s="300">
        <v>4.2620000002203406</v>
      </c>
      <c r="T460" s="300">
        <f t="shared" ref="T460:T461" si="1226">SUM(Q460:S460)</f>
        <v>92.435999999703341</v>
      </c>
      <c r="U460" s="300"/>
      <c r="V460" s="300">
        <v>76.908999999446536</v>
      </c>
      <c r="W460" s="300">
        <v>15.821999999784531</v>
      </c>
      <c r="X460" s="300">
        <v>4.5040000001695111</v>
      </c>
      <c r="Y460" s="300">
        <f t="shared" ref="Y460:Y461" si="1227">SUM(V460:X460)</f>
        <v>97.234999999400586</v>
      </c>
    </row>
    <row r="461" spans="1:25" x14ac:dyDescent="0.2">
      <c r="A461" s="260" t="s">
        <v>354</v>
      </c>
      <c r="B461" s="300">
        <f>SUM(B459:B460)</f>
        <v>68.440000000457047</v>
      </c>
      <c r="C461" s="300">
        <f t="shared" ref="C461" si="1228">SUM(C459:C460)</f>
        <v>14.929000000291399</v>
      </c>
      <c r="D461" s="300">
        <f t="shared" ref="D461" si="1229">SUM(D459:D460)</f>
        <v>8.7340000002887894</v>
      </c>
      <c r="E461" s="300">
        <f t="shared" si="1223"/>
        <v>92.103000001037231</v>
      </c>
      <c r="F461" s="300"/>
      <c r="G461" s="300">
        <f>SUM(G459:G460)</f>
        <v>98.043000000422637</v>
      </c>
      <c r="H461" s="300">
        <f t="shared" ref="H461" si="1230">SUM(H459:H460)</f>
        <v>27.151000000367667</v>
      </c>
      <c r="I461" s="300">
        <f t="shared" ref="I461" si="1231">SUM(I459:I460)</f>
        <v>12.517000000372121</v>
      </c>
      <c r="J461" s="300">
        <f t="shared" si="1224"/>
        <v>137.71100000116243</v>
      </c>
      <c r="K461" s="300"/>
      <c r="L461" s="300">
        <f>SUM(L459:L460)</f>
        <v>97.1619999996079</v>
      </c>
      <c r="M461" s="300">
        <f t="shared" ref="M461" si="1232">SUM(M459:M460)</f>
        <v>25.211999999755619</v>
      </c>
      <c r="N461" s="300">
        <f t="shared" ref="N461" si="1233">SUM(N459:N460)</f>
        <v>10.450999999886879</v>
      </c>
      <c r="O461" s="300">
        <f t="shared" si="1225"/>
        <v>132.82499999925039</v>
      </c>
      <c r="P461" s="300"/>
      <c r="Q461" s="300">
        <f>SUM(Q459:Q460)</f>
        <v>102.5469999996576</v>
      </c>
      <c r="R461" s="300">
        <f t="shared" ref="R461" si="1234">SUM(R459:R460)</f>
        <v>26.22899999967742</v>
      </c>
      <c r="S461" s="300">
        <f t="shared" ref="S461" si="1235">SUM(S459:S460)</f>
        <v>10.795000000093115</v>
      </c>
      <c r="T461" s="300">
        <f t="shared" si="1226"/>
        <v>139.57099999942815</v>
      </c>
      <c r="U461" s="300"/>
      <c r="V461" s="300">
        <f>SUM(V459:V460)</f>
        <v>108.70899999927772</v>
      </c>
      <c r="W461" s="300">
        <f t="shared" ref="W461" si="1236">SUM(W459:W460)</f>
        <v>27.083999999792837</v>
      </c>
      <c r="X461" s="300">
        <f t="shared" ref="X461" si="1237">SUM(X459:X460)</f>
        <v>11.447000000111554</v>
      </c>
      <c r="Y461" s="300">
        <f t="shared" si="1227"/>
        <v>147.23999999918212</v>
      </c>
    </row>
    <row r="462" spans="1:25" x14ac:dyDescent="0.2">
      <c r="C462" s="319"/>
      <c r="D462" s="319"/>
      <c r="E462" s="319"/>
      <c r="F462" s="319"/>
      <c r="G462" s="319"/>
      <c r="H462" s="319"/>
      <c r="I462" s="319"/>
      <c r="J462" s="319"/>
      <c r="K462" s="319"/>
      <c r="L462" s="319"/>
      <c r="M462" s="319"/>
      <c r="N462" s="319"/>
      <c r="O462" s="319"/>
      <c r="P462" s="319"/>
      <c r="Q462" s="319"/>
      <c r="R462" s="319"/>
      <c r="S462" s="319"/>
      <c r="T462" s="319"/>
      <c r="U462" s="319"/>
      <c r="V462" s="319"/>
      <c r="W462" s="319"/>
      <c r="X462" s="319"/>
      <c r="Y462" s="319"/>
    </row>
    <row r="463" spans="1:25" x14ac:dyDescent="0.2">
      <c r="A463" s="261" t="s">
        <v>360</v>
      </c>
      <c r="C463" s="263"/>
    </row>
    <row r="464" spans="1:25" x14ac:dyDescent="0.2">
      <c r="A464" s="260" t="s">
        <v>356</v>
      </c>
      <c r="B464" s="300">
        <f>SUM(B434,B439,B444,B449,B454,B459)</f>
        <v>121.11900000019276</v>
      </c>
      <c r="C464" s="300">
        <f t="shared" ref="C464:D465" si="1238">SUM(C434,C439,C444,C449,C454,C459)</f>
        <v>102.08000000118292</v>
      </c>
      <c r="D464" s="300">
        <f t="shared" si="1238"/>
        <v>31.361000001080399</v>
      </c>
      <c r="E464" s="300">
        <f>SUM(B464:D464)</f>
        <v>254.56000000245609</v>
      </c>
      <c r="F464" s="300"/>
      <c r="G464" s="300">
        <f>SUM(G434,G439,G444,G449,G454,G459)</f>
        <v>136.40000000004986</v>
      </c>
      <c r="H464" s="300">
        <f t="shared" ref="H464:I464" si="1239">SUM(H434,H439,H444,H449,H454,H459)</f>
        <v>110.20100000097686</v>
      </c>
      <c r="I464" s="300">
        <f t="shared" si="1239"/>
        <v>39.884000001277606</v>
      </c>
      <c r="J464" s="300">
        <f>SUM(G464:I464)</f>
        <v>286.48500000230433</v>
      </c>
      <c r="K464" s="300"/>
      <c r="L464" s="300">
        <f>SUM(L434,L439,L444,L449,L454,L459)</f>
        <v>127.44799999912442</v>
      </c>
      <c r="M464" s="300">
        <f t="shared" ref="M464:N464" si="1240">SUM(M434,M439,M444,M449,M454,M459)</f>
        <v>104.58499999910755</v>
      </c>
      <c r="N464" s="300">
        <f t="shared" si="1240"/>
        <v>25.327999999231341</v>
      </c>
      <c r="O464" s="300">
        <f>SUM(L464:N464)</f>
        <v>257.3609999974633</v>
      </c>
      <c r="P464" s="300"/>
      <c r="Q464" s="300">
        <f>SUM(Q434,Q439,Q444,Q449,Q454,Q459)</f>
        <v>136.23300000016181</v>
      </c>
      <c r="R464" s="300">
        <f t="shared" ref="R464:S464" si="1241">SUM(R434,R439,R444,R449,R454,R459)</f>
        <v>107.75499999870182</v>
      </c>
      <c r="S464" s="300">
        <f t="shared" si="1241"/>
        <v>26.151999999581133</v>
      </c>
      <c r="T464" s="300">
        <f>SUM(Q464:S464)</f>
        <v>270.13999999844475</v>
      </c>
      <c r="U464" s="300"/>
      <c r="V464" s="300">
        <f>SUM(V434,V439,V444,V449,V454,V459)</f>
        <v>146.69599999924628</v>
      </c>
      <c r="W464" s="300">
        <f t="shared" ref="W464:X464" si="1242">SUM(W434,W439,W444,W449,W454,W459)</f>
        <v>109.62200000005566</v>
      </c>
      <c r="X464" s="300">
        <f t="shared" si="1242"/>
        <v>27.793999999802214</v>
      </c>
      <c r="Y464" s="300">
        <f>SUM(V464:X464)</f>
        <v>284.11199999910417</v>
      </c>
    </row>
    <row r="465" spans="1:25" x14ac:dyDescent="0.2">
      <c r="A465" s="260" t="s">
        <v>355</v>
      </c>
      <c r="B465" s="300">
        <f>SUM(B435,B440,B445,B450,B455,B460)</f>
        <v>217.43600000165921</v>
      </c>
      <c r="C465" s="300">
        <f t="shared" si="1238"/>
        <v>79.77600000179757</v>
      </c>
      <c r="D465" s="300">
        <f t="shared" si="1238"/>
        <v>18.645000000387437</v>
      </c>
      <c r="E465" s="300">
        <f t="shared" ref="E465:E466" si="1243">SUM(B465:D465)</f>
        <v>315.85700000384418</v>
      </c>
      <c r="F465" s="300"/>
      <c r="G465" s="300">
        <f>SUM(G435,G440,G445,G450,G455,G460)</f>
        <v>220.65900000118438</v>
      </c>
      <c r="H465" s="300">
        <f t="shared" ref="H465:I465" si="1244">SUM(H435,H440,H445,H450,H455,H460)</f>
        <v>92.687000001439259</v>
      </c>
      <c r="I465" s="300">
        <f t="shared" si="1244"/>
        <v>10.54700000003881</v>
      </c>
      <c r="J465" s="300">
        <f t="shared" ref="J465:J466" si="1245">SUM(G465:I465)</f>
        <v>323.89300000266246</v>
      </c>
      <c r="K465" s="300"/>
      <c r="L465" s="300">
        <f>SUM(L435,L440,L445,L450,L455,L460)</f>
        <v>224.07699999922272</v>
      </c>
      <c r="M465" s="300">
        <f t="shared" ref="M465:N465" si="1246">SUM(M435,M440,M445,M450,M455,M460)</f>
        <v>84.713999999170326</v>
      </c>
      <c r="N465" s="300">
        <f t="shared" si="1246"/>
        <v>17.031000000456757</v>
      </c>
      <c r="O465" s="300">
        <f t="shared" ref="O465:O466" si="1247">SUM(L465:N465)</f>
        <v>325.82199999884978</v>
      </c>
      <c r="P465" s="300"/>
      <c r="Q465" s="300">
        <f>SUM(Q435,Q440,Q445,Q450,Q455,Q460)</f>
        <v>235.28999999894216</v>
      </c>
      <c r="R465" s="300">
        <f t="shared" ref="R465:S465" si="1248">SUM(R435,R440,R445,R450,R455,R460)</f>
        <v>88.767999998996217</v>
      </c>
      <c r="S465" s="300">
        <f t="shared" si="1248"/>
        <v>17.604000000990368</v>
      </c>
      <c r="T465" s="300">
        <f t="shared" ref="T465:T466" si="1249">SUM(Q465:S465)</f>
        <v>341.66199999892876</v>
      </c>
      <c r="U465" s="300"/>
      <c r="V465" s="300">
        <f>SUM(V435,V440,V445,V450,V455,V460)</f>
        <v>247.83899999824115</v>
      </c>
      <c r="W465" s="300">
        <f t="shared" ref="W465:X465" si="1250">SUM(W435,W440,W445,W450,W455,W460)</f>
        <v>92.646999998810401</v>
      </c>
      <c r="X465" s="300">
        <f t="shared" si="1250"/>
        <v>18.602000000805365</v>
      </c>
      <c r="Y465" s="300">
        <f t="shared" ref="Y465:Y466" si="1251">SUM(V465:X465)</f>
        <v>359.08799999785691</v>
      </c>
    </row>
    <row r="466" spans="1:25" x14ac:dyDescent="0.2">
      <c r="A466" s="264" t="s">
        <v>354</v>
      </c>
      <c r="B466" s="301">
        <f>SUM(B464:B465)</f>
        <v>338.55500000185197</v>
      </c>
      <c r="C466" s="301">
        <f t="shared" ref="C466" si="1252">SUM(C464:C465)</f>
        <v>181.85600000298049</v>
      </c>
      <c r="D466" s="301">
        <f t="shared" ref="D466" si="1253">SUM(D464:D465)</f>
        <v>50.006000001467839</v>
      </c>
      <c r="E466" s="301">
        <f t="shared" si="1243"/>
        <v>570.41700000630021</v>
      </c>
      <c r="F466" s="301"/>
      <c r="G466" s="301">
        <f>SUM(G464:G465)</f>
        <v>357.05900000123427</v>
      </c>
      <c r="H466" s="301">
        <f t="shared" ref="H466" si="1254">SUM(H464:H465)</f>
        <v>202.88800000241611</v>
      </c>
      <c r="I466" s="301">
        <f t="shared" ref="I466" si="1255">SUM(I464:I465)</f>
        <v>50.43100000131642</v>
      </c>
      <c r="J466" s="301">
        <f t="shared" si="1245"/>
        <v>610.37800000496679</v>
      </c>
      <c r="K466" s="301"/>
      <c r="L466" s="301">
        <f>SUM(L464:L465)</f>
        <v>351.52499999834714</v>
      </c>
      <c r="M466" s="301">
        <f t="shared" ref="M466" si="1256">SUM(M464:M465)</f>
        <v>189.29899999827788</v>
      </c>
      <c r="N466" s="301">
        <f t="shared" ref="N466" si="1257">SUM(N464:N465)</f>
        <v>42.358999999688095</v>
      </c>
      <c r="O466" s="301">
        <f t="shared" si="1247"/>
        <v>583.18299999631313</v>
      </c>
      <c r="P466" s="301"/>
      <c r="Q466" s="301">
        <f>SUM(Q464:Q465)</f>
        <v>371.52299999910394</v>
      </c>
      <c r="R466" s="301">
        <f t="shared" ref="R466" si="1258">SUM(R464:R465)</f>
        <v>196.52299999769804</v>
      </c>
      <c r="S466" s="301">
        <f t="shared" ref="S466" si="1259">SUM(S464:S465)</f>
        <v>43.756000000571504</v>
      </c>
      <c r="T466" s="301">
        <f t="shared" si="1249"/>
        <v>611.80199999737351</v>
      </c>
      <c r="U466" s="301"/>
      <c r="V466" s="301">
        <f>SUM(V464:V465)</f>
        <v>394.53499999748743</v>
      </c>
      <c r="W466" s="301">
        <f t="shared" ref="W466" si="1260">SUM(W464:W465)</f>
        <v>202.26899999886606</v>
      </c>
      <c r="X466" s="301">
        <f t="shared" ref="X466" si="1261">SUM(X464:X465)</f>
        <v>46.396000000607579</v>
      </c>
      <c r="Y466" s="301">
        <f t="shared" si="1251"/>
        <v>643.19999999696108</v>
      </c>
    </row>
    <row r="467" spans="1:25" x14ac:dyDescent="0.2">
      <c r="C467" s="263"/>
    </row>
    <row r="468" spans="1:25" x14ac:dyDescent="0.2">
      <c r="A468" s="261"/>
    </row>
    <row r="469" spans="1:25" x14ac:dyDescent="0.2">
      <c r="C469" s="263"/>
    </row>
    <row r="470" spans="1:25" ht="15" x14ac:dyDescent="0.25">
      <c r="A470" s="265" t="str">
        <f>"Industry 18 : "&amp; name!B21</f>
        <v>Industry 18 : Public admin. and defence</v>
      </c>
      <c r="B470" s="371">
        <f>$B$5</f>
        <v>2015</v>
      </c>
      <c r="C470" s="371"/>
      <c r="D470" s="371"/>
      <c r="E470" s="371"/>
      <c r="F470" s="320"/>
      <c r="G470" s="371">
        <f>$G$5</f>
        <v>2019</v>
      </c>
      <c r="H470" s="371"/>
      <c r="I470" s="371"/>
      <c r="J470" s="371"/>
      <c r="K470" s="320"/>
      <c r="L470" s="371">
        <f>$L$5</f>
        <v>2020</v>
      </c>
      <c r="M470" s="371"/>
      <c r="N470" s="371"/>
      <c r="O470" s="371"/>
      <c r="P470" s="318"/>
      <c r="Q470" s="371">
        <f>$Q$5</f>
        <v>2025</v>
      </c>
      <c r="R470" s="371"/>
      <c r="S470" s="371"/>
      <c r="T470" s="371"/>
      <c r="U470" s="320"/>
      <c r="V470" s="371">
        <f>$V$5</f>
        <v>2035</v>
      </c>
      <c r="W470" s="371"/>
      <c r="X470" s="371"/>
      <c r="Y470" s="371"/>
    </row>
    <row r="471" spans="1:25" x14ac:dyDescent="0.2">
      <c r="A471" s="264"/>
      <c r="B471" s="268" t="str">
        <f>$B$6</f>
        <v>FT</v>
      </c>
      <c r="C471" s="268" t="str">
        <f>$C$6</f>
        <v>PT</v>
      </c>
      <c r="D471" s="268" t="str">
        <f>$D$6</f>
        <v>SE</v>
      </c>
      <c r="E471" s="268" t="str">
        <f>$E$6</f>
        <v>Total</v>
      </c>
      <c r="F471" s="268"/>
      <c r="G471" s="268" t="str">
        <f>$B$6</f>
        <v>FT</v>
      </c>
      <c r="H471" s="268" t="str">
        <f>$C$6</f>
        <v>PT</v>
      </c>
      <c r="I471" s="268" t="str">
        <f>$D$6</f>
        <v>SE</v>
      </c>
      <c r="J471" s="268" t="str">
        <f>$E$6</f>
        <v>Total</v>
      </c>
      <c r="K471" s="268"/>
      <c r="L471" s="268" t="str">
        <f>$L$6</f>
        <v>FT</v>
      </c>
      <c r="M471" s="268" t="str">
        <f>$M$6</f>
        <v>PT</v>
      </c>
      <c r="N471" s="268" t="str">
        <f>$N$6</f>
        <v>SE</v>
      </c>
      <c r="O471" s="268" t="str">
        <f>$O$6</f>
        <v>Total</v>
      </c>
      <c r="P471" s="268"/>
      <c r="Q471" s="268" t="str">
        <f>$L$6</f>
        <v>FT</v>
      </c>
      <c r="R471" s="268" t="str">
        <f>$M$6</f>
        <v>PT</v>
      </c>
      <c r="S471" s="268" t="str">
        <f>$N$6</f>
        <v>SE</v>
      </c>
      <c r="T471" s="268" t="str">
        <f>$O$6</f>
        <v>Total</v>
      </c>
      <c r="U471" s="268"/>
      <c r="V471" s="268" t="str">
        <f>$V$6</f>
        <v>FT</v>
      </c>
      <c r="W471" s="268" t="str">
        <f>$W$6</f>
        <v>PT</v>
      </c>
      <c r="X471" s="268" t="str">
        <f>$X$6</f>
        <v>SE</v>
      </c>
      <c r="Y471" s="268" t="str">
        <f>$Y$6</f>
        <v>Total</v>
      </c>
    </row>
    <row r="472" spans="1:25" x14ac:dyDescent="0.2">
      <c r="A472" s="262"/>
      <c r="C472" s="319"/>
      <c r="D472" s="319"/>
      <c r="E472" s="319"/>
      <c r="F472" s="319"/>
      <c r="G472" s="319"/>
      <c r="H472" s="319"/>
      <c r="I472" s="319"/>
      <c r="J472" s="319"/>
      <c r="K472" s="319"/>
      <c r="L472" s="319"/>
      <c r="M472" s="319"/>
      <c r="N472" s="319"/>
      <c r="O472" s="319"/>
      <c r="P472" s="319"/>
      <c r="Q472" s="319"/>
      <c r="R472" s="319"/>
      <c r="S472" s="319"/>
      <c r="T472" s="319"/>
      <c r="U472" s="319"/>
      <c r="V472" s="319"/>
      <c r="W472" s="319"/>
      <c r="X472" s="319"/>
      <c r="Y472" s="319"/>
    </row>
    <row r="473" spans="1:25" x14ac:dyDescent="0.2">
      <c r="A473" s="261" t="str">
        <f>name!A67</f>
        <v>Public administration and defence</v>
      </c>
      <c r="C473" s="263"/>
    </row>
    <row r="474" spans="1:25" x14ac:dyDescent="0.2">
      <c r="A474" s="260" t="s">
        <v>356</v>
      </c>
      <c r="B474" s="300">
        <v>73.020999999511361</v>
      </c>
      <c r="C474" s="300">
        <v>41.241999999748394</v>
      </c>
      <c r="D474" s="300">
        <v>1.723999999951241</v>
      </c>
      <c r="E474" s="300">
        <f>SUM(B474:D474)</f>
        <v>115.98699999921101</v>
      </c>
      <c r="F474" s="300"/>
      <c r="G474" s="300">
        <v>82.796999999605205</v>
      </c>
      <c r="H474" s="300">
        <v>38.030999999836858</v>
      </c>
      <c r="I474" s="300">
        <v>4.8219999998894458</v>
      </c>
      <c r="J474" s="300">
        <f>SUM(G474:I474)</f>
        <v>125.6499999993315</v>
      </c>
      <c r="K474" s="300"/>
      <c r="L474" s="300">
        <v>88.15600000063931</v>
      </c>
      <c r="M474" s="300">
        <v>39.448999999850678</v>
      </c>
      <c r="N474" s="300">
        <v>6.7960000001735761</v>
      </c>
      <c r="O474" s="300">
        <f>SUM(L474:N474)</f>
        <v>134.40100000066354</v>
      </c>
      <c r="P474" s="300"/>
      <c r="Q474" s="300">
        <v>90.312000000384373</v>
      </c>
      <c r="R474" s="300">
        <v>40.496999999843119</v>
      </c>
      <c r="S474" s="300">
        <v>6.971000000150867</v>
      </c>
      <c r="T474" s="300">
        <f>SUM(Q474:S474)</f>
        <v>137.78000000037835</v>
      </c>
      <c r="U474" s="300"/>
      <c r="V474" s="300">
        <v>90.904000000343302</v>
      </c>
      <c r="W474" s="300">
        <v>40.780000000005799</v>
      </c>
      <c r="X474" s="300">
        <v>7.0750000000350663</v>
      </c>
      <c r="Y474" s="300">
        <f>SUM(V474:X474)</f>
        <v>138.75900000038416</v>
      </c>
    </row>
    <row r="475" spans="1:25" x14ac:dyDescent="0.2">
      <c r="A475" s="260" t="s">
        <v>355</v>
      </c>
      <c r="B475" s="300">
        <v>91.689999998850482</v>
      </c>
      <c r="C475" s="300">
        <v>8.1639999999059931</v>
      </c>
      <c r="D475" s="300">
        <v>2.059000000011566</v>
      </c>
      <c r="E475" s="300">
        <f t="shared" ref="E475:E476" si="1262">SUM(B475:D475)</f>
        <v>101.91299999876804</v>
      </c>
      <c r="F475" s="300"/>
      <c r="G475" s="300">
        <v>101.86899999903277</v>
      </c>
      <c r="H475" s="300">
        <v>7.9369999999284317</v>
      </c>
      <c r="I475" s="300">
        <v>4.7759999999564462</v>
      </c>
      <c r="J475" s="300">
        <f t="shared" ref="J475:J476" si="1263">SUM(G475:I475)</f>
        <v>114.58199999891764</v>
      </c>
      <c r="K475" s="300"/>
      <c r="L475" s="300">
        <v>105.65300000088767</v>
      </c>
      <c r="M475" s="300">
        <v>8.751000000067112</v>
      </c>
      <c r="N475" s="300">
        <v>6.2450000002564723</v>
      </c>
      <c r="O475" s="300">
        <f t="shared" ref="O475:O476" si="1264">SUM(L475:N475)</f>
        <v>120.64900000121125</v>
      </c>
      <c r="P475" s="300"/>
      <c r="Q475" s="300">
        <v>106.05200000109546</v>
      </c>
      <c r="R475" s="300">
        <v>9.4480000000454076</v>
      </c>
      <c r="S475" s="300">
        <v>6.4040000004852873</v>
      </c>
      <c r="T475" s="300">
        <f t="shared" ref="T475:T476" si="1265">SUM(Q475:S475)</f>
        <v>121.90400000162616</v>
      </c>
      <c r="U475" s="300"/>
      <c r="V475" s="300">
        <v>102.40000000169825</v>
      </c>
      <c r="W475" s="300">
        <v>10.490000000053968</v>
      </c>
      <c r="X475" s="300">
        <v>6.5150000003613684</v>
      </c>
      <c r="Y475" s="300">
        <f t="shared" ref="Y475:Y476" si="1266">SUM(V475:X475)</f>
        <v>119.40500000211358</v>
      </c>
    </row>
    <row r="476" spans="1:25" x14ac:dyDescent="0.2">
      <c r="A476" s="264" t="s">
        <v>354</v>
      </c>
      <c r="B476" s="301">
        <f>SUM(B474:B475)</f>
        <v>164.71099999836184</v>
      </c>
      <c r="C476" s="301">
        <f t="shared" ref="C476" si="1267">SUM(C474:C475)</f>
        <v>49.405999999654384</v>
      </c>
      <c r="D476" s="301">
        <f t="shared" ref="D476" si="1268">SUM(D474:D475)</f>
        <v>3.782999999962807</v>
      </c>
      <c r="E476" s="301">
        <f t="shared" si="1262"/>
        <v>217.89999999797905</v>
      </c>
      <c r="F476" s="301"/>
      <c r="G476" s="301">
        <f>SUM(G474:G475)</f>
        <v>184.66599999863797</v>
      </c>
      <c r="H476" s="301">
        <f t="shared" ref="H476" si="1269">SUM(H474:H475)</f>
        <v>45.96799999976529</v>
      </c>
      <c r="I476" s="301">
        <f t="shared" ref="I476" si="1270">SUM(I474:I475)</f>
        <v>9.5979999998458929</v>
      </c>
      <c r="J476" s="301">
        <f t="shared" si="1263"/>
        <v>240.23199999824914</v>
      </c>
      <c r="K476" s="301"/>
      <c r="L476" s="301">
        <f>SUM(L474:L475)</f>
        <v>193.80900000152698</v>
      </c>
      <c r="M476" s="301">
        <f t="shared" ref="M476" si="1271">SUM(M474:M475)</f>
        <v>48.199999999917793</v>
      </c>
      <c r="N476" s="301">
        <f t="shared" ref="N476" si="1272">SUM(N474:N475)</f>
        <v>13.041000000430049</v>
      </c>
      <c r="O476" s="301">
        <f t="shared" si="1264"/>
        <v>255.05000000187482</v>
      </c>
      <c r="P476" s="301"/>
      <c r="Q476" s="301">
        <f>SUM(Q474:Q475)</f>
        <v>196.36400000147984</v>
      </c>
      <c r="R476" s="301">
        <f t="shared" ref="R476" si="1273">SUM(R474:R475)</f>
        <v>49.944999999888523</v>
      </c>
      <c r="S476" s="301">
        <f t="shared" ref="S476" si="1274">SUM(S474:S475)</f>
        <v>13.375000000636154</v>
      </c>
      <c r="T476" s="301">
        <f t="shared" si="1265"/>
        <v>259.6840000020045</v>
      </c>
      <c r="U476" s="301"/>
      <c r="V476" s="301">
        <f>SUM(V474:V475)</f>
        <v>193.30400000204156</v>
      </c>
      <c r="W476" s="301">
        <f t="shared" ref="W476" si="1275">SUM(W474:W475)</f>
        <v>51.270000000059767</v>
      </c>
      <c r="X476" s="301">
        <f t="shared" ref="X476" si="1276">SUM(X474:X475)</f>
        <v>13.590000000396435</v>
      </c>
      <c r="Y476" s="301">
        <f t="shared" si="1266"/>
        <v>258.1640000024978</v>
      </c>
    </row>
    <row r="480" spans="1:25" ht="15" x14ac:dyDescent="0.25">
      <c r="A480" s="265" t="str">
        <f>"Industry 19 : "&amp; name!B22</f>
        <v>Industry 19 : Education</v>
      </c>
      <c r="B480" s="371">
        <f>$B$5</f>
        <v>2015</v>
      </c>
      <c r="C480" s="371"/>
      <c r="D480" s="371"/>
      <c r="E480" s="371"/>
      <c r="F480" s="320"/>
      <c r="G480" s="371">
        <f>$G$5</f>
        <v>2019</v>
      </c>
      <c r="H480" s="371"/>
      <c r="I480" s="371"/>
      <c r="J480" s="371"/>
      <c r="K480" s="320"/>
      <c r="L480" s="371">
        <f>$L$5</f>
        <v>2020</v>
      </c>
      <c r="M480" s="371"/>
      <c r="N480" s="371"/>
      <c r="O480" s="371"/>
      <c r="P480" s="318"/>
      <c r="Q480" s="371">
        <f>$Q$5</f>
        <v>2025</v>
      </c>
      <c r="R480" s="371"/>
      <c r="S480" s="371"/>
      <c r="T480" s="371"/>
      <c r="U480" s="320"/>
      <c r="V480" s="371">
        <f>$V$5</f>
        <v>2035</v>
      </c>
      <c r="W480" s="371"/>
      <c r="X480" s="371"/>
      <c r="Y480" s="371"/>
    </row>
    <row r="481" spans="1:25" x14ac:dyDescent="0.2">
      <c r="A481" s="264"/>
      <c r="B481" s="268" t="str">
        <f>$B$6</f>
        <v>FT</v>
      </c>
      <c r="C481" s="268" t="str">
        <f>$C$6</f>
        <v>PT</v>
      </c>
      <c r="D481" s="268" t="str">
        <f>$D$6</f>
        <v>SE</v>
      </c>
      <c r="E481" s="268" t="str">
        <f>$E$6</f>
        <v>Total</v>
      </c>
      <c r="F481" s="268"/>
      <c r="G481" s="268" t="str">
        <f>$B$6</f>
        <v>FT</v>
      </c>
      <c r="H481" s="268" t="str">
        <f>$C$6</f>
        <v>PT</v>
      </c>
      <c r="I481" s="268" t="str">
        <f>$D$6</f>
        <v>SE</v>
      </c>
      <c r="J481" s="268" t="str">
        <f>$E$6</f>
        <v>Total</v>
      </c>
      <c r="K481" s="268"/>
      <c r="L481" s="268" t="str">
        <f>$L$6</f>
        <v>FT</v>
      </c>
      <c r="M481" s="268" t="str">
        <f>$M$6</f>
        <v>PT</v>
      </c>
      <c r="N481" s="268" t="str">
        <f>$N$6</f>
        <v>SE</v>
      </c>
      <c r="O481" s="268" t="str">
        <f>$O$6</f>
        <v>Total</v>
      </c>
      <c r="P481" s="268"/>
      <c r="Q481" s="268" t="str">
        <f>$L$6</f>
        <v>FT</v>
      </c>
      <c r="R481" s="268" t="str">
        <f>$M$6</f>
        <v>PT</v>
      </c>
      <c r="S481" s="268" t="str">
        <f>$N$6</f>
        <v>SE</v>
      </c>
      <c r="T481" s="268" t="str">
        <f>$O$6</f>
        <v>Total</v>
      </c>
      <c r="U481" s="268"/>
      <c r="V481" s="268" t="str">
        <f>$V$6</f>
        <v>FT</v>
      </c>
      <c r="W481" s="268" t="str">
        <f>$W$6</f>
        <v>PT</v>
      </c>
      <c r="X481" s="268" t="str">
        <f>$X$6</f>
        <v>SE</v>
      </c>
      <c r="Y481" s="268" t="str">
        <f>$Y$6</f>
        <v>Total</v>
      </c>
    </row>
    <row r="482" spans="1:25" x14ac:dyDescent="0.2">
      <c r="C482" s="319"/>
      <c r="D482" s="319"/>
      <c r="E482" s="319"/>
      <c r="F482" s="319"/>
      <c r="G482" s="319"/>
      <c r="H482" s="319"/>
      <c r="I482" s="319"/>
      <c r="J482" s="319"/>
      <c r="K482" s="319"/>
      <c r="L482" s="319"/>
      <c r="M482" s="319"/>
      <c r="N482" s="319"/>
      <c r="O482" s="319"/>
      <c r="P482" s="319"/>
      <c r="Q482" s="319"/>
      <c r="R482" s="319"/>
      <c r="S482" s="319"/>
      <c r="T482" s="319"/>
      <c r="U482" s="319"/>
      <c r="V482" s="319"/>
      <c r="W482" s="319"/>
      <c r="X482" s="319"/>
      <c r="Y482" s="319"/>
    </row>
    <row r="483" spans="1:25" x14ac:dyDescent="0.2">
      <c r="A483" s="261" t="str">
        <f>name!A68</f>
        <v xml:space="preserve">Education </v>
      </c>
      <c r="C483" s="263"/>
    </row>
    <row r="484" spans="1:25" x14ac:dyDescent="0.2">
      <c r="A484" s="260" t="s">
        <v>356</v>
      </c>
      <c r="B484" s="300">
        <v>132.07000000388771</v>
      </c>
      <c r="C484" s="300">
        <v>109.35599999294173</v>
      </c>
      <c r="D484" s="300">
        <v>34.067999999521597</v>
      </c>
      <c r="E484" s="300">
        <f>SUM(B484:D484)</f>
        <v>275.49399999635102</v>
      </c>
      <c r="F484" s="300"/>
      <c r="G484" s="300">
        <v>128.30500000747995</v>
      </c>
      <c r="H484" s="300">
        <v>112.41499999273925</v>
      </c>
      <c r="I484" s="300">
        <v>25.241999999770748</v>
      </c>
      <c r="J484" s="300">
        <f>SUM(G484:I484)</f>
        <v>265.96199999998998</v>
      </c>
      <c r="K484" s="300"/>
      <c r="L484" s="300">
        <v>127.41400000987879</v>
      </c>
      <c r="M484" s="300">
        <v>103.02499999455706</v>
      </c>
      <c r="N484" s="300">
        <v>50.255000000671863</v>
      </c>
      <c r="O484" s="300">
        <f>SUM(L484:N484)</f>
        <v>280.69400000510774</v>
      </c>
      <c r="P484" s="300"/>
      <c r="Q484" s="300">
        <v>126.11399998402152</v>
      </c>
      <c r="R484" s="300">
        <v>97.608999989602111</v>
      </c>
      <c r="S484" s="300">
        <v>49.203000000794077</v>
      </c>
      <c r="T484" s="300">
        <f>SUM(Q484:S484)</f>
        <v>272.92599997441772</v>
      </c>
      <c r="U484" s="300"/>
      <c r="V484" s="300">
        <v>134.74600000415595</v>
      </c>
      <c r="W484" s="300">
        <v>95.334000001082245</v>
      </c>
      <c r="X484" s="300">
        <v>50.31100000009053</v>
      </c>
      <c r="Y484" s="300">
        <f>SUM(V484:X484)</f>
        <v>280.39100000532869</v>
      </c>
    </row>
    <row r="485" spans="1:25" x14ac:dyDescent="0.2">
      <c r="A485" s="260" t="s">
        <v>355</v>
      </c>
      <c r="B485" s="300">
        <v>90.633000002175166</v>
      </c>
      <c r="C485" s="300">
        <v>31.084999997244498</v>
      </c>
      <c r="D485" s="300">
        <v>27.317000000516703</v>
      </c>
      <c r="E485" s="300">
        <f t="shared" ref="E485" si="1277">SUM(B485:D485)</f>
        <v>149.03499999993636</v>
      </c>
      <c r="F485" s="300"/>
      <c r="G485" s="300">
        <v>80.940000001477742</v>
      </c>
      <c r="H485" s="300">
        <v>37.075999996752806</v>
      </c>
      <c r="I485" s="300">
        <v>17.357999999344596</v>
      </c>
      <c r="J485" s="300">
        <f t="shared" ref="J485:J486" si="1278">SUM(G485:I485)</f>
        <v>135.37399999757514</v>
      </c>
      <c r="K485" s="300"/>
      <c r="L485" s="300">
        <v>87.29500000762539</v>
      </c>
      <c r="M485" s="300">
        <v>30.98300000230369</v>
      </c>
      <c r="N485" s="300">
        <v>29.956000000991757</v>
      </c>
      <c r="O485" s="300">
        <f t="shared" ref="O485:O486" si="1279">SUM(L485:N485)</f>
        <v>148.23400001092085</v>
      </c>
      <c r="P485" s="300"/>
      <c r="Q485" s="300">
        <v>83.421000000350318</v>
      </c>
      <c r="R485" s="300">
        <v>30.402000000754711</v>
      </c>
      <c r="S485" s="300">
        <v>29.568000002622721</v>
      </c>
      <c r="T485" s="300">
        <f t="shared" ref="T485:T486" si="1280">SUM(Q485:S485)</f>
        <v>143.39100000372775</v>
      </c>
      <c r="U485" s="300"/>
      <c r="V485" s="300">
        <v>83.028000002404823</v>
      </c>
      <c r="W485" s="300">
        <v>31.715000000539263</v>
      </c>
      <c r="X485" s="300">
        <v>31.118000002246042</v>
      </c>
      <c r="Y485" s="300">
        <f t="shared" ref="Y485:Y486" si="1281">SUM(V485:X485)</f>
        <v>145.86100000519014</v>
      </c>
    </row>
    <row r="486" spans="1:25" x14ac:dyDescent="0.2">
      <c r="A486" s="264" t="s">
        <v>354</v>
      </c>
      <c r="B486" s="301">
        <f>SUM(B484:B485)</f>
        <v>222.70300000606289</v>
      </c>
      <c r="C486" s="301">
        <f t="shared" ref="C486" si="1282">SUM(C484:C485)</f>
        <v>140.44099999018624</v>
      </c>
      <c r="D486" s="301">
        <f t="shared" ref="D486" si="1283">SUM(D484:D485)</f>
        <v>61.385000000038303</v>
      </c>
      <c r="E486" s="301">
        <f>SUM(B486:D486)</f>
        <v>424.52899999628744</v>
      </c>
      <c r="F486" s="301"/>
      <c r="G486" s="301">
        <f>SUM(G484:G485)</f>
        <v>209.24500000895767</v>
      </c>
      <c r="H486" s="301">
        <f t="shared" ref="H486" si="1284">SUM(H484:H485)</f>
        <v>149.49099998949205</v>
      </c>
      <c r="I486" s="301">
        <f t="shared" ref="I486" si="1285">SUM(I484:I485)</f>
        <v>42.59999999911534</v>
      </c>
      <c r="J486" s="301">
        <f t="shared" si="1278"/>
        <v>401.33599999756507</v>
      </c>
      <c r="K486" s="301"/>
      <c r="L486" s="301">
        <f>SUM(L484:L485)</f>
        <v>214.7090000175042</v>
      </c>
      <c r="M486" s="301">
        <f t="shared" ref="M486" si="1286">SUM(M484:M485)</f>
        <v>134.00799999686075</v>
      </c>
      <c r="N486" s="301">
        <f t="shared" ref="N486" si="1287">SUM(N484:N485)</f>
        <v>80.211000001663621</v>
      </c>
      <c r="O486" s="301">
        <f t="shared" si="1279"/>
        <v>428.92800001602859</v>
      </c>
      <c r="P486" s="301"/>
      <c r="Q486" s="301">
        <f>SUM(Q484:Q485)</f>
        <v>209.53499998437184</v>
      </c>
      <c r="R486" s="301">
        <f t="shared" ref="R486" si="1288">SUM(R484:R485)</f>
        <v>128.01099999035682</v>
      </c>
      <c r="S486" s="301">
        <f t="shared" ref="S486" si="1289">SUM(S484:S485)</f>
        <v>78.771000003416802</v>
      </c>
      <c r="T486" s="301">
        <f t="shared" si="1280"/>
        <v>416.31699997814547</v>
      </c>
      <c r="U486" s="301"/>
      <c r="V486" s="301">
        <f>SUM(V484:V485)</f>
        <v>217.77400000656075</v>
      </c>
      <c r="W486" s="301">
        <f t="shared" ref="W486" si="1290">SUM(W484:W485)</f>
        <v>127.04900000162151</v>
      </c>
      <c r="X486" s="301">
        <f t="shared" ref="X486" si="1291">SUM(X484:X485)</f>
        <v>81.429000002336579</v>
      </c>
      <c r="Y486" s="301">
        <f t="shared" si="1281"/>
        <v>426.25200001051883</v>
      </c>
    </row>
    <row r="490" spans="1:25" ht="15" x14ac:dyDescent="0.25">
      <c r="A490" s="265" t="str">
        <f>"Industry 20 : "&amp; name!B23</f>
        <v>Industry 20 : Health and social work</v>
      </c>
      <c r="B490" s="371">
        <f>$B$5</f>
        <v>2015</v>
      </c>
      <c r="C490" s="371"/>
      <c r="D490" s="371"/>
      <c r="E490" s="371"/>
      <c r="F490" s="320"/>
      <c r="G490" s="371">
        <f>$G$5</f>
        <v>2019</v>
      </c>
      <c r="H490" s="371"/>
      <c r="I490" s="371"/>
      <c r="J490" s="371"/>
      <c r="K490" s="320"/>
      <c r="L490" s="371">
        <f>$L$5</f>
        <v>2020</v>
      </c>
      <c r="M490" s="371"/>
      <c r="N490" s="371"/>
      <c r="O490" s="371"/>
      <c r="P490" s="318"/>
      <c r="Q490" s="371">
        <f>$Q$5</f>
        <v>2025</v>
      </c>
      <c r="R490" s="371"/>
      <c r="S490" s="371"/>
      <c r="T490" s="371"/>
      <c r="U490" s="320"/>
      <c r="V490" s="371">
        <f>$V$5</f>
        <v>2035</v>
      </c>
      <c r="W490" s="371"/>
      <c r="X490" s="371"/>
      <c r="Y490" s="371"/>
    </row>
    <row r="491" spans="1:25" x14ac:dyDescent="0.2">
      <c r="A491" s="264"/>
      <c r="B491" s="268" t="str">
        <f>$B$6</f>
        <v>FT</v>
      </c>
      <c r="C491" s="268" t="str">
        <f>$C$6</f>
        <v>PT</v>
      </c>
      <c r="D491" s="268" t="str">
        <f>$D$6</f>
        <v>SE</v>
      </c>
      <c r="E491" s="268" t="str">
        <f>$E$6</f>
        <v>Total</v>
      </c>
      <c r="F491" s="268"/>
      <c r="G491" s="268" t="str">
        <f>$B$6</f>
        <v>FT</v>
      </c>
      <c r="H491" s="268" t="str">
        <f>$C$6</f>
        <v>PT</v>
      </c>
      <c r="I491" s="268" t="str">
        <f>$D$6</f>
        <v>SE</v>
      </c>
      <c r="J491" s="268" t="str">
        <f>$E$6</f>
        <v>Total</v>
      </c>
      <c r="K491" s="268"/>
      <c r="L491" s="268" t="str">
        <f>$L$6</f>
        <v>FT</v>
      </c>
      <c r="M491" s="268" t="str">
        <f>$M$6</f>
        <v>PT</v>
      </c>
      <c r="N491" s="268" t="str">
        <f>$N$6</f>
        <v>SE</v>
      </c>
      <c r="O491" s="268" t="str">
        <f>$O$6</f>
        <v>Total</v>
      </c>
      <c r="P491" s="268"/>
      <c r="Q491" s="268" t="str">
        <f>$L$6</f>
        <v>FT</v>
      </c>
      <c r="R491" s="268" t="str">
        <f>$M$6</f>
        <v>PT</v>
      </c>
      <c r="S491" s="268" t="str">
        <f>$N$6</f>
        <v>SE</v>
      </c>
      <c r="T491" s="268" t="str">
        <f>$O$6</f>
        <v>Total</v>
      </c>
      <c r="U491" s="268"/>
      <c r="V491" s="268" t="str">
        <f>$V$6</f>
        <v>FT</v>
      </c>
      <c r="W491" s="268" t="str">
        <f>$W$6</f>
        <v>PT</v>
      </c>
      <c r="X491" s="268" t="str">
        <f>$X$6</f>
        <v>SE</v>
      </c>
      <c r="Y491" s="268" t="str">
        <f>$Y$6</f>
        <v>Total</v>
      </c>
    </row>
    <row r="492" spans="1:25" x14ac:dyDescent="0.2">
      <c r="C492" s="319"/>
      <c r="D492" s="319"/>
      <c r="E492" s="319"/>
      <c r="F492" s="319"/>
      <c r="G492" s="319"/>
      <c r="H492" s="319"/>
      <c r="I492" s="319"/>
      <c r="J492" s="319"/>
      <c r="K492" s="319"/>
      <c r="L492" s="319"/>
      <c r="M492" s="319"/>
      <c r="N492" s="319"/>
      <c r="O492" s="319"/>
      <c r="P492" s="319"/>
      <c r="Q492" s="319"/>
      <c r="R492" s="319"/>
      <c r="S492" s="319"/>
      <c r="T492" s="319"/>
      <c r="U492" s="319"/>
      <c r="V492" s="319"/>
      <c r="W492" s="319"/>
      <c r="X492" s="319"/>
      <c r="Y492" s="319"/>
    </row>
    <row r="493" spans="1:25" x14ac:dyDescent="0.2">
      <c r="A493" s="261" t="str">
        <f>name!A69</f>
        <v>Health</v>
      </c>
      <c r="C493" s="263"/>
    </row>
    <row r="494" spans="1:25" x14ac:dyDescent="0.2">
      <c r="A494" s="260" t="s">
        <v>356</v>
      </c>
      <c r="B494" s="300">
        <v>142.24999999943751</v>
      </c>
      <c r="C494" s="300">
        <v>82.291999998144576</v>
      </c>
      <c r="D494" s="300">
        <v>14.071999998846913</v>
      </c>
      <c r="E494" s="300">
        <f>SUM(B494:D494)</f>
        <v>238.61399999642899</v>
      </c>
      <c r="F494" s="300"/>
      <c r="G494" s="300">
        <v>162.46999999975148</v>
      </c>
      <c r="H494" s="300">
        <v>83.695999998687668</v>
      </c>
      <c r="I494" s="300">
        <v>19.615999998512606</v>
      </c>
      <c r="J494" s="300">
        <f>SUM(G494:I494)</f>
        <v>265.78199999695175</v>
      </c>
      <c r="K494" s="300"/>
      <c r="L494" s="300">
        <v>170.26700000007807</v>
      </c>
      <c r="M494" s="300">
        <v>81.221999998426256</v>
      </c>
      <c r="N494" s="300">
        <v>16.918000001430308</v>
      </c>
      <c r="O494" s="300">
        <f>SUM(L494:N494)</f>
        <v>268.40699999993461</v>
      </c>
      <c r="P494" s="300"/>
      <c r="Q494" s="300">
        <v>182.15099999966199</v>
      </c>
      <c r="R494" s="300">
        <v>84.594999997095485</v>
      </c>
      <c r="S494" s="300">
        <v>19.199000000125498</v>
      </c>
      <c r="T494" s="300">
        <f>SUM(Q494:S494)</f>
        <v>285.94499999688298</v>
      </c>
      <c r="U494" s="300"/>
      <c r="V494" s="300">
        <v>190.95499999956448</v>
      </c>
      <c r="W494" s="300">
        <v>83.775999999924991</v>
      </c>
      <c r="X494" s="300">
        <v>22.369999999931295</v>
      </c>
      <c r="Y494" s="300">
        <f>SUM(V494:X494)</f>
        <v>297.10099999942076</v>
      </c>
    </row>
    <row r="495" spans="1:25" x14ac:dyDescent="0.2">
      <c r="A495" s="260" t="s">
        <v>355</v>
      </c>
      <c r="B495" s="300">
        <v>59.203999998975021</v>
      </c>
      <c r="C495" s="300">
        <v>11.580999999977433</v>
      </c>
      <c r="D495" s="300">
        <v>11.683000000342808</v>
      </c>
      <c r="E495" s="300">
        <f t="shared" ref="E495:E496" si="1292">SUM(B495:D495)</f>
        <v>82.467999999295273</v>
      </c>
      <c r="F495" s="300"/>
      <c r="G495" s="300">
        <v>69.053999999183375</v>
      </c>
      <c r="H495" s="300">
        <v>18.861999999966251</v>
      </c>
      <c r="I495" s="300">
        <v>15.506999999822526</v>
      </c>
      <c r="J495" s="300">
        <f t="shared" ref="J495:J496" si="1293">SUM(G495:I495)</f>
        <v>103.42299999897214</v>
      </c>
      <c r="K495" s="300"/>
      <c r="L495" s="300">
        <v>72.499000001078883</v>
      </c>
      <c r="M495" s="300">
        <v>16.65200000002546</v>
      </c>
      <c r="N495" s="300">
        <v>19.059000001312587</v>
      </c>
      <c r="O495" s="300">
        <f t="shared" ref="O495:O496" si="1294">SUM(L495:N495)</f>
        <v>108.21000000241692</v>
      </c>
      <c r="P495" s="300"/>
      <c r="Q495" s="300">
        <v>76.994000000849709</v>
      </c>
      <c r="R495" s="300">
        <v>18.249999999968043</v>
      </c>
      <c r="S495" s="300">
        <v>19.1650000024364</v>
      </c>
      <c r="T495" s="300">
        <f t="shared" ref="T495:T496" si="1295">SUM(Q495:S495)</f>
        <v>114.40900000325415</v>
      </c>
      <c r="U495" s="300"/>
      <c r="V495" s="300">
        <v>79.561000001105015</v>
      </c>
      <c r="W495" s="300">
        <v>20.006999999988086</v>
      </c>
      <c r="X495" s="300">
        <v>17.627000001652391</v>
      </c>
      <c r="Y495" s="300">
        <f t="shared" ref="Y495:Y496" si="1296">SUM(V495:X495)</f>
        <v>117.19500000274549</v>
      </c>
    </row>
    <row r="496" spans="1:25" x14ac:dyDescent="0.2">
      <c r="A496" s="260" t="s">
        <v>354</v>
      </c>
      <c r="B496" s="300">
        <f>SUM(B494:B495)</f>
        <v>201.45399999841254</v>
      </c>
      <c r="C496" s="300">
        <f t="shared" ref="C496" si="1297">SUM(C494:C495)</f>
        <v>93.872999998122012</v>
      </c>
      <c r="D496" s="300">
        <f t="shared" ref="D496" si="1298">SUM(D494:D495)</f>
        <v>25.754999999189721</v>
      </c>
      <c r="E496" s="300">
        <f t="shared" si="1292"/>
        <v>321.08199999572423</v>
      </c>
      <c r="F496" s="300"/>
      <c r="G496" s="300">
        <f>SUM(G494:G495)</f>
        <v>231.52399999893487</v>
      </c>
      <c r="H496" s="300">
        <f t="shared" ref="H496" si="1299">SUM(H494:H495)</f>
        <v>102.55799999865391</v>
      </c>
      <c r="I496" s="300">
        <f t="shared" ref="I496" si="1300">SUM(I494:I495)</f>
        <v>35.122999998335132</v>
      </c>
      <c r="J496" s="300">
        <f t="shared" si="1293"/>
        <v>369.20499999592391</v>
      </c>
      <c r="K496" s="300"/>
      <c r="L496" s="300">
        <f>SUM(L494:L495)</f>
        <v>242.76600000115695</v>
      </c>
      <c r="M496" s="300">
        <f t="shared" ref="M496" si="1301">SUM(M494:M495)</f>
        <v>97.873999998451723</v>
      </c>
      <c r="N496" s="300">
        <f t="shared" ref="N496" si="1302">SUM(N494:N495)</f>
        <v>35.977000002742898</v>
      </c>
      <c r="O496" s="300">
        <f t="shared" si="1294"/>
        <v>376.61700000235157</v>
      </c>
      <c r="P496" s="300"/>
      <c r="Q496" s="300">
        <f>SUM(Q494:Q495)</f>
        <v>259.14500000051169</v>
      </c>
      <c r="R496" s="300">
        <f t="shared" ref="R496" si="1303">SUM(R494:R495)</f>
        <v>102.84499999706352</v>
      </c>
      <c r="S496" s="300">
        <f t="shared" ref="S496" si="1304">SUM(S494:S495)</f>
        <v>38.364000002561895</v>
      </c>
      <c r="T496" s="300">
        <f t="shared" si="1295"/>
        <v>400.35400000013709</v>
      </c>
      <c r="U496" s="300"/>
      <c r="V496" s="300">
        <f>SUM(V494:V495)</f>
        <v>270.51600000066946</v>
      </c>
      <c r="W496" s="300">
        <f t="shared" ref="W496" si="1305">SUM(W494:W495)</f>
        <v>103.78299999991307</v>
      </c>
      <c r="X496" s="300">
        <f t="shared" ref="X496" si="1306">SUM(X494:X495)</f>
        <v>39.997000001583686</v>
      </c>
      <c r="Y496" s="300">
        <f t="shared" si="1296"/>
        <v>414.29600000216618</v>
      </c>
    </row>
    <row r="497" spans="1:25" x14ac:dyDescent="0.2">
      <c r="C497" s="319"/>
      <c r="D497" s="319"/>
      <c r="E497" s="319"/>
      <c r="F497" s="319"/>
      <c r="G497" s="319"/>
      <c r="H497" s="319"/>
      <c r="I497" s="319"/>
      <c r="J497" s="319"/>
      <c r="K497" s="319"/>
      <c r="L497" s="319"/>
      <c r="M497" s="319"/>
      <c r="N497" s="319"/>
      <c r="O497" s="319"/>
      <c r="P497" s="319"/>
      <c r="Q497" s="319"/>
      <c r="R497" s="319"/>
      <c r="S497" s="319"/>
      <c r="T497" s="319"/>
      <c r="U497" s="319"/>
      <c r="V497" s="319"/>
      <c r="W497" s="319"/>
      <c r="X497" s="319"/>
      <c r="Y497" s="319"/>
    </row>
    <row r="498" spans="1:25" x14ac:dyDescent="0.2">
      <c r="A498" s="261" t="str">
        <f>name!A70</f>
        <v>Residential care</v>
      </c>
      <c r="C498" s="263"/>
    </row>
    <row r="499" spans="1:25" x14ac:dyDescent="0.2">
      <c r="A499" s="260" t="s">
        <v>356</v>
      </c>
      <c r="B499" s="300">
        <v>29.39899999988376</v>
      </c>
      <c r="C499" s="300">
        <v>17.428999999607033</v>
      </c>
      <c r="D499" s="300">
        <v>3.8729999996826381</v>
      </c>
      <c r="E499" s="300">
        <f>SUM(B499:D499)</f>
        <v>50.700999999173433</v>
      </c>
      <c r="F499" s="300"/>
      <c r="G499" s="300">
        <v>30.471999999953365</v>
      </c>
      <c r="H499" s="300">
        <v>14.617999999770802</v>
      </c>
      <c r="I499" s="300">
        <v>5.1569999996089724</v>
      </c>
      <c r="J499" s="300">
        <f>SUM(G499:I499)</f>
        <v>50.246999999333141</v>
      </c>
      <c r="K499" s="300"/>
      <c r="L499" s="300">
        <v>29.695000000013614</v>
      </c>
      <c r="M499" s="300">
        <v>13.001999999748051</v>
      </c>
      <c r="N499" s="300">
        <v>3.8280000003236339</v>
      </c>
      <c r="O499" s="300">
        <f>SUM(L499:N499)</f>
        <v>46.525000000085299</v>
      </c>
      <c r="P499" s="300"/>
      <c r="Q499" s="300">
        <v>30.746999999942965</v>
      </c>
      <c r="R499" s="300">
        <v>12.123999999583713</v>
      </c>
      <c r="S499" s="300">
        <v>3.9050000000255256</v>
      </c>
      <c r="T499" s="300">
        <f>SUM(Q499:S499)</f>
        <v>46.775999999552198</v>
      </c>
      <c r="U499" s="300"/>
      <c r="V499" s="300">
        <v>32.319999999926296</v>
      </c>
      <c r="W499" s="300">
        <v>10.258999999990801</v>
      </c>
      <c r="X499" s="300">
        <v>3.8229999999882538</v>
      </c>
      <c r="Y499" s="300">
        <f>SUM(V499:X499)</f>
        <v>46.40199999990535</v>
      </c>
    </row>
    <row r="500" spans="1:25" x14ac:dyDescent="0.2">
      <c r="A500" s="260" t="s">
        <v>355</v>
      </c>
      <c r="B500" s="300">
        <v>10.989999999809738</v>
      </c>
      <c r="C500" s="300">
        <v>3.6079999999929684</v>
      </c>
      <c r="D500" s="300">
        <v>1.1640000000341544</v>
      </c>
      <c r="E500" s="300">
        <f t="shared" ref="E500:E501" si="1307">SUM(B500:D500)</f>
        <v>15.76199999983686</v>
      </c>
      <c r="F500" s="300"/>
      <c r="G500" s="300">
        <v>9.4219999998885609</v>
      </c>
      <c r="H500" s="300">
        <v>4.0639999999927259</v>
      </c>
      <c r="I500" s="300">
        <v>1.3039999999919731</v>
      </c>
      <c r="J500" s="300">
        <f t="shared" ref="J500:J501" si="1308">SUM(G500:I500)</f>
        <v>14.78999999987326</v>
      </c>
      <c r="K500" s="300"/>
      <c r="L500" s="300">
        <v>10.138000000150869</v>
      </c>
      <c r="M500" s="300">
        <v>3.7580000000057514</v>
      </c>
      <c r="N500" s="300">
        <v>1.1190000000623508</v>
      </c>
      <c r="O500" s="300">
        <f t="shared" ref="O500:O501" si="1309">SUM(L500:N500)</f>
        <v>15.015000000218972</v>
      </c>
      <c r="P500" s="300"/>
      <c r="Q500" s="300">
        <v>10.026000000110644</v>
      </c>
      <c r="R500" s="300">
        <v>3.7159999999934925</v>
      </c>
      <c r="S500" s="300">
        <v>1.109000000107319</v>
      </c>
      <c r="T500" s="300">
        <f t="shared" ref="T500:T501" si="1310">SUM(Q500:S500)</f>
        <v>14.851000000211455</v>
      </c>
      <c r="U500" s="300"/>
      <c r="V500" s="300">
        <v>9.7170000001349379</v>
      </c>
      <c r="W500" s="300">
        <v>3.5619999999978798</v>
      </c>
      <c r="X500" s="300">
        <v>1.0560000000573342</v>
      </c>
      <c r="Y500" s="300">
        <f t="shared" ref="Y500:Y501" si="1311">SUM(V500:X500)</f>
        <v>14.335000000190153</v>
      </c>
    </row>
    <row r="501" spans="1:25" x14ac:dyDescent="0.2">
      <c r="A501" s="260" t="s">
        <v>354</v>
      </c>
      <c r="B501" s="300">
        <f>SUM(B499:B500)</f>
        <v>40.388999999693496</v>
      </c>
      <c r="C501" s="300">
        <f t="shared" ref="C501" si="1312">SUM(C499:C500)</f>
        <v>21.036999999600003</v>
      </c>
      <c r="D501" s="300">
        <f t="shared" ref="D501" si="1313">SUM(D499:D500)</f>
        <v>5.0369999997167927</v>
      </c>
      <c r="E501" s="300">
        <f t="shared" si="1307"/>
        <v>66.462999999010293</v>
      </c>
      <c r="F501" s="300"/>
      <c r="G501" s="300">
        <f>SUM(G499:G500)</f>
        <v>39.893999999841924</v>
      </c>
      <c r="H501" s="300">
        <f t="shared" ref="H501" si="1314">SUM(H499:H500)</f>
        <v>18.681999999763526</v>
      </c>
      <c r="I501" s="300">
        <f t="shared" ref="I501" si="1315">SUM(I499:I500)</f>
        <v>6.4609999996009453</v>
      </c>
      <c r="J501" s="300">
        <f t="shared" si="1308"/>
        <v>65.036999999206401</v>
      </c>
      <c r="K501" s="300"/>
      <c r="L501" s="300">
        <f>SUM(L499:L500)</f>
        <v>39.833000000164482</v>
      </c>
      <c r="M501" s="300">
        <f t="shared" ref="M501" si="1316">SUM(M499:M500)</f>
        <v>16.759999999753802</v>
      </c>
      <c r="N501" s="300">
        <f t="shared" ref="N501" si="1317">SUM(N499:N500)</f>
        <v>4.9470000003859846</v>
      </c>
      <c r="O501" s="300">
        <f t="shared" si="1309"/>
        <v>61.540000000304268</v>
      </c>
      <c r="P501" s="300"/>
      <c r="Q501" s="300">
        <f>SUM(Q499:Q500)</f>
        <v>40.773000000053607</v>
      </c>
      <c r="R501" s="300">
        <f t="shared" ref="R501" si="1318">SUM(R499:R500)</f>
        <v>15.839999999577206</v>
      </c>
      <c r="S501" s="300">
        <f t="shared" ref="S501" si="1319">SUM(S499:S500)</f>
        <v>5.0140000001328442</v>
      </c>
      <c r="T501" s="300">
        <f t="shared" si="1310"/>
        <v>61.626999999763662</v>
      </c>
      <c r="U501" s="300"/>
      <c r="V501" s="300">
        <f>SUM(V499:V500)</f>
        <v>42.037000000061234</v>
      </c>
      <c r="W501" s="300">
        <f t="shared" ref="W501" si="1320">SUM(W499:W500)</f>
        <v>13.820999999988681</v>
      </c>
      <c r="X501" s="300">
        <f t="shared" ref="X501" si="1321">SUM(X499:X500)</f>
        <v>4.879000000045588</v>
      </c>
      <c r="Y501" s="300">
        <f t="shared" si="1311"/>
        <v>60.737000000095499</v>
      </c>
    </row>
    <row r="502" spans="1:25" x14ac:dyDescent="0.2">
      <c r="C502" s="319"/>
      <c r="D502" s="319"/>
      <c r="E502" s="319"/>
      <c r="F502" s="319"/>
      <c r="G502" s="319"/>
      <c r="H502" s="319"/>
      <c r="I502" s="319"/>
      <c r="J502" s="319"/>
      <c r="K502" s="319"/>
      <c r="L502" s="319"/>
      <c r="M502" s="319"/>
      <c r="N502" s="319"/>
      <c r="O502" s="319"/>
      <c r="P502" s="319"/>
      <c r="Q502" s="319"/>
      <c r="R502" s="319"/>
      <c r="S502" s="319"/>
      <c r="T502" s="319"/>
      <c r="U502" s="319"/>
      <c r="V502" s="319"/>
      <c r="W502" s="319"/>
      <c r="X502" s="319"/>
      <c r="Y502" s="319"/>
    </row>
    <row r="503" spans="1:25" x14ac:dyDescent="0.2">
      <c r="A503" s="261" t="str">
        <f>name!A71</f>
        <v>Social work</v>
      </c>
      <c r="C503" s="263"/>
    </row>
    <row r="504" spans="1:25" x14ac:dyDescent="0.2">
      <c r="A504" s="260" t="s">
        <v>356</v>
      </c>
      <c r="B504" s="300">
        <v>59.979999999762818</v>
      </c>
      <c r="C504" s="300">
        <v>48.711999998901696</v>
      </c>
      <c r="D504" s="300">
        <v>8.7399999992838264</v>
      </c>
      <c r="E504" s="300">
        <f>SUM(B504:D504)</f>
        <v>117.43199999794834</v>
      </c>
      <c r="F504" s="300"/>
      <c r="G504" s="300">
        <v>65.930999999899157</v>
      </c>
      <c r="H504" s="300">
        <v>42.669999999330962</v>
      </c>
      <c r="I504" s="300">
        <v>12.165999999077505</v>
      </c>
      <c r="J504" s="300">
        <f>SUM(G504:I504)</f>
        <v>120.76699999830761</v>
      </c>
      <c r="K504" s="300"/>
      <c r="L504" s="300">
        <v>64.250000000029374</v>
      </c>
      <c r="M504" s="300">
        <v>37.950999999264667</v>
      </c>
      <c r="N504" s="300">
        <v>9.0320000007636043</v>
      </c>
      <c r="O504" s="300">
        <f>SUM(L504:N504)</f>
        <v>111.23300000005764</v>
      </c>
      <c r="P504" s="300"/>
      <c r="Q504" s="300">
        <v>66.52599999987666</v>
      </c>
      <c r="R504" s="300">
        <v>35.390999998784828</v>
      </c>
      <c r="S504" s="300">
        <v>9.2120000000602325</v>
      </c>
      <c r="T504" s="300">
        <f>SUM(Q504:S504)</f>
        <v>111.12899999872171</v>
      </c>
      <c r="U504" s="300"/>
      <c r="V504" s="300">
        <v>69.926999999840547</v>
      </c>
      <c r="W504" s="300">
        <v>29.945999999973168</v>
      </c>
      <c r="X504" s="300">
        <v>9.0199999999722902</v>
      </c>
      <c r="Y504" s="300">
        <f>SUM(V504:X504)</f>
        <v>108.892999999786</v>
      </c>
    </row>
    <row r="505" spans="1:25" x14ac:dyDescent="0.2">
      <c r="A505" s="260" t="s">
        <v>355</v>
      </c>
      <c r="B505" s="300">
        <v>24.330999999578747</v>
      </c>
      <c r="C505" s="300">
        <v>8.5469999999833401</v>
      </c>
      <c r="D505" s="300">
        <v>2.9700000000871509</v>
      </c>
      <c r="E505" s="300">
        <f t="shared" ref="E505:E506" si="1322">SUM(B505:D505)</f>
        <v>35.84799999964924</v>
      </c>
      <c r="F505" s="300"/>
      <c r="G505" s="300">
        <v>22.120999999738398</v>
      </c>
      <c r="H505" s="300">
        <v>10.054999999982003</v>
      </c>
      <c r="I505" s="300">
        <v>3.4809999999601593</v>
      </c>
      <c r="J505" s="300">
        <f t="shared" ref="J505:J506" si="1323">SUM(G505:I505)</f>
        <v>35.656999999680565</v>
      </c>
      <c r="K505" s="300"/>
      <c r="L505" s="300">
        <v>23.802000000354166</v>
      </c>
      <c r="M505" s="300">
        <v>9.2980000000142269</v>
      </c>
      <c r="N505" s="300">
        <v>2.9870000002057102</v>
      </c>
      <c r="O505" s="300">
        <f t="shared" ref="O505:O506" si="1324">SUM(L505:N505)</f>
        <v>36.087000000574108</v>
      </c>
      <c r="P505" s="300"/>
      <c r="Q505" s="300">
        <v>23.541000000259775</v>
      </c>
      <c r="R505" s="300">
        <v>9.1939999999839017</v>
      </c>
      <c r="S505" s="300">
        <v>2.9590000003761716</v>
      </c>
      <c r="T505" s="300">
        <f t="shared" ref="T505:T506" si="1325">SUM(Q505:S505)</f>
        <v>35.694000000619845</v>
      </c>
      <c r="U505" s="300"/>
      <c r="V505" s="300">
        <v>22.814000000316838</v>
      </c>
      <c r="W505" s="300">
        <v>8.8129999999947533</v>
      </c>
      <c r="X505" s="300">
        <v>2.8180000002641674</v>
      </c>
      <c r="Y505" s="300">
        <f t="shared" ref="Y505:Y506" si="1326">SUM(V505:X505)</f>
        <v>34.44500000057576</v>
      </c>
    </row>
    <row r="506" spans="1:25" x14ac:dyDescent="0.2">
      <c r="A506" s="260" t="s">
        <v>354</v>
      </c>
      <c r="B506" s="300">
        <f>SUM(B504:B505)</f>
        <v>84.310999999341561</v>
      </c>
      <c r="C506" s="300">
        <f t="shared" ref="C506" si="1327">SUM(C504:C505)</f>
        <v>57.258999998885038</v>
      </c>
      <c r="D506" s="300">
        <f t="shared" ref="D506" si="1328">SUM(D504:D505)</f>
        <v>11.709999999370977</v>
      </c>
      <c r="E506" s="300">
        <f t="shared" si="1322"/>
        <v>153.27999999759757</v>
      </c>
      <c r="F506" s="300"/>
      <c r="G506" s="300">
        <f>SUM(G504:G505)</f>
        <v>88.051999999637559</v>
      </c>
      <c r="H506" s="300">
        <f t="shared" ref="H506" si="1329">SUM(H504:H505)</f>
        <v>52.724999999312963</v>
      </c>
      <c r="I506" s="300">
        <f t="shared" ref="I506" si="1330">SUM(I504:I505)</f>
        <v>15.646999999037664</v>
      </c>
      <c r="J506" s="300">
        <f t="shared" si="1323"/>
        <v>156.42399999798818</v>
      </c>
      <c r="K506" s="300"/>
      <c r="L506" s="300">
        <f>SUM(L504:L505)</f>
        <v>88.052000000383543</v>
      </c>
      <c r="M506" s="300">
        <f t="shared" ref="M506" si="1331">SUM(M504:M505)</f>
        <v>47.248999999278894</v>
      </c>
      <c r="N506" s="300">
        <f t="shared" ref="N506" si="1332">SUM(N504:N505)</f>
        <v>12.019000000969314</v>
      </c>
      <c r="O506" s="300">
        <f t="shared" si="1324"/>
        <v>147.32000000063175</v>
      </c>
      <c r="P506" s="300"/>
      <c r="Q506" s="300">
        <f>SUM(Q504:Q505)</f>
        <v>90.067000000136431</v>
      </c>
      <c r="R506" s="300">
        <f t="shared" ref="R506" si="1333">SUM(R504:R505)</f>
        <v>44.58499999876873</v>
      </c>
      <c r="S506" s="300">
        <f t="shared" ref="S506" si="1334">SUM(S504:S505)</f>
        <v>12.171000000436404</v>
      </c>
      <c r="T506" s="300">
        <f t="shared" si="1325"/>
        <v>146.82299999934156</v>
      </c>
      <c r="U506" s="300"/>
      <c r="V506" s="300">
        <f>SUM(V504:V505)</f>
        <v>92.741000000157385</v>
      </c>
      <c r="W506" s="300">
        <f t="shared" ref="W506" si="1335">SUM(W504:W505)</f>
        <v>38.758999999967919</v>
      </c>
      <c r="X506" s="300">
        <f t="shared" ref="X506" si="1336">SUM(X504:X505)</f>
        <v>11.838000000236457</v>
      </c>
      <c r="Y506" s="300">
        <f t="shared" si="1326"/>
        <v>143.33800000036177</v>
      </c>
    </row>
    <row r="507" spans="1:25" x14ac:dyDescent="0.2">
      <c r="C507" s="263"/>
    </row>
    <row r="508" spans="1:25" x14ac:dyDescent="0.2">
      <c r="A508" s="261" t="s">
        <v>359</v>
      </c>
      <c r="C508" s="263"/>
    </row>
    <row r="509" spans="1:25" x14ac:dyDescent="0.2">
      <c r="A509" s="260" t="s">
        <v>356</v>
      </c>
      <c r="B509" s="300">
        <f>SUM(B494,B499,B504)</f>
        <v>231.62899999908407</v>
      </c>
      <c r="C509" s="300">
        <f t="shared" ref="C509:D509" si="1337">SUM(C494,C499,C504)</f>
        <v>148.43299999665331</v>
      </c>
      <c r="D509" s="300">
        <f t="shared" si="1337"/>
        <v>26.684999997813378</v>
      </c>
      <c r="E509" s="300">
        <f>SUM(B509:D509)</f>
        <v>406.74699999355073</v>
      </c>
      <c r="F509" s="300"/>
      <c r="G509" s="300">
        <f>SUM(G494,G499,G504)</f>
        <v>258.87299999960402</v>
      </c>
      <c r="H509" s="300">
        <f t="shared" ref="H509:I509" si="1338">SUM(H494,H499,H504)</f>
        <v>140.98399999778943</v>
      </c>
      <c r="I509" s="300">
        <f t="shared" si="1338"/>
        <v>36.938999997199083</v>
      </c>
      <c r="J509" s="300">
        <f>SUM(G509:I509)</f>
        <v>436.79599999459253</v>
      </c>
      <c r="K509" s="300"/>
      <c r="L509" s="300">
        <f>SUM(L494,L499,L504)</f>
        <v>264.21200000012107</v>
      </c>
      <c r="M509" s="300">
        <f t="shared" ref="M509:N509" si="1339">SUM(M494,M499,M504)</f>
        <v>132.17499999743899</v>
      </c>
      <c r="N509" s="300">
        <f t="shared" si="1339"/>
        <v>29.778000002517544</v>
      </c>
      <c r="O509" s="300">
        <f>SUM(L509:N509)</f>
        <v>426.16500000007761</v>
      </c>
      <c r="P509" s="300"/>
      <c r="Q509" s="300">
        <f>SUM(Q494,Q499,Q504)</f>
        <v>279.42399999948162</v>
      </c>
      <c r="R509" s="300">
        <f t="shared" ref="R509:S509" si="1340">SUM(R494,R499,R504)</f>
        <v>132.10999999546402</v>
      </c>
      <c r="S509" s="300">
        <f t="shared" si="1340"/>
        <v>32.316000000211261</v>
      </c>
      <c r="T509" s="300">
        <f>SUM(Q509:S509)</f>
        <v>443.84999999515691</v>
      </c>
      <c r="U509" s="300"/>
      <c r="V509" s="300">
        <f>SUM(V494,V499,V504)</f>
        <v>293.20199999933129</v>
      </c>
      <c r="W509" s="300">
        <f t="shared" ref="W509:X509" si="1341">SUM(W494,W499,W504)</f>
        <v>123.98099999988897</v>
      </c>
      <c r="X509" s="300">
        <f t="shared" si="1341"/>
        <v>35.212999999891842</v>
      </c>
      <c r="Y509" s="300">
        <f>SUM(V509:X509)</f>
        <v>452.39599999911212</v>
      </c>
    </row>
    <row r="510" spans="1:25" x14ac:dyDescent="0.2">
      <c r="A510" s="260" t="s">
        <v>355</v>
      </c>
      <c r="B510" s="300">
        <f>SUM(B495,B500,B505)</f>
        <v>94.524999998363512</v>
      </c>
      <c r="C510" s="300">
        <f t="shared" ref="C510:D510" si="1342">SUM(C495,C500,C505)</f>
        <v>23.735999999953741</v>
      </c>
      <c r="D510" s="300">
        <f t="shared" si="1342"/>
        <v>15.817000000464112</v>
      </c>
      <c r="E510" s="300">
        <f t="shared" ref="E510:E511" si="1343">SUM(B510:D510)</f>
        <v>134.07799999878137</v>
      </c>
      <c r="F510" s="300"/>
      <c r="G510" s="300">
        <f>SUM(G495,G500,G505)</f>
        <v>100.59699999881033</v>
      </c>
      <c r="H510" s="300">
        <f t="shared" ref="H510:I510" si="1344">SUM(H495,H500,H505)</f>
        <v>32.980999999940977</v>
      </c>
      <c r="I510" s="300">
        <f t="shared" si="1344"/>
        <v>20.291999999774657</v>
      </c>
      <c r="J510" s="300">
        <f t="shared" ref="J510:J511" si="1345">SUM(G510:I510)</f>
        <v>153.86999999852594</v>
      </c>
      <c r="K510" s="300"/>
      <c r="L510" s="300">
        <f>SUM(L495,L500,L505)</f>
        <v>106.43900000158392</v>
      </c>
      <c r="M510" s="300">
        <f t="shared" ref="M510:N510" si="1346">SUM(M495,M500,M505)</f>
        <v>29.708000000045438</v>
      </c>
      <c r="N510" s="300">
        <f t="shared" si="1346"/>
        <v>23.165000001580648</v>
      </c>
      <c r="O510" s="300">
        <f t="shared" ref="O510:O511" si="1347">SUM(L510:N510)</f>
        <v>159.31200000320999</v>
      </c>
      <c r="P510" s="300"/>
      <c r="Q510" s="300">
        <f>SUM(Q495,Q500,Q505)</f>
        <v>110.56100000122012</v>
      </c>
      <c r="R510" s="300">
        <f t="shared" ref="R510:S510" si="1348">SUM(R495,R500,R505)</f>
        <v>31.159999999945438</v>
      </c>
      <c r="S510" s="300">
        <f t="shared" si="1348"/>
        <v>23.233000002919891</v>
      </c>
      <c r="T510" s="300">
        <f t="shared" ref="T510:T511" si="1349">SUM(Q510:S510)</f>
        <v>164.95400000408543</v>
      </c>
      <c r="U510" s="300"/>
      <c r="V510" s="300">
        <f>SUM(V495,V500,V505)</f>
        <v>112.09200000155678</v>
      </c>
      <c r="W510" s="300">
        <f t="shared" ref="W510:X510" si="1350">SUM(W495,W500,W505)</f>
        <v>32.381999999980721</v>
      </c>
      <c r="X510" s="300">
        <f t="shared" si="1350"/>
        <v>21.501000001973892</v>
      </c>
      <c r="Y510" s="300">
        <f t="shared" ref="Y510:Y511" si="1351">SUM(V510:X510)</f>
        <v>165.97500000351138</v>
      </c>
    </row>
    <row r="511" spans="1:25" x14ac:dyDescent="0.2">
      <c r="A511" s="264" t="s">
        <v>354</v>
      </c>
      <c r="B511" s="301">
        <f>SUM(B509:B510)</f>
        <v>326.15399999744761</v>
      </c>
      <c r="C511" s="301">
        <f t="shared" ref="C511" si="1352">SUM(C509:C510)</f>
        <v>172.16899999660706</v>
      </c>
      <c r="D511" s="301">
        <f t="shared" ref="D511" si="1353">SUM(D509:D510)</f>
        <v>42.501999998277491</v>
      </c>
      <c r="E511" s="301">
        <f t="shared" si="1343"/>
        <v>540.82499999233221</v>
      </c>
      <c r="F511" s="301"/>
      <c r="G511" s="301">
        <f>SUM(G509:G510)</f>
        <v>359.46999999841432</v>
      </c>
      <c r="H511" s="301">
        <f t="shared" ref="H511" si="1354">SUM(H509:H510)</f>
        <v>173.96499999773039</v>
      </c>
      <c r="I511" s="301">
        <f t="shared" ref="I511" si="1355">SUM(I509:I510)</f>
        <v>57.230999996973736</v>
      </c>
      <c r="J511" s="301">
        <f t="shared" si="1345"/>
        <v>590.66599999311848</v>
      </c>
      <c r="K511" s="301"/>
      <c r="L511" s="301">
        <f>SUM(L509:L510)</f>
        <v>370.65100000170497</v>
      </c>
      <c r="M511" s="301">
        <f t="shared" ref="M511" si="1356">SUM(M509:M510)</f>
        <v>161.88299999748443</v>
      </c>
      <c r="N511" s="301">
        <f t="shared" ref="N511" si="1357">SUM(N509:N510)</f>
        <v>52.943000004098195</v>
      </c>
      <c r="O511" s="301">
        <f t="shared" si="1347"/>
        <v>585.47700000328757</v>
      </c>
      <c r="P511" s="301"/>
      <c r="Q511" s="301">
        <f>SUM(Q509:Q510)</f>
        <v>389.98500000070175</v>
      </c>
      <c r="R511" s="301">
        <f t="shared" ref="R511" si="1358">SUM(R509:R510)</f>
        <v>163.26999999540945</v>
      </c>
      <c r="S511" s="301">
        <f t="shared" ref="S511" si="1359">SUM(S509:S510)</f>
        <v>55.549000003131155</v>
      </c>
      <c r="T511" s="301">
        <f t="shared" si="1349"/>
        <v>608.80399999924236</v>
      </c>
      <c r="U511" s="301"/>
      <c r="V511" s="301">
        <f>SUM(V509:V510)</f>
        <v>405.2940000008881</v>
      </c>
      <c r="W511" s="301">
        <f t="shared" ref="W511" si="1360">SUM(W509:W510)</f>
        <v>156.36299999986969</v>
      </c>
      <c r="X511" s="301">
        <f t="shared" ref="X511" si="1361">SUM(X509:X510)</f>
        <v>56.714000001865735</v>
      </c>
      <c r="Y511" s="301">
        <f t="shared" si="1351"/>
        <v>618.37100000262353</v>
      </c>
    </row>
    <row r="512" spans="1:25" x14ac:dyDescent="0.2">
      <c r="C512" s="263"/>
    </row>
    <row r="513" spans="1:25" x14ac:dyDescent="0.2">
      <c r="A513" s="261"/>
    </row>
    <row r="514" spans="1:25" x14ac:dyDescent="0.2">
      <c r="C514" s="263"/>
    </row>
    <row r="515" spans="1:25" ht="15" x14ac:dyDescent="0.25">
      <c r="A515" s="265" t="str">
        <f>"Industry 21 : "&amp; name!B24</f>
        <v>Industry 21 : Arts and entertainment</v>
      </c>
      <c r="B515" s="371">
        <f>$B$5</f>
        <v>2015</v>
      </c>
      <c r="C515" s="371"/>
      <c r="D515" s="371"/>
      <c r="E515" s="371"/>
      <c r="F515" s="320"/>
      <c r="G515" s="371">
        <f>$G$5</f>
        <v>2019</v>
      </c>
      <c r="H515" s="371"/>
      <c r="I515" s="371"/>
      <c r="J515" s="371"/>
      <c r="K515" s="320"/>
      <c r="L515" s="371">
        <f>$L$5</f>
        <v>2020</v>
      </c>
      <c r="M515" s="371"/>
      <c r="N515" s="371"/>
      <c r="O515" s="371"/>
      <c r="P515" s="318"/>
      <c r="Q515" s="371">
        <f>$Q$5</f>
        <v>2025</v>
      </c>
      <c r="R515" s="371"/>
      <c r="S515" s="371"/>
      <c r="T515" s="371"/>
      <c r="U515" s="320"/>
      <c r="V515" s="371">
        <f>$V$5</f>
        <v>2035</v>
      </c>
      <c r="W515" s="371"/>
      <c r="X515" s="371"/>
      <c r="Y515" s="371"/>
    </row>
    <row r="516" spans="1:25" x14ac:dyDescent="0.2">
      <c r="A516" s="264"/>
      <c r="B516" s="268" t="str">
        <f>$B$6</f>
        <v>FT</v>
      </c>
      <c r="C516" s="268" t="str">
        <f>$C$6</f>
        <v>PT</v>
      </c>
      <c r="D516" s="268" t="str">
        <f>$D$6</f>
        <v>SE</v>
      </c>
      <c r="E516" s="268" t="str">
        <f>$E$6</f>
        <v>Total</v>
      </c>
      <c r="F516" s="268"/>
      <c r="G516" s="268" t="str">
        <f>$B$6</f>
        <v>FT</v>
      </c>
      <c r="H516" s="268" t="str">
        <f>$C$6</f>
        <v>PT</v>
      </c>
      <c r="I516" s="268" t="str">
        <f>$D$6</f>
        <v>SE</v>
      </c>
      <c r="J516" s="268" t="str">
        <f>$E$6</f>
        <v>Total</v>
      </c>
      <c r="K516" s="268"/>
      <c r="L516" s="268" t="str">
        <f>$L$6</f>
        <v>FT</v>
      </c>
      <c r="M516" s="268" t="str">
        <f>$M$6</f>
        <v>PT</v>
      </c>
      <c r="N516" s="268" t="str">
        <f>$N$6</f>
        <v>SE</v>
      </c>
      <c r="O516" s="268" t="str">
        <f>$O$6</f>
        <v>Total</v>
      </c>
      <c r="P516" s="268"/>
      <c r="Q516" s="268" t="str">
        <f>$L$6</f>
        <v>FT</v>
      </c>
      <c r="R516" s="268" t="str">
        <f>$M$6</f>
        <v>PT</v>
      </c>
      <c r="S516" s="268" t="str">
        <f>$N$6</f>
        <v>SE</v>
      </c>
      <c r="T516" s="268" t="str">
        <f>$O$6</f>
        <v>Total</v>
      </c>
      <c r="U516" s="268"/>
      <c r="V516" s="268" t="str">
        <f>$V$6</f>
        <v>FT</v>
      </c>
      <c r="W516" s="268" t="str">
        <f>$W$6</f>
        <v>PT</v>
      </c>
      <c r="X516" s="268" t="str">
        <f>$X$6</f>
        <v>SE</v>
      </c>
      <c r="Y516" s="268" t="str">
        <f>$Y$6</f>
        <v>Total</v>
      </c>
    </row>
    <row r="517" spans="1:25" x14ac:dyDescent="0.2">
      <c r="A517" s="262"/>
      <c r="C517" s="319"/>
      <c r="D517" s="319"/>
      <c r="E517" s="319"/>
      <c r="F517" s="319"/>
      <c r="G517" s="319"/>
      <c r="H517" s="319"/>
      <c r="I517" s="319"/>
      <c r="J517" s="319"/>
      <c r="K517" s="319"/>
      <c r="L517" s="319"/>
      <c r="M517" s="319"/>
      <c r="N517" s="319"/>
      <c r="O517" s="319"/>
      <c r="P517" s="319"/>
      <c r="Q517" s="319"/>
      <c r="R517" s="319"/>
      <c r="S517" s="319"/>
      <c r="T517" s="319"/>
      <c r="U517" s="319"/>
      <c r="V517" s="319"/>
      <c r="W517" s="319"/>
      <c r="X517" s="319"/>
      <c r="Y517" s="319"/>
    </row>
    <row r="518" spans="1:25" x14ac:dyDescent="0.2">
      <c r="A518" s="261" t="str">
        <f>name!A72</f>
        <v>Arts and entertainment</v>
      </c>
      <c r="C518" s="263"/>
    </row>
    <row r="519" spans="1:25" x14ac:dyDescent="0.2">
      <c r="A519" s="260" t="s">
        <v>356</v>
      </c>
      <c r="B519" s="300">
        <v>10.666999999876449</v>
      </c>
      <c r="C519" s="300">
        <v>8.7109999999942751</v>
      </c>
      <c r="D519" s="300">
        <v>11.438000000062921</v>
      </c>
      <c r="E519" s="300">
        <f>SUM(B519:D519)</f>
        <v>30.815999999933645</v>
      </c>
      <c r="F519" s="300"/>
      <c r="G519" s="300">
        <v>12.274999999865571</v>
      </c>
      <c r="H519" s="300">
        <v>10.151000000007569</v>
      </c>
      <c r="I519" s="300">
        <v>13.449000000083746</v>
      </c>
      <c r="J519" s="300">
        <f>SUM(G519:I519)</f>
        <v>35.874999999956884</v>
      </c>
      <c r="K519" s="300"/>
      <c r="L519" s="300">
        <v>12.944000000049597</v>
      </c>
      <c r="M519" s="300">
        <v>8.3099999999443206</v>
      </c>
      <c r="N519" s="300">
        <v>26.424999999729128</v>
      </c>
      <c r="O519" s="300">
        <f>SUM(L519:N519)</f>
        <v>47.678999999723047</v>
      </c>
      <c r="P519" s="300"/>
      <c r="Q519" s="300">
        <v>13.614000000232519</v>
      </c>
      <c r="R519" s="300">
        <v>9.4149999999169438</v>
      </c>
      <c r="S519" s="300">
        <v>28.049000000399722</v>
      </c>
      <c r="T519" s="300">
        <f>SUM(Q519:S519)</f>
        <v>51.078000000549181</v>
      </c>
      <c r="U519" s="300"/>
      <c r="V519" s="300">
        <v>13.538000000040332</v>
      </c>
      <c r="W519" s="300">
        <v>10.282999999972365</v>
      </c>
      <c r="X519" s="300">
        <v>31.901000000124689</v>
      </c>
      <c r="Y519" s="300">
        <f>SUM(V519:X519)</f>
        <v>55.722000000137385</v>
      </c>
    </row>
    <row r="520" spans="1:25" x14ac:dyDescent="0.2">
      <c r="A520" s="260" t="s">
        <v>355</v>
      </c>
      <c r="B520" s="300">
        <v>12.390999999920428</v>
      </c>
      <c r="C520" s="300">
        <v>4.477000000054054</v>
      </c>
      <c r="D520" s="300">
        <v>20.739000000564761</v>
      </c>
      <c r="E520" s="300">
        <f t="shared" ref="E520:E521" si="1362">SUM(B520:D520)</f>
        <v>37.607000000539244</v>
      </c>
      <c r="F520" s="300"/>
      <c r="G520" s="300">
        <v>11.645999999949836</v>
      </c>
      <c r="H520" s="300">
        <v>5.8430000000475069</v>
      </c>
      <c r="I520" s="300">
        <v>13.38099999998424</v>
      </c>
      <c r="J520" s="300">
        <f t="shared" ref="J520:J521" si="1363">SUM(G520:I520)</f>
        <v>30.869999999981584</v>
      </c>
      <c r="K520" s="300"/>
      <c r="L520" s="300">
        <v>9.0760000000372116</v>
      </c>
      <c r="M520" s="300">
        <v>6.3339999999616303</v>
      </c>
      <c r="N520" s="300">
        <v>14.650000000695853</v>
      </c>
      <c r="O520" s="300">
        <f t="shared" ref="O520:O521" si="1364">SUM(L520:N520)</f>
        <v>30.060000000694693</v>
      </c>
      <c r="P520" s="300"/>
      <c r="Q520" s="300">
        <v>9.8390000000465214</v>
      </c>
      <c r="R520" s="300">
        <v>6.8689999999459053</v>
      </c>
      <c r="S520" s="300">
        <v>14.897000001454193</v>
      </c>
      <c r="T520" s="300">
        <f t="shared" ref="T520:T521" si="1365">SUM(Q520:S520)</f>
        <v>31.605000001446619</v>
      </c>
      <c r="U520" s="300"/>
      <c r="V520" s="300">
        <v>10.518000000073769</v>
      </c>
      <c r="W520" s="300">
        <v>7.0429999999460415</v>
      </c>
      <c r="X520" s="300">
        <v>14.574000001110223</v>
      </c>
      <c r="Y520" s="300">
        <f t="shared" ref="Y520:Y521" si="1366">SUM(V520:X520)</f>
        <v>32.135000001130031</v>
      </c>
    </row>
    <row r="521" spans="1:25" x14ac:dyDescent="0.2">
      <c r="A521" s="260" t="s">
        <v>354</v>
      </c>
      <c r="B521" s="300">
        <f>SUM(B519:B520)</f>
        <v>23.057999999796877</v>
      </c>
      <c r="C521" s="300">
        <f t="shared" ref="C521" si="1367">SUM(C519:C520)</f>
        <v>13.18800000004833</v>
      </c>
      <c r="D521" s="300">
        <f t="shared" ref="D521" si="1368">SUM(D519:D520)</f>
        <v>32.177000000627686</v>
      </c>
      <c r="E521" s="300">
        <f t="shared" si="1362"/>
        <v>68.423000000472896</v>
      </c>
      <c r="F521" s="300"/>
      <c r="G521" s="300">
        <f>SUM(G519:G520)</f>
        <v>23.920999999815407</v>
      </c>
      <c r="H521" s="300">
        <f t="shared" ref="H521" si="1369">SUM(H519:H520)</f>
        <v>15.994000000055076</v>
      </c>
      <c r="I521" s="300">
        <f t="shared" ref="I521" si="1370">SUM(I519:I520)</f>
        <v>26.830000000067987</v>
      </c>
      <c r="J521" s="300">
        <f t="shared" si="1363"/>
        <v>66.744999999938472</v>
      </c>
      <c r="K521" s="300"/>
      <c r="L521" s="300">
        <f>SUM(L519:L520)</f>
        <v>22.02000000008681</v>
      </c>
      <c r="M521" s="300">
        <f t="shared" ref="M521" si="1371">SUM(M519:M520)</f>
        <v>14.643999999905951</v>
      </c>
      <c r="N521" s="300">
        <f t="shared" ref="N521" si="1372">SUM(N519:N520)</f>
        <v>41.075000000424978</v>
      </c>
      <c r="O521" s="300">
        <f t="shared" si="1364"/>
        <v>77.739000000417747</v>
      </c>
      <c r="P521" s="300"/>
      <c r="Q521" s="300">
        <f>SUM(Q519:Q520)</f>
        <v>23.45300000027904</v>
      </c>
      <c r="R521" s="300">
        <f t="shared" ref="R521" si="1373">SUM(R519:R520)</f>
        <v>16.28399999986285</v>
      </c>
      <c r="S521" s="300">
        <f t="shared" ref="S521" si="1374">SUM(S519:S520)</f>
        <v>42.946000001853918</v>
      </c>
      <c r="T521" s="300">
        <f t="shared" si="1365"/>
        <v>82.683000001995808</v>
      </c>
      <c r="U521" s="300"/>
      <c r="V521" s="300">
        <f>SUM(V519:V520)</f>
        <v>24.056000000114103</v>
      </c>
      <c r="W521" s="300">
        <f t="shared" ref="W521" si="1375">SUM(W519:W520)</f>
        <v>17.325999999918405</v>
      </c>
      <c r="X521" s="300">
        <f t="shared" ref="X521" si="1376">SUM(X519:X520)</f>
        <v>46.47500000123491</v>
      </c>
      <c r="Y521" s="300">
        <f t="shared" si="1366"/>
        <v>87.857000001267409</v>
      </c>
    </row>
    <row r="522" spans="1:25" x14ac:dyDescent="0.2">
      <c r="C522" s="319"/>
      <c r="D522" s="319"/>
      <c r="E522" s="319"/>
      <c r="F522" s="319"/>
      <c r="G522" s="319"/>
      <c r="H522" s="319"/>
      <c r="I522" s="319"/>
      <c r="J522" s="319"/>
      <c r="K522" s="319"/>
      <c r="L522" s="319"/>
      <c r="M522" s="319"/>
      <c r="N522" s="319"/>
      <c r="O522" s="319"/>
      <c r="P522" s="319"/>
      <c r="Q522" s="319"/>
      <c r="R522" s="319"/>
      <c r="S522" s="319"/>
      <c r="T522" s="319"/>
      <c r="U522" s="319"/>
      <c r="V522" s="319"/>
      <c r="W522" s="319"/>
      <c r="X522" s="319"/>
      <c r="Y522" s="319"/>
    </row>
    <row r="523" spans="1:25" x14ac:dyDescent="0.2">
      <c r="A523" s="261" t="str">
        <f>name!A73</f>
        <v>Libraries, etc</v>
      </c>
      <c r="C523" s="263"/>
    </row>
    <row r="524" spans="1:25" x14ac:dyDescent="0.2">
      <c r="A524" s="260" t="s">
        <v>356</v>
      </c>
      <c r="B524" s="300">
        <v>5.8649999999320697</v>
      </c>
      <c r="C524" s="300">
        <v>5.3089999999965221</v>
      </c>
      <c r="D524" s="300">
        <v>7.2380000000398121</v>
      </c>
      <c r="E524" s="300">
        <f>SUM(B524:D524)</f>
        <v>18.411999999968405</v>
      </c>
      <c r="F524" s="300"/>
      <c r="G524" s="300">
        <v>6.9379999999240125</v>
      </c>
      <c r="H524" s="300">
        <v>6.1870000000046081</v>
      </c>
      <c r="I524" s="300">
        <v>9.3220000000580381</v>
      </c>
      <c r="J524" s="300">
        <f>SUM(G524:I524)</f>
        <v>22.446999999986659</v>
      </c>
      <c r="K524" s="300"/>
      <c r="L524" s="300">
        <v>7.3160000000280245</v>
      </c>
      <c r="M524" s="300">
        <v>5.0649999999660587</v>
      </c>
      <c r="N524" s="300">
        <v>18.316999999812232</v>
      </c>
      <c r="O524" s="300">
        <f>SUM(L524:N524)</f>
        <v>30.697999999806314</v>
      </c>
      <c r="P524" s="300"/>
      <c r="Q524" s="300">
        <v>7.6950000001314169</v>
      </c>
      <c r="R524" s="300">
        <v>5.7379999999493769</v>
      </c>
      <c r="S524" s="300">
        <v>19.443000000277053</v>
      </c>
      <c r="T524" s="300">
        <f>SUM(Q524:S524)</f>
        <v>32.876000000357848</v>
      </c>
      <c r="U524" s="300"/>
      <c r="V524" s="300">
        <v>7.6520000000227926</v>
      </c>
      <c r="W524" s="300">
        <v>6.2669999999831658</v>
      </c>
      <c r="X524" s="300">
        <v>22.113000000086412</v>
      </c>
      <c r="Y524" s="300">
        <f>SUM(V524:X524)</f>
        <v>36.032000000092367</v>
      </c>
    </row>
    <row r="525" spans="1:25" x14ac:dyDescent="0.2">
      <c r="A525" s="260" t="s">
        <v>355</v>
      </c>
      <c r="B525" s="300">
        <v>7.9349999999490537</v>
      </c>
      <c r="C525" s="300">
        <v>1.9990000000241366</v>
      </c>
      <c r="D525" s="300">
        <v>9.8190000002673905</v>
      </c>
      <c r="E525" s="300">
        <f t="shared" ref="E525:E526" si="1377">SUM(B525:D525)</f>
        <v>19.753000000240583</v>
      </c>
      <c r="F525" s="300"/>
      <c r="G525" s="300">
        <v>7.6669999999669898</v>
      </c>
      <c r="H525" s="300">
        <v>2.6090000000212172</v>
      </c>
      <c r="I525" s="300">
        <v>6.9389999999918262</v>
      </c>
      <c r="J525" s="300">
        <f t="shared" ref="J525:J526" si="1378">SUM(G525:I525)</f>
        <v>17.214999999980034</v>
      </c>
      <c r="K525" s="300"/>
      <c r="L525" s="300">
        <v>5.9750000000245045</v>
      </c>
      <c r="M525" s="300">
        <v>2.8279999999828642</v>
      </c>
      <c r="N525" s="300">
        <v>7.5980000003609085</v>
      </c>
      <c r="O525" s="300">
        <f t="shared" ref="O525:O526" si="1379">SUM(L525:N525)</f>
        <v>16.401000000368278</v>
      </c>
      <c r="P525" s="300"/>
      <c r="Q525" s="300">
        <v>6.4770000000306203</v>
      </c>
      <c r="R525" s="300">
        <v>3.0679999999758416</v>
      </c>
      <c r="S525" s="300">
        <v>7.7260000007541914</v>
      </c>
      <c r="T525" s="300">
        <f t="shared" ref="T525:T526" si="1380">SUM(Q525:S525)</f>
        <v>17.271000000760655</v>
      </c>
      <c r="U525" s="300"/>
      <c r="V525" s="300">
        <v>6.9240000000485589</v>
      </c>
      <c r="W525" s="300">
        <v>3.1449999999759046</v>
      </c>
      <c r="X525" s="300">
        <v>7.5580000005757526</v>
      </c>
      <c r="Y525" s="300">
        <f t="shared" ref="Y525:Y526" si="1381">SUM(V525:X525)</f>
        <v>17.627000000600216</v>
      </c>
    </row>
    <row r="526" spans="1:25" x14ac:dyDescent="0.2">
      <c r="A526" s="260" t="s">
        <v>354</v>
      </c>
      <c r="B526" s="300">
        <f>SUM(B524:B525)</f>
        <v>13.799999999881123</v>
      </c>
      <c r="C526" s="300">
        <f t="shared" ref="C526" si="1382">SUM(C524:C525)</f>
        <v>7.3080000000206589</v>
      </c>
      <c r="D526" s="300">
        <f t="shared" ref="D526" si="1383">SUM(D524:D525)</f>
        <v>17.057000000307202</v>
      </c>
      <c r="E526" s="300">
        <f t="shared" si="1377"/>
        <v>38.165000000208984</v>
      </c>
      <c r="F526" s="300"/>
      <c r="G526" s="300">
        <f>SUM(G524:G525)</f>
        <v>14.604999999891003</v>
      </c>
      <c r="H526" s="300">
        <f t="shared" ref="H526" si="1384">SUM(H524:H525)</f>
        <v>8.7960000000258258</v>
      </c>
      <c r="I526" s="300">
        <f t="shared" ref="I526" si="1385">SUM(I524:I525)</f>
        <v>16.261000000049865</v>
      </c>
      <c r="J526" s="300">
        <f t="shared" si="1378"/>
        <v>39.661999999966696</v>
      </c>
      <c r="K526" s="300"/>
      <c r="L526" s="300">
        <f>SUM(L524:L525)</f>
        <v>13.291000000052529</v>
      </c>
      <c r="M526" s="300">
        <f t="shared" ref="M526" si="1386">SUM(M524:M525)</f>
        <v>7.8929999999489233</v>
      </c>
      <c r="N526" s="300">
        <f t="shared" ref="N526" si="1387">SUM(N524:N525)</f>
        <v>25.915000000173141</v>
      </c>
      <c r="O526" s="300">
        <f t="shared" si="1379"/>
        <v>47.099000000174598</v>
      </c>
      <c r="P526" s="300"/>
      <c r="Q526" s="300">
        <f>SUM(Q524:Q525)</f>
        <v>14.172000000162036</v>
      </c>
      <c r="R526" s="300">
        <f t="shared" ref="R526" si="1388">SUM(R524:R525)</f>
        <v>8.8059999999252181</v>
      </c>
      <c r="S526" s="300">
        <f t="shared" ref="S526" si="1389">SUM(S524:S525)</f>
        <v>27.169000001031243</v>
      </c>
      <c r="T526" s="300">
        <f t="shared" si="1380"/>
        <v>50.147000001118499</v>
      </c>
      <c r="U526" s="300"/>
      <c r="V526" s="300">
        <f>SUM(V524:V525)</f>
        <v>14.576000000071351</v>
      </c>
      <c r="W526" s="300">
        <f t="shared" ref="W526" si="1390">SUM(W524:W525)</f>
        <v>9.41199999995907</v>
      </c>
      <c r="X526" s="300">
        <f t="shared" ref="X526" si="1391">SUM(X524:X525)</f>
        <v>29.671000000662165</v>
      </c>
      <c r="Y526" s="300">
        <f t="shared" si="1381"/>
        <v>53.659000000692586</v>
      </c>
    </row>
    <row r="527" spans="1:25" x14ac:dyDescent="0.2">
      <c r="C527" s="319"/>
      <c r="D527" s="319"/>
      <c r="E527" s="319"/>
      <c r="F527" s="319"/>
      <c r="G527" s="319"/>
      <c r="H527" s="319"/>
      <c r="I527" s="319"/>
      <c r="J527" s="319"/>
      <c r="K527" s="319"/>
      <c r="L527" s="319"/>
      <c r="M527" s="319"/>
      <c r="N527" s="319"/>
      <c r="O527" s="319"/>
      <c r="P527" s="319"/>
      <c r="Q527" s="319"/>
      <c r="R527" s="319"/>
      <c r="S527" s="319"/>
      <c r="T527" s="319"/>
      <c r="U527" s="319"/>
      <c r="V527" s="319"/>
      <c r="W527" s="319"/>
      <c r="X527" s="319"/>
      <c r="Y527" s="319"/>
    </row>
    <row r="528" spans="1:25" x14ac:dyDescent="0.2">
      <c r="A528" s="261" t="str">
        <f>name!A74</f>
        <v>Gambling and betting</v>
      </c>
      <c r="C528" s="263"/>
    </row>
    <row r="529" spans="1:25" x14ac:dyDescent="0.2">
      <c r="A529" s="260" t="s">
        <v>356</v>
      </c>
      <c r="B529" s="300">
        <v>2.9079999999663184</v>
      </c>
      <c r="C529" s="300">
        <v>2.8859999999981096</v>
      </c>
      <c r="D529" s="300">
        <v>1.8920000000104089</v>
      </c>
      <c r="E529" s="300">
        <f>SUM(B529:D529)</f>
        <v>7.685999999974837</v>
      </c>
      <c r="F529" s="300"/>
      <c r="G529" s="300">
        <v>2.4549999999731131</v>
      </c>
      <c r="H529" s="300">
        <v>3.0190000000022552</v>
      </c>
      <c r="I529" s="300">
        <v>1.5370000000095705</v>
      </c>
      <c r="J529" s="300">
        <f>SUM(G529:I529)</f>
        <v>7.0109999999849393</v>
      </c>
      <c r="K529" s="300"/>
      <c r="L529" s="300">
        <v>2.3080000000088448</v>
      </c>
      <c r="M529" s="300">
        <v>2.4769999999833989</v>
      </c>
      <c r="N529" s="300">
        <v>1.9499999999800126</v>
      </c>
      <c r="O529" s="300">
        <f>SUM(L529:N529)</f>
        <v>6.7349999999722563</v>
      </c>
      <c r="P529" s="300"/>
      <c r="Q529" s="300">
        <v>2.6020000000444359</v>
      </c>
      <c r="R529" s="300">
        <v>2.8759999999746251</v>
      </c>
      <c r="S529" s="300">
        <v>2.2170000000315921</v>
      </c>
      <c r="T529" s="300">
        <f>SUM(Q529:S529)</f>
        <v>7.6950000000506531</v>
      </c>
      <c r="U529" s="300"/>
      <c r="V529" s="300">
        <v>2.7910000000083128</v>
      </c>
      <c r="W529" s="300">
        <v>3.2259999999913314</v>
      </c>
      <c r="X529" s="300">
        <v>2.4610000000096188</v>
      </c>
      <c r="Y529" s="300">
        <f>SUM(V529:X529)</f>
        <v>8.4780000000092635</v>
      </c>
    </row>
    <row r="530" spans="1:25" x14ac:dyDescent="0.2">
      <c r="A530" s="260" t="s">
        <v>355</v>
      </c>
      <c r="B530" s="300">
        <v>10.477999999932734</v>
      </c>
      <c r="C530" s="300">
        <v>4.9410000000596535</v>
      </c>
      <c r="D530" s="300">
        <v>2.2860000000622476</v>
      </c>
      <c r="E530" s="300">
        <f t="shared" ref="E530:E531" si="1392">SUM(B530:D530)</f>
        <v>17.705000000054635</v>
      </c>
      <c r="F530" s="300"/>
      <c r="G530" s="300">
        <v>8.4789999999634968</v>
      </c>
      <c r="H530" s="300">
        <v>5.0490000000410493</v>
      </c>
      <c r="I530" s="300">
        <v>1.7309999999979613</v>
      </c>
      <c r="J530" s="300">
        <f t="shared" ref="J530:J531" si="1393">SUM(G530:I530)</f>
        <v>15.259000000002507</v>
      </c>
      <c r="K530" s="300"/>
      <c r="L530" s="300">
        <v>8.1940000000336095</v>
      </c>
      <c r="M530" s="300">
        <v>4.5279999999725602</v>
      </c>
      <c r="N530" s="300">
        <v>2.063000000097992</v>
      </c>
      <c r="O530" s="300">
        <f t="shared" ref="O530:O531" si="1394">SUM(L530:N530)</f>
        <v>14.78500000010416</v>
      </c>
      <c r="P530" s="300"/>
      <c r="Q530" s="300">
        <v>9.5540000000451712</v>
      </c>
      <c r="R530" s="300">
        <v>5.4529999999570595</v>
      </c>
      <c r="S530" s="300">
        <v>2.5660000002504861</v>
      </c>
      <c r="T530" s="300">
        <f t="shared" ref="T530:T531" si="1395">SUM(Q530:S530)</f>
        <v>17.573000000252716</v>
      </c>
      <c r="U530" s="300"/>
      <c r="V530" s="300">
        <v>10.925000000076613</v>
      </c>
      <c r="W530" s="300">
        <v>6.5379999999499043</v>
      </c>
      <c r="X530" s="300">
        <v>3.2970000002511584</v>
      </c>
      <c r="Y530" s="300">
        <f t="shared" ref="Y530:Y531" si="1396">SUM(V530:X530)</f>
        <v>20.760000000277678</v>
      </c>
    </row>
    <row r="531" spans="1:25" x14ac:dyDescent="0.2">
      <c r="A531" s="260" t="s">
        <v>354</v>
      </c>
      <c r="B531" s="300">
        <f>SUM(B529:B530)</f>
        <v>13.385999999899052</v>
      </c>
      <c r="C531" s="300">
        <f t="shared" ref="C531" si="1397">SUM(C529:C530)</f>
        <v>7.8270000000577635</v>
      </c>
      <c r="D531" s="300">
        <f t="shared" ref="D531" si="1398">SUM(D529:D530)</f>
        <v>4.1780000000726565</v>
      </c>
      <c r="E531" s="300">
        <f t="shared" si="1392"/>
        <v>25.391000000029472</v>
      </c>
      <c r="F531" s="300"/>
      <c r="G531" s="300">
        <f>SUM(G529:G530)</f>
        <v>10.93399999993661</v>
      </c>
      <c r="H531" s="300">
        <f t="shared" ref="H531" si="1399">SUM(H529:H530)</f>
        <v>8.0680000000433054</v>
      </c>
      <c r="I531" s="300">
        <f t="shared" ref="I531" si="1400">SUM(I529:I530)</f>
        <v>3.2680000000075315</v>
      </c>
      <c r="J531" s="300">
        <f t="shared" si="1393"/>
        <v>22.269999999987448</v>
      </c>
      <c r="K531" s="300"/>
      <c r="L531" s="300">
        <f>SUM(L529:L530)</f>
        <v>10.502000000042454</v>
      </c>
      <c r="M531" s="300">
        <f t="shared" ref="M531" si="1401">SUM(M529:M530)</f>
        <v>7.0049999999559596</v>
      </c>
      <c r="N531" s="300">
        <f t="shared" ref="N531" si="1402">SUM(N529:N530)</f>
        <v>4.0130000000780051</v>
      </c>
      <c r="O531" s="300">
        <f t="shared" si="1394"/>
        <v>21.520000000076418</v>
      </c>
      <c r="P531" s="300"/>
      <c r="Q531" s="300">
        <f>SUM(Q529:Q530)</f>
        <v>12.156000000089607</v>
      </c>
      <c r="R531" s="300">
        <f t="shared" ref="R531" si="1403">SUM(R529:R530)</f>
        <v>8.3289999999316855</v>
      </c>
      <c r="S531" s="300">
        <f t="shared" ref="S531" si="1404">SUM(S529:S530)</f>
        <v>4.7830000002820778</v>
      </c>
      <c r="T531" s="300">
        <f t="shared" si="1395"/>
        <v>25.268000000303374</v>
      </c>
      <c r="U531" s="300"/>
      <c r="V531" s="300">
        <f>SUM(V529:V530)</f>
        <v>13.716000000084925</v>
      </c>
      <c r="W531" s="300">
        <f t="shared" ref="W531" si="1405">SUM(W529:W530)</f>
        <v>9.7639999999412357</v>
      </c>
      <c r="X531" s="300">
        <f t="shared" ref="X531" si="1406">SUM(X529:X530)</f>
        <v>5.7580000002607772</v>
      </c>
      <c r="Y531" s="300">
        <f t="shared" si="1396"/>
        <v>29.238000000286938</v>
      </c>
    </row>
    <row r="532" spans="1:25" x14ac:dyDescent="0.2">
      <c r="C532" s="319"/>
      <c r="D532" s="319"/>
      <c r="E532" s="319"/>
      <c r="F532" s="319"/>
      <c r="G532" s="319"/>
      <c r="H532" s="319"/>
      <c r="I532" s="319"/>
      <c r="J532" s="319"/>
      <c r="K532" s="319"/>
      <c r="L532" s="319"/>
      <c r="M532" s="319"/>
      <c r="N532" s="319"/>
      <c r="O532" s="319"/>
      <c r="P532" s="319"/>
      <c r="Q532" s="319"/>
      <c r="R532" s="319"/>
      <c r="S532" s="319"/>
      <c r="T532" s="319"/>
      <c r="U532" s="319"/>
      <c r="V532" s="319"/>
      <c r="W532" s="319"/>
      <c r="X532" s="319"/>
      <c r="Y532" s="319"/>
    </row>
    <row r="533" spans="1:25" x14ac:dyDescent="0.2">
      <c r="A533" s="261" t="str">
        <f>name!A75</f>
        <v>Sport and recreation</v>
      </c>
      <c r="C533" s="263"/>
    </row>
    <row r="534" spans="1:25" x14ac:dyDescent="0.2">
      <c r="A534" s="260" t="s">
        <v>356</v>
      </c>
      <c r="B534" s="300">
        <v>11.70399999986553</v>
      </c>
      <c r="C534" s="300">
        <v>20.960000000005362</v>
      </c>
      <c r="D534" s="300">
        <v>5.6770000000385394</v>
      </c>
      <c r="E534" s="300">
        <f>SUM(B534:D534)</f>
        <v>38.340999999909435</v>
      </c>
      <c r="F534" s="300"/>
      <c r="G534" s="300">
        <v>12.294999999865988</v>
      </c>
      <c r="H534" s="300">
        <v>19.486000000033329</v>
      </c>
      <c r="I534" s="300">
        <v>4.9320000000382125</v>
      </c>
      <c r="J534" s="300">
        <f>SUM(G534:I534)</f>
        <v>36.71299999993753</v>
      </c>
      <c r="K534" s="300"/>
      <c r="L534" s="300">
        <v>11.559000000043547</v>
      </c>
      <c r="M534" s="300">
        <v>15.98799999990077</v>
      </c>
      <c r="N534" s="300">
        <v>6.257999999926513</v>
      </c>
      <c r="O534" s="300">
        <f>SUM(L534:N534)</f>
        <v>33.80499999987083</v>
      </c>
      <c r="P534" s="300"/>
      <c r="Q534" s="300">
        <v>13.032000000222034</v>
      </c>
      <c r="R534" s="300">
        <v>18.564999999853537</v>
      </c>
      <c r="S534" s="300">
        <v>7.1150000000852316</v>
      </c>
      <c r="T534" s="300">
        <f>SUM(Q534:S534)</f>
        <v>38.712000000160799</v>
      </c>
      <c r="U534" s="300"/>
      <c r="V534" s="300">
        <v>13.981000000041533</v>
      </c>
      <c r="W534" s="300">
        <v>20.82599999994024</v>
      </c>
      <c r="X534" s="300">
        <v>7.8980000000194828</v>
      </c>
      <c r="Y534" s="300">
        <f>SUM(V534:X534)</f>
        <v>42.705000000001249</v>
      </c>
    </row>
    <row r="535" spans="1:25" x14ac:dyDescent="0.2">
      <c r="A535" s="260" t="s">
        <v>355</v>
      </c>
      <c r="B535" s="300">
        <v>12.615999999924089</v>
      </c>
      <c r="C535" s="300">
        <v>12.375000000152706</v>
      </c>
      <c r="D535" s="300">
        <v>5.8710000001622396</v>
      </c>
      <c r="E535" s="300">
        <f t="shared" ref="E535:E536" si="1407">SUM(B535:D535)</f>
        <v>30.862000000239036</v>
      </c>
      <c r="F535" s="300"/>
      <c r="G535" s="300">
        <v>12.703999999949783</v>
      </c>
      <c r="H535" s="300">
        <v>11.240000000093138</v>
      </c>
      <c r="I535" s="300">
        <v>4.7519999999970066</v>
      </c>
      <c r="J535" s="300">
        <f t="shared" ref="J535:J536" si="1408">SUM(G535:I535)</f>
        <v>28.696000000039927</v>
      </c>
      <c r="K535" s="300"/>
      <c r="L535" s="300">
        <v>12.27700000004795</v>
      </c>
      <c r="M535" s="300">
        <v>10.080999999938225</v>
      </c>
      <c r="N535" s="300">
        <v>5.666000000264285</v>
      </c>
      <c r="O535" s="300">
        <f t="shared" ref="O535:O536" si="1409">SUM(L535:N535)</f>
        <v>28.02400000025046</v>
      </c>
      <c r="P535" s="300"/>
      <c r="Q535" s="300">
        <v>14.314000000062792</v>
      </c>
      <c r="R535" s="300">
        <v>12.139999999902971</v>
      </c>
      <c r="S535" s="300">
        <v>7.0470000006760714</v>
      </c>
      <c r="T535" s="300">
        <f t="shared" ref="T535:T536" si="1410">SUM(Q535:S535)</f>
        <v>33.501000000641838</v>
      </c>
      <c r="U535" s="300"/>
      <c r="V535" s="300">
        <v>16.368000000108179</v>
      </c>
      <c r="W535" s="300">
        <v>14.554999999887208</v>
      </c>
      <c r="X535" s="300">
        <v>9.0520000006746937</v>
      </c>
      <c r="Y535" s="300">
        <f t="shared" ref="Y535:Y536" si="1411">SUM(V535:X535)</f>
        <v>39.975000000670079</v>
      </c>
    </row>
    <row r="536" spans="1:25" x14ac:dyDescent="0.2">
      <c r="A536" s="260" t="s">
        <v>354</v>
      </c>
      <c r="B536" s="300">
        <f>SUM(B534:B535)</f>
        <v>24.319999999789619</v>
      </c>
      <c r="C536" s="300">
        <f t="shared" ref="C536" si="1412">SUM(C534:C535)</f>
        <v>33.335000000158068</v>
      </c>
      <c r="D536" s="300">
        <f t="shared" ref="D536" si="1413">SUM(D534:D535)</f>
        <v>11.54800000020078</v>
      </c>
      <c r="E536" s="300">
        <f t="shared" si="1407"/>
        <v>69.203000000148478</v>
      </c>
      <c r="F536" s="300"/>
      <c r="G536" s="300">
        <f>SUM(G534:G535)</f>
        <v>24.998999999815773</v>
      </c>
      <c r="H536" s="300">
        <f t="shared" ref="H536" si="1414">SUM(H534:H535)</f>
        <v>30.726000000126469</v>
      </c>
      <c r="I536" s="300">
        <f t="shared" ref="I536" si="1415">SUM(I534:I535)</f>
        <v>9.6840000000352191</v>
      </c>
      <c r="J536" s="300">
        <f t="shared" si="1408"/>
        <v>65.408999999977453</v>
      </c>
      <c r="K536" s="300"/>
      <c r="L536" s="300">
        <f>SUM(L534:L535)</f>
        <v>23.836000000091495</v>
      </c>
      <c r="M536" s="300">
        <f t="shared" ref="M536" si="1416">SUM(M534:M535)</f>
        <v>26.068999999838994</v>
      </c>
      <c r="N536" s="300">
        <f t="shared" ref="N536" si="1417">SUM(N534:N535)</f>
        <v>11.924000000190798</v>
      </c>
      <c r="O536" s="300">
        <f t="shared" si="1409"/>
        <v>61.829000000121283</v>
      </c>
      <c r="P536" s="300"/>
      <c r="Q536" s="300">
        <f>SUM(Q534:Q535)</f>
        <v>27.346000000284825</v>
      </c>
      <c r="R536" s="300">
        <f t="shared" ref="R536" si="1418">SUM(R534:R535)</f>
        <v>30.70499999975651</v>
      </c>
      <c r="S536" s="300">
        <f t="shared" ref="S536" si="1419">SUM(S534:S535)</f>
        <v>14.162000000761303</v>
      </c>
      <c r="T536" s="300">
        <f t="shared" si="1410"/>
        <v>72.213000000802637</v>
      </c>
      <c r="U536" s="300"/>
      <c r="V536" s="300">
        <f>SUM(V534:V535)</f>
        <v>30.349000000149712</v>
      </c>
      <c r="W536" s="300">
        <f t="shared" ref="W536" si="1420">SUM(W534:W535)</f>
        <v>35.380999999827452</v>
      </c>
      <c r="X536" s="300">
        <f t="shared" ref="X536" si="1421">SUM(X534:X535)</f>
        <v>16.950000000694175</v>
      </c>
      <c r="Y536" s="300">
        <f t="shared" si="1411"/>
        <v>82.680000000671342</v>
      </c>
    </row>
    <row r="537" spans="1:25" x14ac:dyDescent="0.2">
      <c r="A537" s="261"/>
    </row>
    <row r="538" spans="1:25" x14ac:dyDescent="0.2">
      <c r="A538" s="261" t="s">
        <v>358</v>
      </c>
    </row>
    <row r="539" spans="1:25" x14ac:dyDescent="0.2">
      <c r="A539" s="260" t="s">
        <v>356</v>
      </c>
      <c r="B539" s="300">
        <f>SUM(B519,B524,B529,B534)</f>
        <v>31.143999999640368</v>
      </c>
      <c r="C539" s="300">
        <f t="shared" ref="C539:D540" si="1422">SUM(C519,C524,C529,C534)</f>
        <v>37.865999999994273</v>
      </c>
      <c r="D539" s="300">
        <f t="shared" si="1422"/>
        <v>26.245000000151681</v>
      </c>
      <c r="E539" s="300">
        <f>SUM(B539:D539)</f>
        <v>95.254999999786321</v>
      </c>
      <c r="F539" s="300"/>
      <c r="G539" s="300">
        <f>SUM(G519,G524,G529,G534)</f>
        <v>33.962999999628686</v>
      </c>
      <c r="H539" s="300">
        <f t="shared" ref="H539:I539" si="1423">SUM(H519,H524,H529,H534)</f>
        <v>38.843000000047759</v>
      </c>
      <c r="I539" s="300">
        <f t="shared" si="1423"/>
        <v>29.240000000189564</v>
      </c>
      <c r="J539" s="300">
        <f>SUM(G539:I539)</f>
        <v>102.04599999986601</v>
      </c>
      <c r="K539" s="300"/>
      <c r="L539" s="300">
        <f>SUM(L519,L524,L529,L534)</f>
        <v>34.12700000013001</v>
      </c>
      <c r="M539" s="300">
        <f t="shared" ref="M539:N539" si="1424">SUM(M519,M524,M529,M534)</f>
        <v>31.83999999979455</v>
      </c>
      <c r="N539" s="300">
        <f t="shared" si="1424"/>
        <v>52.94999999944789</v>
      </c>
      <c r="O539" s="300">
        <f>SUM(L539:N539)</f>
        <v>118.91699999937245</v>
      </c>
      <c r="P539" s="300"/>
      <c r="Q539" s="300">
        <f>SUM(Q519,Q524,Q529,Q534)</f>
        <v>36.943000000630406</v>
      </c>
      <c r="R539" s="300">
        <f t="shared" ref="R539:S539" si="1425">SUM(R519,R524,R529,R534)</f>
        <v>36.593999999694482</v>
      </c>
      <c r="S539" s="300">
        <f t="shared" si="1425"/>
        <v>56.824000000793596</v>
      </c>
      <c r="T539" s="300">
        <f>SUM(Q539:S539)</f>
        <v>130.3610000011185</v>
      </c>
      <c r="U539" s="300"/>
      <c r="V539" s="300">
        <f>SUM(V519,V524,V529,V534)</f>
        <v>37.962000000112972</v>
      </c>
      <c r="W539" s="300">
        <f t="shared" ref="W539:X539" si="1426">SUM(W519,W524,W529,W534)</f>
        <v>40.601999999887099</v>
      </c>
      <c r="X539" s="300">
        <f t="shared" si="1426"/>
        <v>64.373000000240197</v>
      </c>
      <c r="Y539" s="300">
        <f>SUM(V539:X539)</f>
        <v>142.93700000024029</v>
      </c>
    </row>
    <row r="540" spans="1:25" x14ac:dyDescent="0.2">
      <c r="A540" s="260" t="s">
        <v>355</v>
      </c>
      <c r="B540" s="300">
        <f>SUM(B520,B525,B530,B535)</f>
        <v>43.419999999726301</v>
      </c>
      <c r="C540" s="300">
        <f t="shared" si="1422"/>
        <v>23.79200000029055</v>
      </c>
      <c r="D540" s="300">
        <f t="shared" si="1422"/>
        <v>38.715000001056637</v>
      </c>
      <c r="E540" s="300">
        <f t="shared" ref="E540:E541" si="1427">SUM(B540:D540)</f>
        <v>105.92700000107348</v>
      </c>
      <c r="F540" s="300"/>
      <c r="G540" s="300">
        <f>SUM(G520,G525,G530,G535)</f>
        <v>40.495999999830104</v>
      </c>
      <c r="H540" s="300">
        <f t="shared" ref="H540:I540" si="1428">SUM(H520,H525,H530,H535)</f>
        <v>24.741000000202909</v>
      </c>
      <c r="I540" s="300">
        <f t="shared" si="1428"/>
        <v>26.802999999971036</v>
      </c>
      <c r="J540" s="300">
        <f t="shared" ref="J540:J541" si="1429">SUM(G540:I540)</f>
        <v>92.040000000004056</v>
      </c>
      <c r="K540" s="300"/>
      <c r="L540" s="300">
        <f>SUM(L520,L525,L530,L535)</f>
        <v>35.522000000143272</v>
      </c>
      <c r="M540" s="300">
        <f t="shared" ref="M540:N540" si="1430">SUM(M520,M525,M530,M535)</f>
        <v>23.770999999855281</v>
      </c>
      <c r="N540" s="300">
        <f t="shared" si="1430"/>
        <v>29.977000001419036</v>
      </c>
      <c r="O540" s="300">
        <f t="shared" ref="O540:O541" si="1431">SUM(L540:N540)</f>
        <v>89.2700000014176</v>
      </c>
      <c r="P540" s="300"/>
      <c r="Q540" s="300">
        <f>SUM(Q520,Q525,Q530,Q535)</f>
        <v>40.184000000185108</v>
      </c>
      <c r="R540" s="300">
        <f t="shared" ref="R540:S540" si="1432">SUM(R520,R525,R530,R535)</f>
        <v>27.529999999781779</v>
      </c>
      <c r="S540" s="300">
        <f t="shared" si="1432"/>
        <v>32.236000003134947</v>
      </c>
      <c r="T540" s="300">
        <f t="shared" ref="T540:T541" si="1433">SUM(Q540:S540)</f>
        <v>99.950000003101835</v>
      </c>
      <c r="U540" s="300"/>
      <c r="V540" s="300">
        <f>SUM(V520,V525,V530,V535)</f>
        <v>44.735000000307124</v>
      </c>
      <c r="W540" s="300">
        <f t="shared" ref="W540:X540" si="1434">SUM(W520,W525,W530,W535)</f>
        <v>31.280999999759057</v>
      </c>
      <c r="X540" s="300">
        <f t="shared" si="1434"/>
        <v>34.481000002611829</v>
      </c>
      <c r="Y540" s="300">
        <f t="shared" ref="Y540:Y541" si="1435">SUM(V540:X540)</f>
        <v>110.49700000267802</v>
      </c>
    </row>
    <row r="541" spans="1:25" x14ac:dyDescent="0.2">
      <c r="A541" s="264" t="s">
        <v>354</v>
      </c>
      <c r="B541" s="301">
        <f>SUM(B539:B540)</f>
        <v>74.563999999366672</v>
      </c>
      <c r="C541" s="301">
        <f t="shared" ref="C541" si="1436">SUM(C539:C540)</f>
        <v>61.658000000284822</v>
      </c>
      <c r="D541" s="301">
        <f t="shared" ref="D541" si="1437">SUM(D539:D540)</f>
        <v>64.960000001208314</v>
      </c>
      <c r="E541" s="301">
        <f t="shared" si="1427"/>
        <v>201.18200000085983</v>
      </c>
      <c r="F541" s="301"/>
      <c r="G541" s="301">
        <f>SUM(G539:G540)</f>
        <v>74.458999999458797</v>
      </c>
      <c r="H541" s="301">
        <f t="shared" ref="H541" si="1438">SUM(H539:H540)</f>
        <v>63.584000000250668</v>
      </c>
      <c r="I541" s="301">
        <f t="shared" ref="I541" si="1439">SUM(I539:I540)</f>
        <v>56.043000000160603</v>
      </c>
      <c r="J541" s="301">
        <f t="shared" si="1429"/>
        <v>194.08599999987007</v>
      </c>
      <c r="K541" s="301"/>
      <c r="L541" s="301">
        <f>SUM(L539:L540)</f>
        <v>69.649000000273276</v>
      </c>
      <c r="M541" s="301">
        <f t="shared" ref="M541" si="1440">SUM(M539:M540)</f>
        <v>55.610999999649835</v>
      </c>
      <c r="N541" s="301">
        <f t="shared" ref="N541" si="1441">SUM(N539:N540)</f>
        <v>82.927000000866926</v>
      </c>
      <c r="O541" s="301">
        <f t="shared" si="1431"/>
        <v>208.18700000079002</v>
      </c>
      <c r="P541" s="301"/>
      <c r="Q541" s="301">
        <f>SUM(Q539:Q540)</f>
        <v>77.127000000815514</v>
      </c>
      <c r="R541" s="301">
        <f t="shared" ref="R541" si="1442">SUM(R539:R540)</f>
        <v>64.123999999476268</v>
      </c>
      <c r="S541" s="301">
        <f t="shared" ref="S541" si="1443">SUM(S539:S540)</f>
        <v>89.060000003928536</v>
      </c>
      <c r="T541" s="301">
        <f t="shared" si="1433"/>
        <v>230.31100000422032</v>
      </c>
      <c r="U541" s="301"/>
      <c r="V541" s="301">
        <f>SUM(V539:V540)</f>
        <v>82.697000000420104</v>
      </c>
      <c r="W541" s="301">
        <f t="shared" ref="W541" si="1444">SUM(W539:W540)</f>
        <v>71.882999999646159</v>
      </c>
      <c r="X541" s="301">
        <f t="shared" ref="X541" si="1445">SUM(X539:X540)</f>
        <v>98.854000002852018</v>
      </c>
      <c r="Y541" s="301">
        <f t="shared" si="1435"/>
        <v>253.43400000291828</v>
      </c>
    </row>
    <row r="545" spans="1:25" ht="15" x14ac:dyDescent="0.25">
      <c r="A545" s="265" t="str">
        <f>"Industry 22 : "&amp; name!B25</f>
        <v>Industry 22 : Other services</v>
      </c>
      <c r="B545" s="371">
        <f>$B$5</f>
        <v>2015</v>
      </c>
      <c r="C545" s="371"/>
      <c r="D545" s="371"/>
      <c r="E545" s="371"/>
      <c r="F545" s="320"/>
      <c r="G545" s="371">
        <f>$G$5</f>
        <v>2019</v>
      </c>
      <c r="H545" s="371"/>
      <c r="I545" s="371"/>
      <c r="J545" s="371"/>
      <c r="K545" s="320"/>
      <c r="L545" s="371">
        <f>$L$5</f>
        <v>2020</v>
      </c>
      <c r="M545" s="371"/>
      <c r="N545" s="371"/>
      <c r="O545" s="371"/>
      <c r="P545" s="318"/>
      <c r="Q545" s="371">
        <f>$Q$5</f>
        <v>2025</v>
      </c>
      <c r="R545" s="371"/>
      <c r="S545" s="371"/>
      <c r="T545" s="371"/>
      <c r="U545" s="320"/>
      <c r="V545" s="371">
        <f>$V$5</f>
        <v>2035</v>
      </c>
      <c r="W545" s="371"/>
      <c r="X545" s="371"/>
      <c r="Y545" s="371"/>
    </row>
    <row r="546" spans="1:25" x14ac:dyDescent="0.2">
      <c r="A546" s="264"/>
      <c r="B546" s="268" t="str">
        <f>$B$6</f>
        <v>FT</v>
      </c>
      <c r="C546" s="268" t="str">
        <f>$C$6</f>
        <v>PT</v>
      </c>
      <c r="D546" s="268" t="str">
        <f>$D$6</f>
        <v>SE</v>
      </c>
      <c r="E546" s="268" t="str">
        <f>$E$6</f>
        <v>Total</v>
      </c>
      <c r="F546" s="268"/>
      <c r="G546" s="268" t="str">
        <f>$B$6</f>
        <v>FT</v>
      </c>
      <c r="H546" s="268" t="str">
        <f>$C$6</f>
        <v>PT</v>
      </c>
      <c r="I546" s="268" t="str">
        <f>$D$6</f>
        <v>SE</v>
      </c>
      <c r="J546" s="268" t="str">
        <f>$E$6</f>
        <v>Total</v>
      </c>
      <c r="K546" s="268"/>
      <c r="L546" s="268" t="str">
        <f>$L$6</f>
        <v>FT</v>
      </c>
      <c r="M546" s="268" t="str">
        <f>$M$6</f>
        <v>PT</v>
      </c>
      <c r="N546" s="268" t="str">
        <f>$N$6</f>
        <v>SE</v>
      </c>
      <c r="O546" s="268" t="str">
        <f>$O$6</f>
        <v>Total</v>
      </c>
      <c r="P546" s="268"/>
      <c r="Q546" s="268" t="str">
        <f>$L$6</f>
        <v>FT</v>
      </c>
      <c r="R546" s="268" t="str">
        <f>$M$6</f>
        <v>PT</v>
      </c>
      <c r="S546" s="268" t="str">
        <f>$N$6</f>
        <v>SE</v>
      </c>
      <c r="T546" s="268" t="str">
        <f>$O$6</f>
        <v>Total</v>
      </c>
      <c r="U546" s="268"/>
      <c r="V546" s="268" t="str">
        <f>$V$6</f>
        <v>FT</v>
      </c>
      <c r="W546" s="268" t="str">
        <f>$W$6</f>
        <v>PT</v>
      </c>
      <c r="X546" s="268" t="str">
        <f>$X$6</f>
        <v>SE</v>
      </c>
      <c r="Y546" s="268" t="str">
        <f>$Y$6</f>
        <v>Total</v>
      </c>
    </row>
    <row r="547" spans="1:25" x14ac:dyDescent="0.2">
      <c r="C547" s="319"/>
      <c r="D547" s="319"/>
      <c r="E547" s="319"/>
      <c r="F547" s="319"/>
      <c r="G547" s="319"/>
      <c r="H547" s="319"/>
      <c r="I547" s="319"/>
      <c r="J547" s="319"/>
      <c r="K547" s="319"/>
      <c r="L547" s="319"/>
      <c r="M547" s="319"/>
      <c r="N547" s="319"/>
      <c r="O547" s="319"/>
      <c r="P547" s="319"/>
      <c r="Q547" s="319"/>
      <c r="R547" s="319"/>
      <c r="S547" s="319"/>
      <c r="T547" s="319"/>
      <c r="U547" s="319"/>
      <c r="V547" s="319"/>
      <c r="W547" s="319"/>
      <c r="X547" s="319"/>
      <c r="Y547" s="319"/>
    </row>
    <row r="548" spans="1:25" x14ac:dyDescent="0.2">
      <c r="A548" s="261" t="str">
        <f>name!A76</f>
        <v>Membership organisations</v>
      </c>
      <c r="C548" s="263"/>
    </row>
    <row r="549" spans="1:25" x14ac:dyDescent="0.2">
      <c r="A549" s="260" t="s">
        <v>356</v>
      </c>
      <c r="B549" s="300">
        <v>25.596999999621925</v>
      </c>
      <c r="C549" s="300">
        <v>16.619999999858983</v>
      </c>
      <c r="D549" s="300">
        <v>8.9500000000061313</v>
      </c>
      <c r="E549" s="300">
        <f>SUM(B549:D549)</f>
        <v>51.166999999487032</v>
      </c>
      <c r="F549" s="300"/>
      <c r="G549" s="300">
        <v>31.045999999578228</v>
      </c>
      <c r="H549" s="300">
        <v>12.28299999993035</v>
      </c>
      <c r="I549" s="300">
        <v>10.125000000014939</v>
      </c>
      <c r="J549" s="300">
        <f>SUM(G549:I549)</f>
        <v>53.453999999523518</v>
      </c>
      <c r="K549" s="300"/>
      <c r="L549" s="300">
        <v>29.405000000150615</v>
      </c>
      <c r="M549" s="300">
        <v>11.31299999989769</v>
      </c>
      <c r="N549" s="300">
        <v>7.6979999999770996</v>
      </c>
      <c r="O549" s="300">
        <f>SUM(L549:N549)</f>
        <v>48.416000000025406</v>
      </c>
      <c r="P549" s="300"/>
      <c r="Q549" s="300">
        <v>32.042000000620995</v>
      </c>
      <c r="R549" s="300">
        <v>12.543999999799809</v>
      </c>
      <c r="S549" s="300">
        <v>8.6850000000842247</v>
      </c>
      <c r="T549" s="300">
        <f>SUM(Q549:S549)</f>
        <v>53.271000000505026</v>
      </c>
      <c r="U549" s="300"/>
      <c r="V549" s="300">
        <v>32.592000000063599</v>
      </c>
      <c r="W549" s="300">
        <v>12.937999999954057</v>
      </c>
      <c r="X549" s="300">
        <v>9.1100000000145975</v>
      </c>
      <c r="Y549" s="300">
        <f>SUM(V549:X549)</f>
        <v>54.640000000032259</v>
      </c>
    </row>
    <row r="550" spans="1:25" x14ac:dyDescent="0.2">
      <c r="A550" s="260" t="s">
        <v>355</v>
      </c>
      <c r="B550" s="300">
        <v>22.860999999255714</v>
      </c>
      <c r="C550" s="300">
        <v>5.2919999999710043</v>
      </c>
      <c r="D550" s="300">
        <v>4.7190000000152184</v>
      </c>
      <c r="E550" s="300">
        <f t="shared" ref="E550:E551" si="1446">SUM(B550:D550)</f>
        <v>32.871999999241936</v>
      </c>
      <c r="F550" s="300"/>
      <c r="G550" s="300">
        <v>16.248999999628488</v>
      </c>
      <c r="H550" s="300">
        <v>5.6359999999663977</v>
      </c>
      <c r="I550" s="300">
        <v>9.2079999998512729</v>
      </c>
      <c r="J550" s="300">
        <f t="shared" ref="J550:J551" si="1447">SUM(G550:I550)</f>
        <v>31.092999999446157</v>
      </c>
      <c r="K550" s="300"/>
      <c r="L550" s="300">
        <v>16.312000000250112</v>
      </c>
      <c r="M550" s="300">
        <v>7.6070000000411975</v>
      </c>
      <c r="N550" s="300">
        <v>5.5280000002840355</v>
      </c>
      <c r="O550" s="300">
        <f t="shared" ref="O550:O551" si="1448">SUM(L550:N550)</f>
        <v>29.447000000575343</v>
      </c>
      <c r="P550" s="300"/>
      <c r="Q550" s="300">
        <v>18.950000000333592</v>
      </c>
      <c r="R550" s="300">
        <v>8.5259999999957632</v>
      </c>
      <c r="S550" s="300">
        <v>6.390000000598393</v>
      </c>
      <c r="T550" s="300">
        <f t="shared" ref="T550:T551" si="1449">SUM(Q550:S550)</f>
        <v>33.866000000927748</v>
      </c>
      <c r="U550" s="300"/>
      <c r="V550" s="300">
        <v>21.15700000036955</v>
      </c>
      <c r="W550" s="300">
        <v>9.1149999999614106</v>
      </c>
      <c r="X550" s="300">
        <v>7.2910000005223266</v>
      </c>
      <c r="Y550" s="300">
        <f t="shared" ref="Y550:Y551" si="1450">SUM(V550:X550)</f>
        <v>37.563000000853286</v>
      </c>
    </row>
    <row r="551" spans="1:25" x14ac:dyDescent="0.2">
      <c r="A551" s="260" t="s">
        <v>354</v>
      </c>
      <c r="B551" s="300">
        <f>SUM(B549:B550)</f>
        <v>48.457999998877639</v>
      </c>
      <c r="C551" s="300">
        <f t="shared" ref="C551" si="1451">SUM(C549:C550)</f>
        <v>21.911999999829987</v>
      </c>
      <c r="D551" s="300">
        <f t="shared" ref="D551" si="1452">SUM(D549:D550)</f>
        <v>13.669000000021349</v>
      </c>
      <c r="E551" s="300">
        <f t="shared" si="1446"/>
        <v>84.038999998728968</v>
      </c>
      <c r="F551" s="300"/>
      <c r="G551" s="300">
        <f>SUM(G549:G550)</f>
        <v>47.294999999206716</v>
      </c>
      <c r="H551" s="300">
        <f t="shared" ref="H551" si="1453">SUM(H549:H550)</f>
        <v>17.918999999896748</v>
      </c>
      <c r="I551" s="300">
        <f t="shared" ref="I551" si="1454">SUM(I549:I550)</f>
        <v>19.33299999986621</v>
      </c>
      <c r="J551" s="300">
        <f t="shared" si="1447"/>
        <v>84.546999998969682</v>
      </c>
      <c r="K551" s="300"/>
      <c r="L551" s="300">
        <f>SUM(L549:L550)</f>
        <v>45.717000000400731</v>
      </c>
      <c r="M551" s="300">
        <f t="shared" ref="M551" si="1455">SUM(M549:M550)</f>
        <v>18.919999999938888</v>
      </c>
      <c r="N551" s="300">
        <f t="shared" ref="N551" si="1456">SUM(N549:N550)</f>
        <v>13.226000000261134</v>
      </c>
      <c r="O551" s="300">
        <f t="shared" si="1448"/>
        <v>77.863000000600749</v>
      </c>
      <c r="P551" s="300"/>
      <c r="Q551" s="300">
        <f>SUM(Q549:Q550)</f>
        <v>50.99200000095459</v>
      </c>
      <c r="R551" s="300">
        <f t="shared" ref="R551" si="1457">SUM(R549:R550)</f>
        <v>21.06999999979557</v>
      </c>
      <c r="S551" s="300">
        <f t="shared" ref="S551" si="1458">SUM(S549:S550)</f>
        <v>15.075000000682618</v>
      </c>
      <c r="T551" s="300">
        <f t="shared" si="1449"/>
        <v>87.137000001432781</v>
      </c>
      <c r="U551" s="300"/>
      <c r="V551" s="300">
        <f>SUM(V549:V550)</f>
        <v>53.749000000433149</v>
      </c>
      <c r="W551" s="300">
        <f t="shared" ref="W551" si="1459">SUM(W549:W550)</f>
        <v>22.052999999915468</v>
      </c>
      <c r="X551" s="300">
        <f t="shared" ref="X551" si="1460">SUM(X549:X550)</f>
        <v>16.401000000536925</v>
      </c>
      <c r="Y551" s="300">
        <f t="shared" si="1450"/>
        <v>92.203000000885538</v>
      </c>
    </row>
    <row r="552" spans="1:25" x14ac:dyDescent="0.2">
      <c r="C552" s="319"/>
      <c r="D552" s="319"/>
      <c r="E552" s="319"/>
      <c r="F552" s="319"/>
      <c r="G552" s="319"/>
      <c r="H552" s="319"/>
      <c r="I552" s="319"/>
      <c r="J552" s="319"/>
      <c r="K552" s="319"/>
      <c r="L552" s="319"/>
      <c r="M552" s="319"/>
      <c r="N552" s="319"/>
      <c r="O552" s="319"/>
      <c r="P552" s="319"/>
      <c r="Q552" s="319"/>
      <c r="R552" s="319"/>
      <c r="S552" s="319"/>
      <c r="T552" s="319"/>
      <c r="U552" s="319"/>
      <c r="V552" s="319"/>
      <c r="W552" s="319"/>
      <c r="X552" s="319"/>
      <c r="Y552" s="319"/>
    </row>
    <row r="553" spans="1:25" x14ac:dyDescent="0.2">
      <c r="A553" s="261" t="str">
        <f>name!A77</f>
        <v>Repair of goods</v>
      </c>
      <c r="C553" s="263"/>
    </row>
    <row r="554" spans="1:25" x14ac:dyDescent="0.2">
      <c r="A554" s="260" t="s">
        <v>356</v>
      </c>
      <c r="B554" s="300">
        <v>0.9759999999873501</v>
      </c>
      <c r="C554" s="300">
        <v>0.6780000000368902</v>
      </c>
      <c r="D554" s="300">
        <v>0.42700000000396721</v>
      </c>
      <c r="E554" s="300">
        <f>SUM(B554:D554)</f>
        <v>2.0810000000282076</v>
      </c>
      <c r="F554" s="300"/>
      <c r="G554" s="300">
        <v>1.5959999999763415</v>
      </c>
      <c r="H554" s="300">
        <v>1.5260000000672536</v>
      </c>
      <c r="I554" s="300">
        <v>0.74500000000671873</v>
      </c>
      <c r="J554" s="300">
        <f>SUM(G554:I554)</f>
        <v>3.867000000050314</v>
      </c>
      <c r="K554" s="300"/>
      <c r="L554" s="300">
        <v>1.5119999999936071</v>
      </c>
      <c r="M554" s="300">
        <v>1.405000000028876</v>
      </c>
      <c r="N554" s="300">
        <v>0.56599999999433459</v>
      </c>
      <c r="O554" s="300">
        <f>SUM(L554:N554)</f>
        <v>3.4830000000168178</v>
      </c>
      <c r="P554" s="300"/>
      <c r="Q554" s="300">
        <v>1.6470000000440506</v>
      </c>
      <c r="R554" s="300">
        <v>1.5580000000596679</v>
      </c>
      <c r="S554" s="300">
        <v>0.63899999999898349</v>
      </c>
      <c r="T554" s="300">
        <f>SUM(Q554:S554)</f>
        <v>3.8440000001027022</v>
      </c>
      <c r="U554" s="300"/>
      <c r="V554" s="300">
        <v>1.6759999999984592</v>
      </c>
      <c r="W554" s="300">
        <v>1.6069999999823981</v>
      </c>
      <c r="X554" s="300">
        <v>0.66999999999773163</v>
      </c>
      <c r="Y554" s="300">
        <f>SUM(V554:X554)</f>
        <v>3.952999999978589</v>
      </c>
    </row>
    <row r="555" spans="1:25" x14ac:dyDescent="0.2">
      <c r="A555" s="260" t="s">
        <v>355</v>
      </c>
      <c r="B555" s="300">
        <v>2.8329999999601343</v>
      </c>
      <c r="C555" s="300">
        <v>0.19700000000780885</v>
      </c>
      <c r="D555" s="300">
        <v>0.64500000000937296</v>
      </c>
      <c r="E555" s="300">
        <f t="shared" ref="E555:E556" si="1461">SUM(B555:D555)</f>
        <v>3.6749999999773162</v>
      </c>
      <c r="F555" s="300"/>
      <c r="G555" s="300">
        <v>2.7159999999703826</v>
      </c>
      <c r="H555" s="300">
        <v>0.63900000002138124</v>
      </c>
      <c r="I555" s="300">
        <v>1.9410000000162391</v>
      </c>
      <c r="J555" s="300">
        <f t="shared" ref="J555:J556" si="1462">SUM(G555:I555)</f>
        <v>5.2960000000080028</v>
      </c>
      <c r="K555" s="300"/>
      <c r="L555" s="300">
        <v>2.7270000000118553</v>
      </c>
      <c r="M555" s="300">
        <v>0.86199999997790122</v>
      </c>
      <c r="N555" s="300">
        <v>3.5260000000342075</v>
      </c>
      <c r="O555" s="300">
        <f t="shared" ref="O555:O556" si="1463">SUM(L555:N555)</f>
        <v>7.1150000000239642</v>
      </c>
      <c r="P555" s="300"/>
      <c r="Q555" s="300">
        <v>3.1680000000290391</v>
      </c>
      <c r="R555" s="300">
        <v>0.9659999999792771</v>
      </c>
      <c r="S555" s="300">
        <v>4.2310000000834256</v>
      </c>
      <c r="T555" s="300">
        <f t="shared" ref="T555:T556" si="1464">SUM(Q555:S555)</f>
        <v>8.3650000000917419</v>
      </c>
      <c r="U555" s="300"/>
      <c r="V555" s="300">
        <v>3.5370000000270263</v>
      </c>
      <c r="W555" s="300">
        <v>1.0329999999739554</v>
      </c>
      <c r="X555" s="300">
        <v>4.6780000000428492</v>
      </c>
      <c r="Y555" s="300">
        <f t="shared" ref="Y555:Y556" si="1465">SUM(V555:X555)</f>
        <v>9.2480000000438309</v>
      </c>
    </row>
    <row r="556" spans="1:25" x14ac:dyDescent="0.2">
      <c r="A556" s="260" t="s">
        <v>354</v>
      </c>
      <c r="B556" s="300">
        <f>SUM(B554:B555)</f>
        <v>3.8089999999474844</v>
      </c>
      <c r="C556" s="300">
        <f t="shared" ref="C556" si="1466">SUM(C554:C555)</f>
        <v>0.87500000004469902</v>
      </c>
      <c r="D556" s="300">
        <f t="shared" ref="D556" si="1467">SUM(D554:D555)</f>
        <v>1.0720000000133401</v>
      </c>
      <c r="E556" s="300">
        <f t="shared" si="1461"/>
        <v>5.7560000000055229</v>
      </c>
      <c r="F556" s="300"/>
      <c r="G556" s="300">
        <f>SUM(G554:G555)</f>
        <v>4.3119999999467238</v>
      </c>
      <c r="H556" s="300">
        <f t="shared" ref="H556" si="1468">SUM(H554:H555)</f>
        <v>2.1650000000886349</v>
      </c>
      <c r="I556" s="300">
        <f t="shared" ref="I556" si="1469">SUM(I554:I555)</f>
        <v>2.6860000000229576</v>
      </c>
      <c r="J556" s="300">
        <f t="shared" si="1462"/>
        <v>9.1630000000583163</v>
      </c>
      <c r="K556" s="300"/>
      <c r="L556" s="300">
        <f>SUM(L554:L555)</f>
        <v>4.2390000000054622</v>
      </c>
      <c r="M556" s="300">
        <f t="shared" ref="M556" si="1470">SUM(M554:M555)</f>
        <v>2.2670000000067771</v>
      </c>
      <c r="N556" s="300">
        <f t="shared" ref="N556" si="1471">SUM(N554:N555)</f>
        <v>4.0920000000285421</v>
      </c>
      <c r="O556" s="300">
        <f t="shared" si="1463"/>
        <v>10.598000000040781</v>
      </c>
      <c r="P556" s="300"/>
      <c r="Q556" s="300">
        <f>SUM(Q554:Q555)</f>
        <v>4.8150000000730895</v>
      </c>
      <c r="R556" s="300">
        <f t="shared" ref="R556" si="1472">SUM(R554:R555)</f>
        <v>2.5240000000389449</v>
      </c>
      <c r="S556" s="300">
        <f t="shared" ref="S556" si="1473">SUM(S554:S555)</f>
        <v>4.8700000000824089</v>
      </c>
      <c r="T556" s="300">
        <f t="shared" si="1464"/>
        <v>12.209000000194443</v>
      </c>
      <c r="U556" s="300"/>
      <c r="V556" s="300">
        <f>SUM(V554:V555)</f>
        <v>5.2130000000254855</v>
      </c>
      <c r="W556" s="300">
        <f t="shared" ref="W556" si="1474">SUM(W554:W555)</f>
        <v>2.6399999999563537</v>
      </c>
      <c r="X556" s="300">
        <f t="shared" ref="X556" si="1475">SUM(X554:X555)</f>
        <v>5.3480000000405807</v>
      </c>
      <c r="Y556" s="300">
        <f t="shared" si="1465"/>
        <v>13.20100000002242</v>
      </c>
    </row>
    <row r="557" spans="1:25" x14ac:dyDescent="0.2">
      <c r="C557" s="319"/>
      <c r="D557" s="319"/>
      <c r="E557" s="319"/>
      <c r="F557" s="319"/>
      <c r="G557" s="319"/>
      <c r="H557" s="319"/>
      <c r="I557" s="319"/>
      <c r="J557" s="319"/>
      <c r="K557" s="319"/>
      <c r="L557" s="319"/>
      <c r="M557" s="319"/>
      <c r="N557" s="319"/>
      <c r="O557" s="319"/>
      <c r="P557" s="319"/>
      <c r="Q557" s="319"/>
      <c r="R557" s="319"/>
      <c r="S557" s="319"/>
      <c r="T557" s="319"/>
      <c r="U557" s="319"/>
      <c r="V557" s="319"/>
      <c r="W557" s="319"/>
      <c r="X557" s="319"/>
      <c r="Y557" s="319"/>
    </row>
    <row r="558" spans="1:25" x14ac:dyDescent="0.2">
      <c r="A558" s="261" t="str">
        <f>name!A78</f>
        <v>Other personal service</v>
      </c>
      <c r="C558" s="263"/>
    </row>
    <row r="559" spans="1:25" x14ac:dyDescent="0.2">
      <c r="A559" s="260" t="s">
        <v>356</v>
      </c>
      <c r="B559" s="300">
        <v>13.656999999940769</v>
      </c>
      <c r="C559" s="300">
        <v>13.840000000245793</v>
      </c>
      <c r="D559" s="300">
        <v>7.5270000002034028</v>
      </c>
      <c r="E559" s="300">
        <f>SUM(B559:D559)</f>
        <v>35.024000000389961</v>
      </c>
      <c r="F559" s="300"/>
      <c r="G559" s="300">
        <v>18.759999999884492</v>
      </c>
      <c r="H559" s="300">
        <v>14.959000000249306</v>
      </c>
      <c r="I559" s="300">
        <v>10.421000000298951</v>
      </c>
      <c r="J559" s="300">
        <f>SUM(G559:I559)</f>
        <v>44.14000000043275</v>
      </c>
      <c r="K559" s="300"/>
      <c r="L559" s="300">
        <v>17.768999999964482</v>
      </c>
      <c r="M559" s="300">
        <v>13.777999999946351</v>
      </c>
      <c r="N559" s="300">
        <v>7.9229999997660805</v>
      </c>
      <c r="O559" s="300">
        <f>SUM(L559:N559)</f>
        <v>39.469999999676915</v>
      </c>
      <c r="P559" s="300"/>
      <c r="Q559" s="300">
        <v>19.362000000235057</v>
      </c>
      <c r="R559" s="300">
        <v>15.276999999928236</v>
      </c>
      <c r="S559" s="300">
        <v>8.9389999998657554</v>
      </c>
      <c r="T559" s="300">
        <f>SUM(Q559:S559)</f>
        <v>43.57800000002905</v>
      </c>
      <c r="U559" s="300"/>
      <c r="V559" s="300">
        <v>19.6940000000582</v>
      </c>
      <c r="W559" s="300">
        <v>15.756999999874953</v>
      </c>
      <c r="X559" s="300">
        <v>9.3759999998986299</v>
      </c>
      <c r="Y559" s="300">
        <f>SUM(V559:X559)</f>
        <v>44.826999999831784</v>
      </c>
    </row>
    <row r="560" spans="1:25" x14ac:dyDescent="0.2">
      <c r="A560" s="260" t="s">
        <v>355</v>
      </c>
      <c r="B560" s="300">
        <v>19.436000000006576</v>
      </c>
      <c r="C560" s="300">
        <v>3.8870000000513301</v>
      </c>
      <c r="D560" s="300">
        <v>3.3670000001359131</v>
      </c>
      <c r="E560" s="300">
        <f t="shared" ref="E560:E561" si="1476">SUM(B560:D560)</f>
        <v>26.69000000019382</v>
      </c>
      <c r="F560" s="300"/>
      <c r="G560" s="300">
        <v>15.647000000010189</v>
      </c>
      <c r="H560" s="300">
        <v>6.0540000000426257</v>
      </c>
      <c r="I560" s="300">
        <v>8.0390000001224156</v>
      </c>
      <c r="J560" s="300">
        <f t="shared" ref="J560:J561" si="1477">SUM(G560:I560)</f>
        <v>29.740000000175229</v>
      </c>
      <c r="K560" s="300"/>
      <c r="L560" s="300">
        <v>15.70700000001781</v>
      </c>
      <c r="M560" s="300">
        <v>8.1709999999768712</v>
      </c>
      <c r="N560" s="300">
        <v>8.2660000001743743</v>
      </c>
      <c r="O560" s="300">
        <f t="shared" ref="O560:O561" si="1478">SUM(L560:N560)</f>
        <v>32.144000000169058</v>
      </c>
      <c r="P560" s="300"/>
      <c r="Q560" s="300">
        <v>18.246999999997005</v>
      </c>
      <c r="R560" s="300">
        <v>9.158999999952373</v>
      </c>
      <c r="S560" s="300">
        <v>9.4740000004621781</v>
      </c>
      <c r="T560" s="300">
        <f t="shared" ref="T560:T561" si="1479">SUM(Q560:S560)</f>
        <v>36.880000000411556</v>
      </c>
      <c r="U560" s="300"/>
      <c r="V560" s="300">
        <v>20.371999999995996</v>
      </c>
      <c r="W560" s="300">
        <v>9.7909999999338435</v>
      </c>
      <c r="X560" s="300">
        <v>10.372000000218019</v>
      </c>
      <c r="Y560" s="300">
        <f t="shared" ref="Y560:Y561" si="1480">SUM(V560:X560)</f>
        <v>40.535000000147861</v>
      </c>
    </row>
    <row r="561" spans="1:25" x14ac:dyDescent="0.2">
      <c r="A561" s="260" t="s">
        <v>354</v>
      </c>
      <c r="B561" s="300">
        <f>SUM(B559:B560)</f>
        <v>33.092999999947345</v>
      </c>
      <c r="C561" s="300">
        <f t="shared" ref="C561" si="1481">SUM(C559:C560)</f>
        <v>17.727000000297124</v>
      </c>
      <c r="D561" s="300">
        <f t="shared" ref="D561" si="1482">SUM(D559:D560)</f>
        <v>10.894000000339316</v>
      </c>
      <c r="E561" s="300">
        <f t="shared" si="1476"/>
        <v>61.714000000583788</v>
      </c>
      <c r="F561" s="300"/>
      <c r="G561" s="300">
        <f>SUM(G559:G560)</f>
        <v>34.40699999989468</v>
      </c>
      <c r="H561" s="300">
        <f t="shared" ref="H561" si="1483">SUM(H559:H560)</f>
        <v>21.013000000291932</v>
      </c>
      <c r="I561" s="300">
        <f t="shared" ref="I561" si="1484">SUM(I559:I560)</f>
        <v>18.460000000421367</v>
      </c>
      <c r="J561" s="300">
        <f t="shared" si="1477"/>
        <v>73.880000000607978</v>
      </c>
      <c r="K561" s="300"/>
      <c r="L561" s="300">
        <f>SUM(L559:L560)</f>
        <v>33.475999999982292</v>
      </c>
      <c r="M561" s="300">
        <f t="shared" ref="M561" si="1485">SUM(M559:M560)</f>
        <v>21.948999999923224</v>
      </c>
      <c r="N561" s="300">
        <f t="shared" ref="N561" si="1486">SUM(N559:N560)</f>
        <v>16.188999999940457</v>
      </c>
      <c r="O561" s="300">
        <f t="shared" si="1478"/>
        <v>71.613999999845973</v>
      </c>
      <c r="P561" s="300"/>
      <c r="Q561" s="300">
        <f>SUM(Q559:Q560)</f>
        <v>37.609000000232058</v>
      </c>
      <c r="R561" s="300">
        <f t="shared" ref="R561" si="1487">SUM(R559:R560)</f>
        <v>24.435999999880607</v>
      </c>
      <c r="S561" s="300">
        <f t="shared" ref="S561" si="1488">SUM(S559:S560)</f>
        <v>18.413000000327933</v>
      </c>
      <c r="T561" s="300">
        <f t="shared" si="1479"/>
        <v>80.458000000440592</v>
      </c>
      <c r="U561" s="300"/>
      <c r="V561" s="300">
        <f>SUM(V559:V560)</f>
        <v>40.066000000054196</v>
      </c>
      <c r="W561" s="300">
        <f t="shared" ref="W561" si="1489">SUM(W559:W560)</f>
        <v>25.547999999808795</v>
      </c>
      <c r="X561" s="300">
        <f t="shared" ref="X561" si="1490">SUM(X559:X560)</f>
        <v>19.748000000116647</v>
      </c>
      <c r="Y561" s="300">
        <f t="shared" si="1480"/>
        <v>85.361999999979631</v>
      </c>
    </row>
    <row r="562" spans="1:25" x14ac:dyDescent="0.2">
      <c r="A562" s="261"/>
      <c r="C562" s="263"/>
    </row>
    <row r="563" spans="1:25" x14ac:dyDescent="0.2">
      <c r="A563" s="261" t="s">
        <v>357</v>
      </c>
      <c r="C563" s="263"/>
    </row>
    <row r="564" spans="1:25" x14ac:dyDescent="0.2">
      <c r="A564" s="260" t="s">
        <v>356</v>
      </c>
      <c r="B564" s="300">
        <f>SUM(B549,B554,B559)</f>
        <v>40.229999999550046</v>
      </c>
      <c r="C564" s="300">
        <f t="shared" ref="C564:D564" si="1491">SUM(C549,C554,C559)</f>
        <v>31.138000000141666</v>
      </c>
      <c r="D564" s="300">
        <f t="shared" si="1491"/>
        <v>16.9040000002135</v>
      </c>
      <c r="E564" s="300">
        <f>SUM(B564:D564)</f>
        <v>88.271999999905205</v>
      </c>
      <c r="F564" s="300"/>
      <c r="G564" s="300">
        <f>SUM(G549,G554,G559)</f>
        <v>51.401999999439063</v>
      </c>
      <c r="H564" s="300">
        <f t="shared" ref="H564:I564" si="1492">SUM(H549,H554,H559)</f>
        <v>28.768000000246907</v>
      </c>
      <c r="I564" s="300">
        <f t="shared" si="1492"/>
        <v>21.291000000320608</v>
      </c>
      <c r="J564" s="300">
        <f>SUM(G564:I564)</f>
        <v>101.46100000000658</v>
      </c>
      <c r="K564" s="300"/>
      <c r="L564" s="300">
        <f>SUM(L549,L554,L559)</f>
        <v>48.686000000108706</v>
      </c>
      <c r="M564" s="300">
        <f t="shared" ref="M564" si="1493">SUM(M549,M554,M559)</f>
        <v>26.495999999872915</v>
      </c>
      <c r="N564" s="300">
        <f>SUM(N549,N554,N559)</f>
        <v>16.186999999737516</v>
      </c>
      <c r="O564" s="300">
        <f>SUM(L564:N564)</f>
        <v>91.368999999719136</v>
      </c>
      <c r="P564" s="300"/>
      <c r="Q564" s="300">
        <f>SUM(Q549,Q554,Q559)</f>
        <v>53.051000000900103</v>
      </c>
      <c r="R564" s="300">
        <f t="shared" ref="R564:S564" si="1494">SUM(R549,R554,R559)</f>
        <v>29.378999999787712</v>
      </c>
      <c r="S564" s="300">
        <f t="shared" si="1494"/>
        <v>18.262999999948963</v>
      </c>
      <c r="T564" s="300">
        <f>SUM(Q564:S564)</f>
        <v>100.69300000063677</v>
      </c>
      <c r="U564" s="300"/>
      <c r="V564" s="300">
        <f>SUM(V549,V554,V559)</f>
        <v>53.962000000120256</v>
      </c>
      <c r="W564" s="300">
        <f t="shared" ref="W564:X564" si="1495">SUM(W549,W554,W559)</f>
        <v>30.301999999811407</v>
      </c>
      <c r="X564" s="300">
        <f t="shared" si="1495"/>
        <v>19.155999999910961</v>
      </c>
      <c r="Y564" s="300">
        <f>SUM(V564:X564)</f>
        <v>103.41999999984262</v>
      </c>
    </row>
    <row r="565" spans="1:25" x14ac:dyDescent="0.2">
      <c r="A565" s="260" t="s">
        <v>355</v>
      </c>
      <c r="B565" s="300">
        <f>SUM(B550,B555,B560)</f>
        <v>45.12999999922242</v>
      </c>
      <c r="C565" s="300">
        <f t="shared" ref="C565:D565" si="1496">SUM(C550,C555,C560)</f>
        <v>9.3760000000301424</v>
      </c>
      <c r="D565" s="300">
        <f t="shared" si="1496"/>
        <v>8.7310000001605044</v>
      </c>
      <c r="E565" s="300">
        <f t="shared" ref="E565:E566" si="1497">SUM(B565:D565)</f>
        <v>63.236999999413072</v>
      </c>
      <c r="F565" s="300"/>
      <c r="G565" s="300">
        <f>SUM(G550,G555,G560)</f>
        <v>34.611999999609061</v>
      </c>
      <c r="H565" s="300">
        <f t="shared" ref="H565:I565" si="1498">SUM(H550,H555,H560)</f>
        <v>12.329000000030405</v>
      </c>
      <c r="I565" s="300">
        <f t="shared" si="1498"/>
        <v>19.187999999989927</v>
      </c>
      <c r="J565" s="300">
        <f t="shared" ref="J565:J566" si="1499">SUM(G565:I565)</f>
        <v>66.1289999996294</v>
      </c>
      <c r="K565" s="300"/>
      <c r="L565" s="300">
        <f>SUM(L550,L555,L560)</f>
        <v>34.746000000279778</v>
      </c>
      <c r="M565" s="300">
        <f t="shared" ref="M565:N565" si="1500">SUM(M550,M555,M560)</f>
        <v>16.639999999995972</v>
      </c>
      <c r="N565" s="300">
        <f t="shared" si="1500"/>
        <v>17.32000000049262</v>
      </c>
      <c r="O565" s="300">
        <f t="shared" ref="O565:O566" si="1501">SUM(L565:N565)</f>
        <v>68.70600000076837</v>
      </c>
      <c r="P565" s="300"/>
      <c r="Q565" s="300">
        <f>SUM(Q550,Q555,Q560)</f>
        <v>40.365000000359636</v>
      </c>
      <c r="R565" s="300">
        <f t="shared" ref="R565:S565" si="1502">SUM(R550,R555,R560)</f>
        <v>18.650999999927414</v>
      </c>
      <c r="S565" s="300">
        <f t="shared" si="1502"/>
        <v>20.095000001143994</v>
      </c>
      <c r="T565" s="300">
        <f t="shared" ref="T565:T566" si="1503">SUM(Q565:S565)</f>
        <v>79.111000001431051</v>
      </c>
      <c r="U565" s="300"/>
      <c r="V565" s="300">
        <f>SUM(V550,V555,V560)</f>
        <v>45.066000000392577</v>
      </c>
      <c r="W565" s="300">
        <f t="shared" ref="W565:X565" si="1504">SUM(W550,W555,W560)</f>
        <v>19.93899999986921</v>
      </c>
      <c r="X565" s="300">
        <f t="shared" si="1504"/>
        <v>22.341000000783197</v>
      </c>
      <c r="Y565" s="300">
        <f t="shared" ref="Y565:Y566" si="1505">SUM(V565:X565)</f>
        <v>87.346000001044985</v>
      </c>
    </row>
    <row r="566" spans="1:25" x14ac:dyDescent="0.2">
      <c r="A566" s="264" t="s">
        <v>354</v>
      </c>
      <c r="B566" s="301">
        <f>SUM(B564:B565)</f>
        <v>85.359999998772466</v>
      </c>
      <c r="C566" s="301">
        <f t="shared" ref="C566" si="1506">SUM(C564:C565)</f>
        <v>40.514000000171805</v>
      </c>
      <c r="D566" s="301">
        <f t="shared" ref="D566" si="1507">SUM(D564:D565)</f>
        <v>25.635000000374006</v>
      </c>
      <c r="E566" s="301">
        <f t="shared" si="1497"/>
        <v>151.50899999931829</v>
      </c>
      <c r="F566" s="301"/>
      <c r="G566" s="301">
        <f>SUM(G564:G565)</f>
        <v>86.013999999048124</v>
      </c>
      <c r="H566" s="301">
        <f t="shared" ref="H566" si="1508">SUM(H564:H565)</f>
        <v>41.097000000277312</v>
      </c>
      <c r="I566" s="301">
        <f t="shared" ref="I566" si="1509">SUM(I564:I565)</f>
        <v>40.479000000310535</v>
      </c>
      <c r="J566" s="301">
        <f t="shared" si="1499"/>
        <v>167.58999999963595</v>
      </c>
      <c r="K566" s="301"/>
      <c r="L566" s="301">
        <f>SUM(L564:L565)</f>
        <v>83.432000000388484</v>
      </c>
      <c r="M566" s="301">
        <f t="shared" ref="M566" si="1510">SUM(M564:M565)</f>
        <v>43.135999999868886</v>
      </c>
      <c r="N566" s="301">
        <f t="shared" ref="N566" si="1511">SUM(N564:N565)</f>
        <v>33.507000000230136</v>
      </c>
      <c r="O566" s="301">
        <f t="shared" si="1501"/>
        <v>160.07500000048751</v>
      </c>
      <c r="P566" s="301"/>
      <c r="Q566" s="301">
        <f>SUM(Q564:Q565)</f>
        <v>93.416000001259732</v>
      </c>
      <c r="R566" s="301">
        <f t="shared" ref="R566" si="1512">SUM(R564:R565)</f>
        <v>48.02999999971513</v>
      </c>
      <c r="S566" s="301">
        <f t="shared" ref="S566" si="1513">SUM(S564:S565)</f>
        <v>38.358000001092961</v>
      </c>
      <c r="T566" s="301">
        <f t="shared" si="1503"/>
        <v>179.80400000206782</v>
      </c>
      <c r="U566" s="301"/>
      <c r="V566" s="301">
        <f>SUM(V564:V565)</f>
        <v>99.028000000512833</v>
      </c>
      <c r="W566" s="301">
        <f t="shared" ref="W566" si="1514">SUM(W564:W565)</f>
        <v>50.240999999680618</v>
      </c>
      <c r="X566" s="301">
        <f t="shared" ref="X566" si="1515">SUM(X564:X565)</f>
        <v>41.497000000694158</v>
      </c>
      <c r="Y566" s="301">
        <f t="shared" si="1505"/>
        <v>190.7660000008876</v>
      </c>
    </row>
    <row r="578" spans="1:3" x14ac:dyDescent="0.2">
      <c r="A578" s="261"/>
    </row>
    <row r="579" spans="1:3" x14ac:dyDescent="0.2">
      <c r="C579" s="263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7" spans="1:3" x14ac:dyDescent="0.2">
      <c r="C587" s="263"/>
    </row>
    <row r="588" spans="1:3" x14ac:dyDescent="0.2">
      <c r="A588" s="262"/>
    </row>
    <row r="589" spans="1:3" x14ac:dyDescent="0.2">
      <c r="A589" s="261"/>
    </row>
    <row r="592" spans="1:3" x14ac:dyDescent="0.2">
      <c r="C592" s="263"/>
    </row>
    <row r="593" spans="1:3" x14ac:dyDescent="0.2">
      <c r="A593" s="261"/>
    </row>
    <row r="594" spans="1:3" x14ac:dyDescent="0.2">
      <c r="C594" s="263"/>
    </row>
    <row r="595" spans="1:3" x14ac:dyDescent="0.2">
      <c r="C595" s="263"/>
    </row>
    <row r="596" spans="1:3" x14ac:dyDescent="0.2">
      <c r="C596" s="263"/>
    </row>
    <row r="598" spans="1:3" x14ac:dyDescent="0.2">
      <c r="A598" s="261"/>
    </row>
    <row r="599" spans="1:3" x14ac:dyDescent="0.2">
      <c r="C599" s="263"/>
    </row>
    <row r="600" spans="1:3" x14ac:dyDescent="0.2">
      <c r="C600" s="263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C605" s="263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A610" s="261"/>
    </row>
    <row r="611" spans="1:3" x14ac:dyDescent="0.2">
      <c r="C611" s="263"/>
    </row>
    <row r="612" spans="1:3" x14ac:dyDescent="0.2">
      <c r="C612" s="263"/>
    </row>
    <row r="613" spans="1:3" x14ac:dyDescent="0.2">
      <c r="C613" s="263"/>
    </row>
    <row r="638" spans="1:3" x14ac:dyDescent="0.2">
      <c r="A638" s="261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3" spans="1:3" x14ac:dyDescent="0.2">
      <c r="A643" s="261"/>
    </row>
    <row r="644" spans="1:3" x14ac:dyDescent="0.2">
      <c r="C644" s="263"/>
    </row>
    <row r="645" spans="1:3" x14ac:dyDescent="0.2">
      <c r="C645" s="263"/>
    </row>
    <row r="646" spans="1:3" x14ac:dyDescent="0.2">
      <c r="C646" s="263"/>
    </row>
    <row r="647" spans="1:3" x14ac:dyDescent="0.2">
      <c r="C647" s="263"/>
    </row>
    <row r="648" spans="1:3" x14ac:dyDescent="0.2">
      <c r="A648" s="261"/>
    </row>
    <row r="649" spans="1:3" x14ac:dyDescent="0.2">
      <c r="C649" s="263"/>
    </row>
    <row r="650" spans="1:3" x14ac:dyDescent="0.2">
      <c r="C650" s="263"/>
    </row>
    <row r="651" spans="1:3" x14ac:dyDescent="0.2">
      <c r="C651" s="263"/>
    </row>
    <row r="652" spans="1:3" x14ac:dyDescent="0.2">
      <c r="A652" s="262"/>
    </row>
    <row r="653" spans="1:3" x14ac:dyDescent="0.2">
      <c r="A653" s="261"/>
    </row>
    <row r="654" spans="1:3" x14ac:dyDescent="0.2">
      <c r="C654" s="263"/>
    </row>
    <row r="655" spans="1:3" x14ac:dyDescent="0.2">
      <c r="C655" s="263"/>
    </row>
    <row r="656" spans="1:3" x14ac:dyDescent="0.2">
      <c r="C656" s="263"/>
    </row>
    <row r="658" spans="1:3" x14ac:dyDescent="0.2">
      <c r="A658" s="261"/>
    </row>
    <row r="659" spans="1:3" x14ac:dyDescent="0.2">
      <c r="C659" s="263"/>
    </row>
    <row r="660" spans="1:3" x14ac:dyDescent="0.2">
      <c r="C660" s="263"/>
    </row>
    <row r="661" spans="1:3" x14ac:dyDescent="0.2">
      <c r="C661" s="263"/>
    </row>
    <row r="662" spans="1:3" x14ac:dyDescent="0.2">
      <c r="C662" s="263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A666" s="261"/>
    </row>
    <row r="667" spans="1:3" x14ac:dyDescent="0.2">
      <c r="C667" s="263"/>
    </row>
    <row r="668" spans="1:3" x14ac:dyDescent="0.2">
      <c r="C668" s="263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  <c r="C673" s="263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A687" s="262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C691" s="263"/>
    </row>
    <row r="693" spans="1:3" x14ac:dyDescent="0.2">
      <c r="A693" s="261"/>
    </row>
    <row r="694" spans="1:3" x14ac:dyDescent="0.2">
      <c r="A694" s="261"/>
    </row>
    <row r="695" spans="1:3" x14ac:dyDescent="0.2">
      <c r="C695" s="263"/>
    </row>
    <row r="696" spans="1:3" x14ac:dyDescent="0.2">
      <c r="C696" s="263"/>
    </row>
    <row r="697" spans="1:3" x14ac:dyDescent="0.2">
      <c r="C697" s="263"/>
    </row>
    <row r="699" spans="1:3" x14ac:dyDescent="0.2">
      <c r="A699" s="261"/>
    </row>
    <row r="700" spans="1:3" x14ac:dyDescent="0.2">
      <c r="C700" s="263"/>
    </row>
    <row r="701" spans="1:3" x14ac:dyDescent="0.2">
      <c r="C701" s="263"/>
    </row>
    <row r="702" spans="1:3" x14ac:dyDescent="0.2">
      <c r="C702" s="263"/>
    </row>
    <row r="703" spans="1:3" x14ac:dyDescent="0.2">
      <c r="C703" s="263"/>
    </row>
    <row r="704" spans="1:3" x14ac:dyDescent="0.2">
      <c r="A704" s="261"/>
    </row>
    <row r="705" spans="1:3" x14ac:dyDescent="0.2">
      <c r="C705" s="263"/>
    </row>
    <row r="706" spans="1:3" x14ac:dyDescent="0.2">
      <c r="C706" s="263"/>
    </row>
    <row r="707" spans="1:3" x14ac:dyDescent="0.2">
      <c r="C707" s="263"/>
    </row>
    <row r="708" spans="1:3" x14ac:dyDescent="0.2">
      <c r="A708" s="262"/>
    </row>
    <row r="709" spans="1:3" x14ac:dyDescent="0.2">
      <c r="A709" s="261"/>
    </row>
    <row r="710" spans="1:3" x14ac:dyDescent="0.2">
      <c r="C710" s="263"/>
    </row>
    <row r="711" spans="1:3" x14ac:dyDescent="0.2">
      <c r="C711" s="263"/>
    </row>
    <row r="712" spans="1:3" x14ac:dyDescent="0.2">
      <c r="C712" s="263"/>
    </row>
    <row r="714" spans="1:3" x14ac:dyDescent="0.2">
      <c r="A714" s="261"/>
    </row>
    <row r="715" spans="1:3" x14ac:dyDescent="0.2">
      <c r="C715" s="263"/>
    </row>
    <row r="716" spans="1:3" x14ac:dyDescent="0.2">
      <c r="C716" s="263"/>
    </row>
    <row r="717" spans="1:3" x14ac:dyDescent="0.2">
      <c r="C717" s="263"/>
    </row>
    <row r="718" spans="1:3" x14ac:dyDescent="0.2">
      <c r="C718" s="263"/>
    </row>
    <row r="719" spans="1:3" x14ac:dyDescent="0.2">
      <c r="A719" s="261"/>
    </row>
    <row r="720" spans="1:3" x14ac:dyDescent="0.2">
      <c r="C720" s="263"/>
    </row>
    <row r="721" spans="1:3" x14ac:dyDescent="0.2">
      <c r="C721" s="263"/>
    </row>
    <row r="722" spans="1:3" x14ac:dyDescent="0.2">
      <c r="A722" s="261"/>
    </row>
    <row r="723" spans="1:3" x14ac:dyDescent="0.2">
      <c r="C723" s="263"/>
    </row>
    <row r="724" spans="1:3" x14ac:dyDescent="0.2">
      <c r="C724" s="263"/>
    </row>
    <row r="725" spans="1:3" x14ac:dyDescent="0.2">
      <c r="C725" s="263"/>
    </row>
    <row r="726" spans="1:3" x14ac:dyDescent="0.2">
      <c r="C726" s="263"/>
    </row>
    <row r="728" spans="1:3" x14ac:dyDescent="0.2">
      <c r="A728" s="261"/>
    </row>
    <row r="729" spans="1:3" x14ac:dyDescent="0.2">
      <c r="C729" s="263"/>
    </row>
    <row r="730" spans="1:3" x14ac:dyDescent="0.2">
      <c r="C730" s="263"/>
    </row>
    <row r="731" spans="1:3" x14ac:dyDescent="0.2">
      <c r="C731" s="263"/>
    </row>
    <row r="732" spans="1:3" x14ac:dyDescent="0.2">
      <c r="A732" s="262"/>
    </row>
    <row r="733" spans="1:3" x14ac:dyDescent="0.2">
      <c r="A733" s="261"/>
    </row>
    <row r="734" spans="1:3" x14ac:dyDescent="0.2">
      <c r="C734" s="263"/>
    </row>
    <row r="735" spans="1:3" x14ac:dyDescent="0.2">
      <c r="C735" s="263"/>
    </row>
    <row r="736" spans="1:3" x14ac:dyDescent="0.2">
      <c r="C736" s="263"/>
    </row>
    <row r="738" spans="1:3" x14ac:dyDescent="0.2">
      <c r="A738" s="261"/>
    </row>
    <row r="739" spans="1:3" x14ac:dyDescent="0.2">
      <c r="C739" s="263"/>
    </row>
    <row r="740" spans="1:3" x14ac:dyDescent="0.2">
      <c r="C740" s="263"/>
    </row>
    <row r="741" spans="1:3" x14ac:dyDescent="0.2">
      <c r="C741" s="263"/>
    </row>
    <row r="743" spans="1:3" x14ac:dyDescent="0.2">
      <c r="A743" s="261"/>
    </row>
    <row r="744" spans="1:3" x14ac:dyDescent="0.2">
      <c r="C744" s="263"/>
    </row>
    <row r="745" spans="1:3" x14ac:dyDescent="0.2">
      <c r="C745" s="263"/>
    </row>
    <row r="746" spans="1:3" x14ac:dyDescent="0.2">
      <c r="C746" s="263"/>
    </row>
    <row r="747" spans="1:3" x14ac:dyDescent="0.2">
      <c r="C747" s="263"/>
    </row>
    <row r="748" spans="1:3" x14ac:dyDescent="0.2">
      <c r="A748" s="261"/>
    </row>
    <row r="749" spans="1:3" x14ac:dyDescent="0.2">
      <c r="C749" s="263"/>
    </row>
    <row r="750" spans="1:3" x14ac:dyDescent="0.2">
      <c r="A750" s="261"/>
    </row>
    <row r="751" spans="1:3" x14ac:dyDescent="0.2">
      <c r="C751" s="263"/>
    </row>
    <row r="752" spans="1:3" x14ac:dyDescent="0.2">
      <c r="C752" s="263"/>
    </row>
    <row r="753" spans="1:3" x14ac:dyDescent="0.2">
      <c r="C753" s="263"/>
    </row>
    <row r="755" spans="1:3" x14ac:dyDescent="0.2">
      <c r="A755" s="261"/>
    </row>
    <row r="756" spans="1:3" x14ac:dyDescent="0.2">
      <c r="C756" s="263"/>
    </row>
    <row r="757" spans="1:3" x14ac:dyDescent="0.2">
      <c r="C757" s="263"/>
    </row>
    <row r="758" spans="1:3" x14ac:dyDescent="0.2">
      <c r="C758" s="263"/>
    </row>
    <row r="759" spans="1:3" x14ac:dyDescent="0.2">
      <c r="C759" s="263"/>
    </row>
    <row r="760" spans="1:3" x14ac:dyDescent="0.2">
      <c r="A760" s="261"/>
    </row>
    <row r="761" spans="1:3" x14ac:dyDescent="0.2">
      <c r="C761" s="263"/>
    </row>
    <row r="762" spans="1:3" x14ac:dyDescent="0.2">
      <c r="C762" s="263"/>
    </row>
    <row r="763" spans="1:3" x14ac:dyDescent="0.2">
      <c r="C763" s="263"/>
    </row>
    <row r="764" spans="1:3" x14ac:dyDescent="0.2">
      <c r="A764" s="262"/>
    </row>
    <row r="765" spans="1:3" x14ac:dyDescent="0.2">
      <c r="A765" s="261"/>
    </row>
    <row r="766" spans="1:3" x14ac:dyDescent="0.2">
      <c r="C766" s="263"/>
    </row>
    <row r="767" spans="1:3" x14ac:dyDescent="0.2">
      <c r="C767" s="263"/>
    </row>
    <row r="768" spans="1:3" x14ac:dyDescent="0.2">
      <c r="C768" s="263"/>
    </row>
    <row r="770" spans="1:3" x14ac:dyDescent="0.2">
      <c r="A770" s="261"/>
    </row>
    <row r="771" spans="1:3" x14ac:dyDescent="0.2">
      <c r="C771" s="263"/>
    </row>
    <row r="772" spans="1:3" x14ac:dyDescent="0.2">
      <c r="C772" s="263"/>
    </row>
    <row r="773" spans="1:3" x14ac:dyDescent="0.2">
      <c r="C773" s="263"/>
    </row>
    <row r="774" spans="1:3" x14ac:dyDescent="0.2">
      <c r="C774" s="263"/>
    </row>
    <row r="775" spans="1:3" x14ac:dyDescent="0.2">
      <c r="A775" s="261"/>
    </row>
    <row r="776" spans="1:3" x14ac:dyDescent="0.2">
      <c r="C776" s="263"/>
    </row>
    <row r="777" spans="1:3" x14ac:dyDescent="0.2">
      <c r="C777" s="263"/>
    </row>
    <row r="778" spans="1:3" x14ac:dyDescent="0.2">
      <c r="A778" s="261"/>
    </row>
    <row r="779" spans="1:3" x14ac:dyDescent="0.2">
      <c r="C779" s="263"/>
    </row>
    <row r="780" spans="1:3" x14ac:dyDescent="0.2">
      <c r="C780" s="263"/>
    </row>
    <row r="781" spans="1:3" x14ac:dyDescent="0.2">
      <c r="C781" s="263"/>
    </row>
    <row r="782" spans="1:3" x14ac:dyDescent="0.2">
      <c r="C782" s="263"/>
    </row>
    <row r="783" spans="1:3" x14ac:dyDescent="0.2">
      <c r="C783" s="263"/>
    </row>
    <row r="784" spans="1:3" x14ac:dyDescent="0.2">
      <c r="C784" s="263"/>
    </row>
    <row r="785" spans="1:3" x14ac:dyDescent="0.2">
      <c r="A785" s="261"/>
      <c r="C785" s="263"/>
    </row>
    <row r="786" spans="1:3" x14ac:dyDescent="0.2">
      <c r="C786" s="263"/>
    </row>
    <row r="787" spans="1:3" x14ac:dyDescent="0.2">
      <c r="C787" s="263"/>
    </row>
    <row r="788" spans="1:3" x14ac:dyDescent="0.2">
      <c r="C788" s="263"/>
    </row>
    <row r="789" spans="1:3" x14ac:dyDescent="0.2">
      <c r="A789" s="262"/>
    </row>
    <row r="790" spans="1:3" x14ac:dyDescent="0.2">
      <c r="A790" s="261"/>
    </row>
    <row r="791" spans="1:3" x14ac:dyDescent="0.2">
      <c r="C791" s="263"/>
    </row>
    <row r="792" spans="1:3" x14ac:dyDescent="0.2">
      <c r="C792" s="263"/>
    </row>
    <row r="793" spans="1:3" x14ac:dyDescent="0.2">
      <c r="C793" s="263"/>
    </row>
    <row r="795" spans="1:3" x14ac:dyDescent="0.2">
      <c r="A795" s="261"/>
    </row>
    <row r="796" spans="1:3" x14ac:dyDescent="0.2">
      <c r="C796" s="263"/>
    </row>
    <row r="797" spans="1:3" x14ac:dyDescent="0.2">
      <c r="C797" s="263"/>
    </row>
    <row r="798" spans="1:3" x14ac:dyDescent="0.2">
      <c r="C798" s="263"/>
    </row>
    <row r="799" spans="1:3" x14ac:dyDescent="0.2">
      <c r="A799" s="262"/>
    </row>
    <row r="800" spans="1:3" x14ac:dyDescent="0.2">
      <c r="A800" s="261"/>
    </row>
    <row r="801" spans="1:3" x14ac:dyDescent="0.2">
      <c r="C801" s="263"/>
    </row>
    <row r="802" spans="1:3" x14ac:dyDescent="0.2">
      <c r="C802" s="263"/>
    </row>
    <row r="803" spans="1:3" x14ac:dyDescent="0.2">
      <c r="C803" s="263"/>
    </row>
    <row r="805" spans="1:3" x14ac:dyDescent="0.2">
      <c r="A805" s="261"/>
    </row>
    <row r="806" spans="1:3" x14ac:dyDescent="0.2">
      <c r="A806" s="261"/>
    </row>
    <row r="807" spans="1:3" x14ac:dyDescent="0.2">
      <c r="C807" s="263"/>
    </row>
    <row r="808" spans="1:3" x14ac:dyDescent="0.2">
      <c r="C808" s="263"/>
    </row>
    <row r="809" spans="1:3" x14ac:dyDescent="0.2">
      <c r="C809" s="263"/>
    </row>
    <row r="811" spans="1:3" x14ac:dyDescent="0.2">
      <c r="A811" s="261"/>
    </row>
    <row r="812" spans="1:3" x14ac:dyDescent="0.2">
      <c r="C812" s="263"/>
    </row>
    <row r="813" spans="1:3" x14ac:dyDescent="0.2">
      <c r="C813" s="263"/>
    </row>
    <row r="814" spans="1:3" x14ac:dyDescent="0.2">
      <c r="C814" s="263"/>
    </row>
    <row r="815" spans="1:3" x14ac:dyDescent="0.2">
      <c r="C815" s="263"/>
    </row>
    <row r="816" spans="1:3" x14ac:dyDescent="0.2">
      <c r="A816" s="261"/>
    </row>
    <row r="817" spans="1:3" x14ac:dyDescent="0.2">
      <c r="C817" s="263"/>
    </row>
    <row r="818" spans="1:3" x14ac:dyDescent="0.2">
      <c r="C818" s="263"/>
    </row>
    <row r="819" spans="1:3" x14ac:dyDescent="0.2">
      <c r="C819" s="263"/>
    </row>
    <row r="820" spans="1:3" x14ac:dyDescent="0.2">
      <c r="A820" s="262"/>
    </row>
    <row r="821" spans="1:3" x14ac:dyDescent="0.2">
      <c r="A821" s="261"/>
    </row>
    <row r="822" spans="1:3" x14ac:dyDescent="0.2">
      <c r="C822" s="263"/>
    </row>
    <row r="823" spans="1:3" x14ac:dyDescent="0.2">
      <c r="C823" s="263"/>
    </row>
    <row r="824" spans="1:3" x14ac:dyDescent="0.2">
      <c r="C824" s="263"/>
    </row>
    <row r="826" spans="1:3" x14ac:dyDescent="0.2">
      <c r="A826" s="261"/>
    </row>
    <row r="827" spans="1:3" x14ac:dyDescent="0.2">
      <c r="C827" s="263"/>
    </row>
    <row r="828" spans="1:3" x14ac:dyDescent="0.2">
      <c r="C828" s="263"/>
    </row>
    <row r="829" spans="1:3" x14ac:dyDescent="0.2">
      <c r="C829" s="263"/>
    </row>
    <row r="830" spans="1:3" x14ac:dyDescent="0.2">
      <c r="C830" s="263"/>
    </row>
    <row r="831" spans="1:3" x14ac:dyDescent="0.2">
      <c r="A831" s="261"/>
    </row>
    <row r="832" spans="1:3" x14ac:dyDescent="0.2">
      <c r="C832" s="263"/>
    </row>
    <row r="833" spans="1:25" x14ac:dyDescent="0.2">
      <c r="C833" s="263"/>
    </row>
    <row r="834" spans="1:25" x14ac:dyDescent="0.2">
      <c r="A834" s="261"/>
    </row>
    <row r="835" spans="1:25" x14ac:dyDescent="0.2">
      <c r="C835" s="263"/>
    </row>
    <row r="836" spans="1:25" x14ac:dyDescent="0.2">
      <c r="C836" s="263"/>
    </row>
    <row r="837" spans="1:25" x14ac:dyDescent="0.2">
      <c r="C837" s="263"/>
    </row>
    <row r="838" spans="1:25" x14ac:dyDescent="0.2">
      <c r="A838" s="261"/>
    </row>
    <row r="839" spans="1:25" x14ac:dyDescent="0.2">
      <c r="C839" s="263"/>
    </row>
    <row r="840" spans="1:25" x14ac:dyDescent="0.2">
      <c r="C840" s="263"/>
    </row>
    <row r="841" spans="1:25" x14ac:dyDescent="0.2">
      <c r="A841" s="264"/>
      <c r="B841" s="315"/>
      <c r="C841" s="315"/>
      <c r="D841" s="315"/>
      <c r="E841" s="315"/>
      <c r="F841" s="315"/>
      <c r="G841" s="315"/>
      <c r="H841" s="315"/>
      <c r="I841" s="315"/>
      <c r="J841" s="315"/>
      <c r="K841" s="315"/>
      <c r="L841" s="315"/>
      <c r="M841" s="315"/>
      <c r="N841" s="315"/>
      <c r="O841" s="315"/>
      <c r="P841" s="315"/>
      <c r="Q841" s="315"/>
      <c r="R841" s="315"/>
      <c r="S841" s="315"/>
      <c r="T841" s="315"/>
      <c r="U841" s="315"/>
      <c r="V841" s="315"/>
      <c r="W841" s="315"/>
      <c r="X841" s="315"/>
      <c r="Y841" s="315"/>
    </row>
    <row r="842" spans="1:25" x14ac:dyDescent="0.2">
      <c r="A842" s="262"/>
    </row>
    <row r="843" spans="1:25" x14ac:dyDescent="0.2">
      <c r="A843" s="261"/>
    </row>
    <row r="844" spans="1:25" x14ac:dyDescent="0.2">
      <c r="C844" s="263"/>
    </row>
    <row r="845" spans="1:25" x14ac:dyDescent="0.2">
      <c r="C845" s="263"/>
    </row>
    <row r="846" spans="1:25" x14ac:dyDescent="0.2">
      <c r="A846" s="264"/>
      <c r="B846" s="315"/>
      <c r="C846" s="315"/>
      <c r="D846" s="315"/>
      <c r="E846" s="315"/>
      <c r="F846" s="315"/>
      <c r="G846" s="315"/>
      <c r="H846" s="315"/>
      <c r="I846" s="315"/>
      <c r="J846" s="315"/>
      <c r="K846" s="315"/>
      <c r="L846" s="315"/>
      <c r="M846" s="315"/>
      <c r="N846" s="315"/>
      <c r="O846" s="315"/>
      <c r="P846" s="315"/>
      <c r="Q846" s="315"/>
      <c r="R846" s="315"/>
      <c r="S846" s="315"/>
      <c r="T846" s="315"/>
      <c r="U846" s="315"/>
      <c r="V846" s="315"/>
      <c r="W846" s="315"/>
      <c r="X846" s="315"/>
      <c r="Y846" s="315"/>
    </row>
    <row r="847" spans="1:25" x14ac:dyDescent="0.2">
      <c r="A847" s="262"/>
    </row>
    <row r="848" spans="1:25" x14ac:dyDescent="0.2">
      <c r="A848" s="261"/>
    </row>
    <row r="849" spans="1:3" x14ac:dyDescent="0.2">
      <c r="C849" s="263"/>
    </row>
    <row r="850" spans="1:3" x14ac:dyDescent="0.2">
      <c r="C850" s="263"/>
    </row>
    <row r="851" spans="1:3" x14ac:dyDescent="0.2">
      <c r="C851" s="263"/>
    </row>
    <row r="853" spans="1:3" x14ac:dyDescent="0.2">
      <c r="A853" s="261"/>
    </row>
    <row r="854" spans="1:3" x14ac:dyDescent="0.2">
      <c r="C854" s="263"/>
    </row>
    <row r="855" spans="1:3" x14ac:dyDescent="0.2">
      <c r="C855" s="263"/>
    </row>
    <row r="856" spans="1:3" x14ac:dyDescent="0.2">
      <c r="C856" s="263"/>
    </row>
    <row r="857" spans="1:3" x14ac:dyDescent="0.2">
      <c r="C857" s="263"/>
    </row>
    <row r="858" spans="1:3" x14ac:dyDescent="0.2">
      <c r="A858" s="261"/>
    </row>
    <row r="859" spans="1:3" x14ac:dyDescent="0.2">
      <c r="C859" s="263"/>
    </row>
    <row r="860" spans="1:3" x14ac:dyDescent="0.2">
      <c r="C860" s="263"/>
    </row>
    <row r="861" spans="1:3" x14ac:dyDescent="0.2">
      <c r="C861" s="263"/>
    </row>
    <row r="862" spans="1:3" x14ac:dyDescent="0.2">
      <c r="A862" s="261"/>
    </row>
    <row r="863" spans="1:3" x14ac:dyDescent="0.2">
      <c r="C863" s="263"/>
    </row>
    <row r="864" spans="1:3" x14ac:dyDescent="0.2">
      <c r="C864" s="263"/>
    </row>
    <row r="865" spans="1:3" x14ac:dyDescent="0.2">
      <c r="C865" s="263"/>
    </row>
    <row r="867" spans="1:3" x14ac:dyDescent="0.2">
      <c r="A867" s="261"/>
    </row>
    <row r="868" spans="1:3" x14ac:dyDescent="0.2">
      <c r="C868" s="263"/>
    </row>
    <row r="869" spans="1:3" x14ac:dyDescent="0.2">
      <c r="C869" s="263"/>
    </row>
    <row r="870" spans="1:3" x14ac:dyDescent="0.2">
      <c r="C870" s="263"/>
    </row>
    <row r="871" spans="1:3" x14ac:dyDescent="0.2">
      <c r="C871" s="263"/>
    </row>
    <row r="872" spans="1:3" x14ac:dyDescent="0.2">
      <c r="A872" s="261"/>
    </row>
    <row r="873" spans="1:3" x14ac:dyDescent="0.2">
      <c r="C873" s="263"/>
    </row>
    <row r="874" spans="1:3" x14ac:dyDescent="0.2">
      <c r="C874" s="263"/>
    </row>
    <row r="875" spans="1:3" x14ac:dyDescent="0.2">
      <c r="C875" s="263"/>
    </row>
    <row r="876" spans="1:3" x14ac:dyDescent="0.2">
      <c r="A876" s="262"/>
    </row>
    <row r="877" spans="1:3" x14ac:dyDescent="0.2">
      <c r="A877" s="261"/>
    </row>
    <row r="878" spans="1:3" x14ac:dyDescent="0.2">
      <c r="C878" s="263"/>
    </row>
    <row r="879" spans="1:3" x14ac:dyDescent="0.2">
      <c r="C879" s="263"/>
    </row>
    <row r="880" spans="1:3" x14ac:dyDescent="0.2">
      <c r="C880" s="263"/>
    </row>
    <row r="882" spans="1:3" x14ac:dyDescent="0.2">
      <c r="A882" s="261"/>
    </row>
    <row r="883" spans="1:3" x14ac:dyDescent="0.2">
      <c r="C883" s="263"/>
    </row>
    <row r="884" spans="1:3" x14ac:dyDescent="0.2">
      <c r="C884" s="263"/>
    </row>
    <row r="885" spans="1:3" x14ac:dyDescent="0.2">
      <c r="C885" s="263"/>
    </row>
    <row r="886" spans="1:3" x14ac:dyDescent="0.2">
      <c r="C886" s="263"/>
    </row>
    <row r="887" spans="1:3" x14ac:dyDescent="0.2">
      <c r="A887" s="261"/>
    </row>
    <row r="888" spans="1:3" x14ac:dyDescent="0.2">
      <c r="C888" s="263"/>
    </row>
    <row r="889" spans="1:3" x14ac:dyDescent="0.2">
      <c r="C889" s="263"/>
    </row>
    <row r="890" spans="1:3" x14ac:dyDescent="0.2">
      <c r="A890" s="261"/>
    </row>
    <row r="891" spans="1:3" x14ac:dyDescent="0.2">
      <c r="C891" s="263"/>
    </row>
    <row r="892" spans="1:3" x14ac:dyDescent="0.2">
      <c r="C892" s="263"/>
    </row>
    <row r="893" spans="1:3" x14ac:dyDescent="0.2">
      <c r="C893" s="263"/>
    </row>
    <row r="894" spans="1:3" x14ac:dyDescent="0.2">
      <c r="C894" s="263"/>
    </row>
    <row r="895" spans="1:3" x14ac:dyDescent="0.2">
      <c r="C895" s="263"/>
    </row>
    <row r="896" spans="1:3" x14ac:dyDescent="0.2">
      <c r="C896" s="263"/>
    </row>
    <row r="897" spans="1:3" x14ac:dyDescent="0.2">
      <c r="A897" s="261"/>
      <c r="C897" s="263"/>
    </row>
    <row r="898" spans="1:3" x14ac:dyDescent="0.2">
      <c r="C898" s="263"/>
    </row>
    <row r="899" spans="1:3" x14ac:dyDescent="0.2">
      <c r="C899" s="263"/>
    </row>
    <row r="900" spans="1:3" x14ac:dyDescent="0.2">
      <c r="C900" s="263"/>
    </row>
    <row r="901" spans="1:3" x14ac:dyDescent="0.2">
      <c r="A901" s="262"/>
    </row>
    <row r="902" spans="1:3" x14ac:dyDescent="0.2">
      <c r="A902" s="261"/>
    </row>
    <row r="903" spans="1:3" x14ac:dyDescent="0.2">
      <c r="C903" s="263"/>
    </row>
    <row r="904" spans="1:3" x14ac:dyDescent="0.2">
      <c r="C904" s="263"/>
    </row>
    <row r="905" spans="1:3" x14ac:dyDescent="0.2">
      <c r="C905" s="263"/>
    </row>
    <row r="907" spans="1:3" x14ac:dyDescent="0.2">
      <c r="A907" s="261"/>
    </row>
    <row r="908" spans="1:3" x14ac:dyDescent="0.2">
      <c r="C908" s="263"/>
    </row>
    <row r="909" spans="1:3" x14ac:dyDescent="0.2">
      <c r="C909" s="263"/>
    </row>
    <row r="910" spans="1:3" x14ac:dyDescent="0.2">
      <c r="C910" s="263"/>
    </row>
    <row r="911" spans="1:3" x14ac:dyDescent="0.2">
      <c r="A911" s="262"/>
    </row>
    <row r="912" spans="1:3" x14ac:dyDescent="0.2">
      <c r="A912" s="261"/>
    </row>
    <row r="913" spans="1:3" x14ac:dyDescent="0.2">
      <c r="C913" s="263"/>
    </row>
    <row r="914" spans="1:3" x14ac:dyDescent="0.2">
      <c r="C914" s="263"/>
    </row>
    <row r="915" spans="1:3" x14ac:dyDescent="0.2">
      <c r="C915" s="263"/>
    </row>
    <row r="917" spans="1:3" x14ac:dyDescent="0.2">
      <c r="A917" s="261"/>
    </row>
    <row r="918" spans="1:3" x14ac:dyDescent="0.2">
      <c r="A918" s="261"/>
    </row>
    <row r="919" spans="1:3" x14ac:dyDescent="0.2">
      <c r="C919" s="263"/>
    </row>
    <row r="920" spans="1:3" x14ac:dyDescent="0.2">
      <c r="C920" s="263"/>
    </row>
    <row r="921" spans="1:3" x14ac:dyDescent="0.2">
      <c r="C921" s="263"/>
    </row>
    <row r="923" spans="1:3" x14ac:dyDescent="0.2">
      <c r="A923" s="261"/>
    </row>
    <row r="924" spans="1:3" x14ac:dyDescent="0.2">
      <c r="C924" s="263"/>
    </row>
    <row r="925" spans="1:3" x14ac:dyDescent="0.2">
      <c r="C925" s="263"/>
    </row>
    <row r="926" spans="1:3" x14ac:dyDescent="0.2">
      <c r="C926" s="263"/>
    </row>
    <row r="927" spans="1:3" x14ac:dyDescent="0.2">
      <c r="C927" s="263"/>
    </row>
    <row r="928" spans="1:3" x14ac:dyDescent="0.2">
      <c r="A928" s="261"/>
    </row>
    <row r="929" spans="1:3" x14ac:dyDescent="0.2">
      <c r="C929" s="263"/>
    </row>
    <row r="930" spans="1:3" x14ac:dyDescent="0.2">
      <c r="C930" s="263"/>
    </row>
    <row r="931" spans="1:3" x14ac:dyDescent="0.2">
      <c r="C931" s="263"/>
    </row>
    <row r="932" spans="1:3" x14ac:dyDescent="0.2">
      <c r="A932" s="262"/>
    </row>
    <row r="933" spans="1:3" x14ac:dyDescent="0.2">
      <c r="A933" s="261"/>
    </row>
    <row r="934" spans="1:3" x14ac:dyDescent="0.2">
      <c r="C934" s="263"/>
    </row>
    <row r="935" spans="1:3" x14ac:dyDescent="0.2">
      <c r="C935" s="263"/>
    </row>
    <row r="936" spans="1:3" x14ac:dyDescent="0.2">
      <c r="C936" s="263"/>
    </row>
    <row r="938" spans="1:3" x14ac:dyDescent="0.2">
      <c r="A938" s="261"/>
    </row>
    <row r="939" spans="1:3" x14ac:dyDescent="0.2">
      <c r="C939" s="263"/>
    </row>
    <row r="940" spans="1:3" x14ac:dyDescent="0.2">
      <c r="C940" s="263"/>
    </row>
    <row r="941" spans="1:3" x14ac:dyDescent="0.2">
      <c r="C941" s="263"/>
    </row>
    <row r="942" spans="1:3" x14ac:dyDescent="0.2">
      <c r="C942" s="263"/>
    </row>
    <row r="943" spans="1:3" x14ac:dyDescent="0.2">
      <c r="A943" s="261"/>
    </row>
    <row r="944" spans="1:3" x14ac:dyDescent="0.2">
      <c r="C944" s="263"/>
    </row>
    <row r="945" spans="1:3" x14ac:dyDescent="0.2">
      <c r="C945" s="263"/>
    </row>
    <row r="946" spans="1:3" x14ac:dyDescent="0.2">
      <c r="A946" s="261"/>
    </row>
    <row r="947" spans="1:3" x14ac:dyDescent="0.2">
      <c r="C947" s="263"/>
    </row>
    <row r="948" spans="1:3" x14ac:dyDescent="0.2">
      <c r="C948" s="263"/>
    </row>
    <row r="949" spans="1:3" x14ac:dyDescent="0.2">
      <c r="C949" s="263"/>
    </row>
    <row r="950" spans="1:3" x14ac:dyDescent="0.2">
      <c r="C950" s="263"/>
    </row>
    <row r="952" spans="1:3" x14ac:dyDescent="0.2">
      <c r="A952" s="261"/>
    </row>
    <row r="953" spans="1:3" x14ac:dyDescent="0.2">
      <c r="C953" s="263"/>
    </row>
    <row r="954" spans="1:3" x14ac:dyDescent="0.2">
      <c r="C954" s="263"/>
    </row>
    <row r="955" spans="1:3" x14ac:dyDescent="0.2">
      <c r="C955" s="263"/>
    </row>
    <row r="956" spans="1:3" x14ac:dyDescent="0.2">
      <c r="A956" s="262"/>
    </row>
    <row r="957" spans="1:3" x14ac:dyDescent="0.2">
      <c r="A957" s="261"/>
    </row>
    <row r="958" spans="1:3" x14ac:dyDescent="0.2">
      <c r="C958" s="263"/>
    </row>
    <row r="959" spans="1:3" x14ac:dyDescent="0.2">
      <c r="C959" s="263"/>
    </row>
    <row r="960" spans="1:3" x14ac:dyDescent="0.2">
      <c r="C960" s="263"/>
    </row>
    <row r="962" spans="1:3" x14ac:dyDescent="0.2">
      <c r="A962" s="261"/>
    </row>
    <row r="963" spans="1:3" x14ac:dyDescent="0.2">
      <c r="C963" s="263"/>
    </row>
    <row r="964" spans="1:3" x14ac:dyDescent="0.2">
      <c r="C964" s="263"/>
    </row>
    <row r="965" spans="1:3" x14ac:dyDescent="0.2">
      <c r="C965" s="263"/>
    </row>
    <row r="967" spans="1:3" x14ac:dyDescent="0.2">
      <c r="A967" s="261"/>
    </row>
    <row r="968" spans="1:3" x14ac:dyDescent="0.2">
      <c r="C968" s="263"/>
    </row>
    <row r="969" spans="1:3" x14ac:dyDescent="0.2">
      <c r="C969" s="263"/>
    </row>
    <row r="970" spans="1:3" x14ac:dyDescent="0.2">
      <c r="C970" s="263"/>
    </row>
    <row r="971" spans="1:3" x14ac:dyDescent="0.2">
      <c r="C971" s="263"/>
    </row>
    <row r="972" spans="1:3" x14ac:dyDescent="0.2">
      <c r="A972" s="261"/>
    </row>
    <row r="973" spans="1:3" x14ac:dyDescent="0.2">
      <c r="C973" s="263"/>
    </row>
    <row r="974" spans="1:3" x14ac:dyDescent="0.2">
      <c r="A974" s="261"/>
    </row>
    <row r="975" spans="1:3" x14ac:dyDescent="0.2">
      <c r="C975" s="263"/>
    </row>
    <row r="976" spans="1:3" x14ac:dyDescent="0.2">
      <c r="C976" s="263"/>
    </row>
    <row r="977" spans="1:3" x14ac:dyDescent="0.2">
      <c r="C977" s="263"/>
    </row>
    <row r="979" spans="1:3" x14ac:dyDescent="0.2">
      <c r="A979" s="261"/>
    </row>
    <row r="980" spans="1:3" x14ac:dyDescent="0.2">
      <c r="C980" s="263"/>
    </row>
    <row r="981" spans="1:3" x14ac:dyDescent="0.2">
      <c r="C981" s="263"/>
    </row>
    <row r="982" spans="1:3" x14ac:dyDescent="0.2">
      <c r="C982" s="263"/>
    </row>
    <row r="983" spans="1:3" x14ac:dyDescent="0.2">
      <c r="C983" s="263"/>
    </row>
    <row r="984" spans="1:3" x14ac:dyDescent="0.2">
      <c r="A984" s="261"/>
    </row>
    <row r="985" spans="1:3" x14ac:dyDescent="0.2">
      <c r="C985" s="263"/>
    </row>
    <row r="986" spans="1:3" x14ac:dyDescent="0.2">
      <c r="C986" s="263"/>
    </row>
    <row r="987" spans="1:3" x14ac:dyDescent="0.2">
      <c r="C987" s="263"/>
    </row>
    <row r="988" spans="1:3" x14ac:dyDescent="0.2">
      <c r="A988" s="262"/>
    </row>
    <row r="989" spans="1:3" x14ac:dyDescent="0.2">
      <c r="A989" s="261"/>
    </row>
    <row r="990" spans="1:3" x14ac:dyDescent="0.2">
      <c r="C990" s="263"/>
    </row>
    <row r="991" spans="1:3" x14ac:dyDescent="0.2">
      <c r="C991" s="263"/>
    </row>
    <row r="992" spans="1:3" x14ac:dyDescent="0.2">
      <c r="C992" s="263"/>
    </row>
    <row r="994" spans="1:3" x14ac:dyDescent="0.2">
      <c r="A994" s="261"/>
    </row>
    <row r="995" spans="1:3" x14ac:dyDescent="0.2">
      <c r="C995" s="263"/>
    </row>
    <row r="996" spans="1:3" x14ac:dyDescent="0.2">
      <c r="C996" s="263"/>
    </row>
    <row r="997" spans="1:3" x14ac:dyDescent="0.2">
      <c r="C997" s="263"/>
    </row>
    <row r="998" spans="1:3" x14ac:dyDescent="0.2">
      <c r="C998" s="263"/>
    </row>
    <row r="999" spans="1:3" x14ac:dyDescent="0.2">
      <c r="A999" s="261"/>
    </row>
    <row r="1000" spans="1:3" x14ac:dyDescent="0.2">
      <c r="C1000" s="263"/>
    </row>
    <row r="1001" spans="1:3" x14ac:dyDescent="0.2">
      <c r="C1001" s="263"/>
    </row>
    <row r="1002" spans="1:3" x14ac:dyDescent="0.2">
      <c r="A1002" s="261"/>
    </row>
    <row r="1003" spans="1:3" x14ac:dyDescent="0.2">
      <c r="C1003" s="263"/>
    </row>
    <row r="1004" spans="1:3" x14ac:dyDescent="0.2">
      <c r="C1004" s="263"/>
    </row>
    <row r="1005" spans="1:3" x14ac:dyDescent="0.2">
      <c r="C1005" s="263"/>
    </row>
    <row r="1006" spans="1:3" x14ac:dyDescent="0.2">
      <c r="C1006" s="263"/>
    </row>
    <row r="1007" spans="1:3" x14ac:dyDescent="0.2">
      <c r="C1007" s="263"/>
    </row>
    <row r="1008" spans="1:3" x14ac:dyDescent="0.2">
      <c r="C1008" s="263"/>
    </row>
    <row r="1009" spans="1:3" x14ac:dyDescent="0.2">
      <c r="A1009" s="261"/>
      <c r="C1009" s="263"/>
    </row>
    <row r="1010" spans="1:3" x14ac:dyDescent="0.2">
      <c r="C1010" s="263"/>
    </row>
    <row r="1011" spans="1:3" x14ac:dyDescent="0.2">
      <c r="C1011" s="263"/>
    </row>
    <row r="1012" spans="1:3" x14ac:dyDescent="0.2">
      <c r="C1012" s="263"/>
    </row>
    <row r="1013" spans="1:3" x14ac:dyDescent="0.2">
      <c r="A1013" s="262"/>
    </row>
    <row r="1014" spans="1:3" x14ac:dyDescent="0.2">
      <c r="A1014" s="261"/>
    </row>
    <row r="1015" spans="1:3" x14ac:dyDescent="0.2">
      <c r="C1015" s="263"/>
    </row>
    <row r="1016" spans="1:3" x14ac:dyDescent="0.2">
      <c r="C1016" s="263"/>
    </row>
    <row r="1017" spans="1:3" x14ac:dyDescent="0.2">
      <c r="C1017" s="263"/>
    </row>
    <row r="1019" spans="1:3" x14ac:dyDescent="0.2">
      <c r="A1019" s="261"/>
    </row>
    <row r="1020" spans="1:3" x14ac:dyDescent="0.2">
      <c r="C1020" s="263"/>
    </row>
    <row r="1021" spans="1:3" x14ac:dyDescent="0.2">
      <c r="C1021" s="263"/>
    </row>
    <row r="1022" spans="1:3" x14ac:dyDescent="0.2">
      <c r="C1022" s="263"/>
    </row>
    <row r="1023" spans="1:3" x14ac:dyDescent="0.2">
      <c r="A1023" s="262"/>
    </row>
    <row r="1024" spans="1:3" x14ac:dyDescent="0.2">
      <c r="A1024" s="261"/>
    </row>
    <row r="1025" spans="1:3" x14ac:dyDescent="0.2">
      <c r="C1025" s="263"/>
    </row>
    <row r="1026" spans="1:3" x14ac:dyDescent="0.2">
      <c r="C1026" s="263"/>
    </row>
    <row r="1027" spans="1:3" x14ac:dyDescent="0.2">
      <c r="C1027" s="263"/>
    </row>
    <row r="1029" spans="1:3" x14ac:dyDescent="0.2">
      <c r="A1029" s="261"/>
    </row>
    <row r="1030" spans="1:3" x14ac:dyDescent="0.2">
      <c r="A1030" s="261"/>
    </row>
    <row r="1031" spans="1:3" x14ac:dyDescent="0.2">
      <c r="C1031" s="263"/>
    </row>
    <row r="1032" spans="1:3" x14ac:dyDescent="0.2">
      <c r="C1032" s="263"/>
    </row>
    <row r="1033" spans="1:3" x14ac:dyDescent="0.2">
      <c r="C1033" s="263"/>
    </row>
    <row r="1035" spans="1:3" x14ac:dyDescent="0.2">
      <c r="A1035" s="261"/>
    </row>
    <row r="1036" spans="1:3" x14ac:dyDescent="0.2">
      <c r="C1036" s="263"/>
    </row>
    <row r="1037" spans="1:3" x14ac:dyDescent="0.2">
      <c r="C1037" s="263"/>
    </row>
    <row r="1038" spans="1:3" x14ac:dyDescent="0.2">
      <c r="C1038" s="263"/>
    </row>
    <row r="1039" spans="1:3" x14ac:dyDescent="0.2">
      <c r="C1039" s="263"/>
    </row>
    <row r="1040" spans="1:3" x14ac:dyDescent="0.2">
      <c r="A1040" s="261"/>
    </row>
    <row r="1041" spans="1:3" x14ac:dyDescent="0.2">
      <c r="C1041" s="263"/>
    </row>
    <row r="1042" spans="1:3" x14ac:dyDescent="0.2">
      <c r="C1042" s="263"/>
    </row>
    <row r="1043" spans="1:3" x14ac:dyDescent="0.2">
      <c r="C1043" s="263"/>
    </row>
    <row r="1044" spans="1:3" x14ac:dyDescent="0.2">
      <c r="A1044" s="262"/>
    </row>
    <row r="1045" spans="1:3" x14ac:dyDescent="0.2">
      <c r="A1045" s="261"/>
    </row>
    <row r="1046" spans="1:3" x14ac:dyDescent="0.2">
      <c r="C1046" s="263"/>
    </row>
    <row r="1047" spans="1:3" x14ac:dyDescent="0.2">
      <c r="C1047" s="263"/>
    </row>
    <row r="1048" spans="1:3" x14ac:dyDescent="0.2">
      <c r="C1048" s="263"/>
    </row>
    <row r="1050" spans="1:3" x14ac:dyDescent="0.2">
      <c r="A1050" s="261"/>
    </row>
    <row r="1051" spans="1:3" x14ac:dyDescent="0.2">
      <c r="C1051" s="263"/>
    </row>
    <row r="1052" spans="1:3" x14ac:dyDescent="0.2">
      <c r="C1052" s="263"/>
    </row>
    <row r="1053" spans="1:3" x14ac:dyDescent="0.2">
      <c r="C1053" s="263"/>
    </row>
    <row r="1054" spans="1:3" x14ac:dyDescent="0.2">
      <c r="C1054" s="263"/>
    </row>
    <row r="1055" spans="1:3" x14ac:dyDescent="0.2">
      <c r="A1055" s="261"/>
    </row>
    <row r="1056" spans="1:3" x14ac:dyDescent="0.2">
      <c r="C1056" s="263"/>
    </row>
    <row r="1057" spans="1:3" x14ac:dyDescent="0.2">
      <c r="C1057" s="263"/>
    </row>
    <row r="1058" spans="1:3" x14ac:dyDescent="0.2">
      <c r="A1058" s="261"/>
    </row>
    <row r="1059" spans="1:3" x14ac:dyDescent="0.2">
      <c r="C1059" s="263"/>
    </row>
    <row r="1060" spans="1:3" x14ac:dyDescent="0.2">
      <c r="C1060" s="263"/>
    </row>
    <row r="1061" spans="1:3" x14ac:dyDescent="0.2">
      <c r="C1061" s="263"/>
    </row>
  </sheetData>
  <mergeCells count="110">
    <mergeCell ref="B5:E5"/>
    <mergeCell ref="L5:O5"/>
    <mergeCell ref="V5:Y5"/>
    <mergeCell ref="B170:E170"/>
    <mergeCell ref="L170:O170"/>
    <mergeCell ref="V170:Y170"/>
    <mergeCell ref="B45:E45"/>
    <mergeCell ref="L45:O45"/>
    <mergeCell ref="V45:Y45"/>
    <mergeCell ref="B15:E15"/>
    <mergeCell ref="G5:J5"/>
    <mergeCell ref="Q5:T5"/>
    <mergeCell ref="G25:J25"/>
    <mergeCell ref="Q25:T25"/>
    <mergeCell ref="G45:J45"/>
    <mergeCell ref="Q45:T45"/>
    <mergeCell ref="B195:E195"/>
    <mergeCell ref="L195:O195"/>
    <mergeCell ref="V195:Y195"/>
    <mergeCell ref="L15:O15"/>
    <mergeCell ref="V15:Y15"/>
    <mergeCell ref="B25:E25"/>
    <mergeCell ref="L25:O25"/>
    <mergeCell ref="V25:Y25"/>
    <mergeCell ref="B70:E70"/>
    <mergeCell ref="L70:O70"/>
    <mergeCell ref="V70:Y70"/>
    <mergeCell ref="B160:E160"/>
    <mergeCell ref="L160:O160"/>
    <mergeCell ref="V160:Y160"/>
    <mergeCell ref="G15:J15"/>
    <mergeCell ref="Q15:T15"/>
    <mergeCell ref="G195:J195"/>
    <mergeCell ref="Q195:T195"/>
    <mergeCell ref="G70:J70"/>
    <mergeCell ref="Q70:T70"/>
    <mergeCell ref="G160:J160"/>
    <mergeCell ref="Q160:T160"/>
    <mergeCell ref="G170:J170"/>
    <mergeCell ref="Q170:T170"/>
    <mergeCell ref="G375:J375"/>
    <mergeCell ref="Q375:T375"/>
    <mergeCell ref="G385:J385"/>
    <mergeCell ref="Q385:T385"/>
    <mergeCell ref="G430:J430"/>
    <mergeCell ref="Q430:T430"/>
    <mergeCell ref="V280:Y280"/>
    <mergeCell ref="B300:E300"/>
    <mergeCell ref="B220:E220"/>
    <mergeCell ref="L220:O220"/>
    <mergeCell ref="V220:Y220"/>
    <mergeCell ref="B245:E245"/>
    <mergeCell ref="L245:O245"/>
    <mergeCell ref="V245:Y245"/>
    <mergeCell ref="B280:E280"/>
    <mergeCell ref="L280:O280"/>
    <mergeCell ref="G280:J280"/>
    <mergeCell ref="Q280:T280"/>
    <mergeCell ref="G220:J220"/>
    <mergeCell ref="Q220:T220"/>
    <mergeCell ref="G245:J245"/>
    <mergeCell ref="Q245:T245"/>
    <mergeCell ref="B545:E545"/>
    <mergeCell ref="B350:E350"/>
    <mergeCell ref="L350:O350"/>
    <mergeCell ref="V350:Y350"/>
    <mergeCell ref="L300:O300"/>
    <mergeCell ref="V300:Y300"/>
    <mergeCell ref="B325:E325"/>
    <mergeCell ref="L325:O325"/>
    <mergeCell ref="V325:Y325"/>
    <mergeCell ref="G300:J300"/>
    <mergeCell ref="Q300:T300"/>
    <mergeCell ref="G325:J325"/>
    <mergeCell ref="Q325:T325"/>
    <mergeCell ref="G350:J350"/>
    <mergeCell ref="Q350:T350"/>
    <mergeCell ref="V385:Y385"/>
    <mergeCell ref="B375:E375"/>
    <mergeCell ref="L375:O375"/>
    <mergeCell ref="V375:Y375"/>
    <mergeCell ref="B430:E430"/>
    <mergeCell ref="L430:O430"/>
    <mergeCell ref="V430:Y430"/>
    <mergeCell ref="B385:E385"/>
    <mergeCell ref="L385:O385"/>
    <mergeCell ref="L545:O545"/>
    <mergeCell ref="V545:Y545"/>
    <mergeCell ref="B470:E470"/>
    <mergeCell ref="L470:O470"/>
    <mergeCell ref="V470:Y470"/>
    <mergeCell ref="B515:E515"/>
    <mergeCell ref="L515:O515"/>
    <mergeCell ref="V515:Y515"/>
    <mergeCell ref="B480:E480"/>
    <mergeCell ref="L480:O480"/>
    <mergeCell ref="V480:Y480"/>
    <mergeCell ref="B490:E490"/>
    <mergeCell ref="L490:O490"/>
    <mergeCell ref="V490:Y490"/>
    <mergeCell ref="G470:J470"/>
    <mergeCell ref="G515:J515"/>
    <mergeCell ref="Q515:T515"/>
    <mergeCell ref="Q490:T490"/>
    <mergeCell ref="G545:J545"/>
    <mergeCell ref="Q545:T545"/>
    <mergeCell ref="Q470:T470"/>
    <mergeCell ref="G480:J480"/>
    <mergeCell ref="Q480:T480"/>
    <mergeCell ref="G490:J490"/>
  </mergeCells>
  <pageMargins left="0.7" right="0.7" top="0.75" bottom="0.75" header="0.3" footer="0.3"/>
  <pageSetup paperSize="9" scale="66" fitToWidth="0" fitToHeight="0" orientation="landscape" r:id="rId1"/>
  <rowBreaks count="14" manualBreakCount="14">
    <brk id="44" max="24" man="1"/>
    <brk id="69" max="24" man="1"/>
    <brk id="117" max="24" man="1"/>
    <brk id="156" max="24" man="1"/>
    <brk id="194" max="24" man="1"/>
    <brk id="241" max="24" man="1"/>
    <brk id="279" max="24" man="1"/>
    <brk id="324" max="24" man="1"/>
    <brk id="374" max="24" man="1"/>
    <brk id="426" max="24" man="1"/>
    <brk id="469" max="24" man="1"/>
    <brk id="514" max="24" man="1"/>
    <brk id="566" max="24" man="1"/>
    <brk id="671" max="24" man="1"/>
  </rowBreaks>
  <colBreaks count="1" manualBreakCount="1">
    <brk id="25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0" bestFit="1" customWidth="1"/>
    <col min="2" max="9" width="9.140625" style="80"/>
    <col min="10" max="10" width="17.5703125" style="80" customWidth="1"/>
    <col min="11" max="11" width="8.28515625" style="80" customWidth="1"/>
    <col min="12" max="12" width="28.140625" customWidth="1"/>
    <col min="13" max="14" width="10.140625" customWidth="1"/>
  </cols>
  <sheetData>
    <row r="1" spans="1:16" ht="15.75" x14ac:dyDescent="0.25">
      <c r="A1" s="79" t="str">
        <f>CONCATENATE("Industry Figure 1  Growth in Employment by Industry Group (SIC 2007), ",M6," and ",N6,", ",Info!B5)</f>
        <v>Industry Figure 1  Growth in Employment by Industry Group (SIC 2007), 2015-2020 and 2020-2035, London</v>
      </c>
    </row>
    <row r="2" spans="1:16" x14ac:dyDescent="0.2">
      <c r="A2" s="181" t="s">
        <v>534</v>
      </c>
    </row>
    <row r="3" spans="1:16" x14ac:dyDescent="0.2">
      <c r="L3" s="45" t="s">
        <v>449</v>
      </c>
    </row>
    <row r="5" spans="1:16" x14ac:dyDescent="0.2">
      <c r="L5" s="29" t="s">
        <v>418</v>
      </c>
    </row>
    <row r="6" spans="1:16" x14ac:dyDescent="0.2">
      <c r="L6" s="13"/>
      <c r="M6" s="15" t="str">
        <f>'Ind T4'!B87</f>
        <v>2015-2020</v>
      </c>
      <c r="N6" s="15" t="str">
        <f>'Ind T4'!C87</f>
        <v>2020-2035</v>
      </c>
      <c r="O6" s="15"/>
      <c r="P6" s="15"/>
    </row>
    <row r="7" spans="1:16" x14ac:dyDescent="0.2">
      <c r="L7" s="1" t="str">
        <f>'Ind T4'!A83</f>
        <v>All industries</v>
      </c>
      <c r="M7">
        <f>'Ind T4'!B122</f>
        <v>1.2727282491479919</v>
      </c>
      <c r="N7">
        <f>'Ind T4'!C122</f>
        <v>0.58547928810912531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1.5992766587172635</v>
      </c>
      <c r="N9">
        <f>'Ind T4'!C120</f>
        <v>0.36507612778460263</v>
      </c>
    </row>
    <row r="10" spans="1:16" x14ac:dyDescent="0.2">
      <c r="L10" s="13" t="str">
        <f>'Ind T4'!A80</f>
        <v>Education</v>
      </c>
      <c r="M10">
        <f>'Ind T4'!B119</f>
        <v>0.2063877596956365</v>
      </c>
      <c r="N10">
        <f>'Ind T4'!C119</f>
        <v>-4.1713644230245706E-2</v>
      </c>
    </row>
    <row r="11" spans="1:16" x14ac:dyDescent="0.2">
      <c r="L11" s="13" t="str">
        <f>'Ind T4'!A79</f>
        <v>Public admin. and defence</v>
      </c>
      <c r="M11">
        <f>'Ind T4'!B118</f>
        <v>3.1985557702367551</v>
      </c>
      <c r="N11">
        <f>'Ind T4'!C118</f>
        <v>8.0935652064972885E-2</v>
      </c>
    </row>
    <row r="12" spans="1:16" x14ac:dyDescent="0.2">
      <c r="L12" s="1" t="str">
        <f>CONCATENATE("[",'Ind T4'!A78,"]")</f>
        <v>[Non-marketed services]</v>
      </c>
      <c r="M12">
        <f>'Ind T4'!B117</f>
        <v>1.4163242472674309</v>
      </c>
      <c r="N12">
        <f>'Ind T4'!C117</f>
        <v>0.17293697280205134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82">
        <f>'Ind T4'!B115</f>
        <v>1.1060202008799536</v>
      </c>
      <c r="N14" s="82">
        <f>'Ind T4'!C115</f>
        <v>1.1762310985454993</v>
      </c>
    </row>
    <row r="15" spans="1:16" x14ac:dyDescent="0.2">
      <c r="L15" s="13" t="str">
        <f>'Ind T4'!A75</f>
        <v>Arts and entertainment</v>
      </c>
      <c r="M15" s="82">
        <f>'Ind T4'!B114</f>
        <v>0.68688316048137743</v>
      </c>
      <c r="N15" s="82">
        <f>'Ind T4'!C114</f>
        <v>1.3197442190671982</v>
      </c>
    </row>
    <row r="16" spans="1:16" x14ac:dyDescent="0.2">
      <c r="L16" s="13" t="str">
        <f>'Ind T4'!A74</f>
        <v>Support services</v>
      </c>
      <c r="M16" s="82">
        <f>'Ind T4'!B113</f>
        <v>0.44364838701653753</v>
      </c>
      <c r="N16" s="82">
        <f>'Ind T4'!C113</f>
        <v>0.65516814549995139</v>
      </c>
    </row>
    <row r="17" spans="12:14" x14ac:dyDescent="0.2">
      <c r="L17" s="13" t="str">
        <f>'Ind T4'!A73</f>
        <v>Professional services</v>
      </c>
      <c r="M17" s="82">
        <f>'Ind T4'!B112</f>
        <v>0.51683541238407571</v>
      </c>
      <c r="N17" s="82">
        <f>'Ind T4'!C112</f>
        <v>0.76292671150786084</v>
      </c>
    </row>
    <row r="18" spans="12:14" x14ac:dyDescent="0.2">
      <c r="L18" s="13" t="str">
        <f>'Ind T4'!A72</f>
        <v>Real estate</v>
      </c>
      <c r="M18" s="82">
        <f>'Ind T4'!B111</f>
        <v>3.3436557441688164</v>
      </c>
      <c r="N18" s="82">
        <f>'Ind T4'!C111</f>
        <v>1.7827854648544417E-3</v>
      </c>
    </row>
    <row r="19" spans="12:14" x14ac:dyDescent="0.2">
      <c r="L19" t="str">
        <f>'Ind T4'!A71</f>
        <v>Finance and insurance</v>
      </c>
      <c r="M19">
        <f>'Ind T4'!B110</f>
        <v>1.6460883793693037</v>
      </c>
      <c r="N19">
        <f>'Ind T4'!C110</f>
        <v>0.17992959247232765</v>
      </c>
    </row>
    <row r="20" spans="12:14" x14ac:dyDescent="0.2">
      <c r="L20" t="str">
        <f>'Ind T4'!A70</f>
        <v>Information technology</v>
      </c>
      <c r="M20">
        <f>'Ind T4'!B109</f>
        <v>4.8932070991159815</v>
      </c>
      <c r="N20">
        <f>'Ind T4'!C109</f>
        <v>1.1200962191241892</v>
      </c>
    </row>
    <row r="21" spans="12:14" x14ac:dyDescent="0.2">
      <c r="L21" t="str">
        <f>'Ind T4'!A69</f>
        <v>Media</v>
      </c>
      <c r="M21">
        <f>'Ind T4'!B108</f>
        <v>0.90429420728816989</v>
      </c>
      <c r="N21">
        <f>'Ind T4'!C108</f>
        <v>0.46297201269123178</v>
      </c>
    </row>
    <row r="22" spans="12:14" x14ac:dyDescent="0.2">
      <c r="L22" s="1" t="str">
        <f>CONCATENATE("[",'Ind T4'!A68,"]")</f>
        <v>[Business and other services]</v>
      </c>
      <c r="M22">
        <f>'Ind T4'!B107</f>
        <v>1.3563588585384423</v>
      </c>
      <c r="N22">
        <f>'Ind T4'!C107</f>
        <v>0.71053691243967432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2.937456598337973</v>
      </c>
      <c r="N24">
        <f>'Ind T4'!C105</f>
        <v>1.4780568012429773</v>
      </c>
    </row>
    <row r="25" spans="12:14" x14ac:dyDescent="0.2">
      <c r="L25" s="13" t="str">
        <f>'Ind T4'!A65</f>
        <v>Transport and storage</v>
      </c>
      <c r="M25">
        <f>'Ind T4'!B104</f>
        <v>2.203071128018208</v>
      </c>
      <c r="N25">
        <f>'Ind T4'!C104</f>
        <v>0.51442312599598861</v>
      </c>
    </row>
    <row r="26" spans="12:14" x14ac:dyDescent="0.2">
      <c r="L26" s="13" t="str">
        <f>'Ind T4'!A64</f>
        <v>Wholesale and retail trade</v>
      </c>
      <c r="M26">
        <f>'Ind T4'!B103</f>
        <v>-0.83227360318059995</v>
      </c>
      <c r="N26">
        <f>'Ind T4'!C103</f>
        <v>-6.9921004002171383E-2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0.9410877943524687</v>
      </c>
      <c r="N27">
        <f>'Ind T4'!C102</f>
        <v>0.57395434455076444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0.57172619733880659</v>
      </c>
      <c r="N29">
        <f>'Ind T4'!C100</f>
        <v>1.6318143954479725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0.51612219187953112</v>
      </c>
      <c r="N31">
        <f>'Ind T4'!C98</f>
        <v>-1.5230107137572224</v>
      </c>
    </row>
    <row r="32" spans="12:14" x14ac:dyDescent="0.2">
      <c r="L32" s="13" t="str">
        <f>'Ind T4'!A58</f>
        <v>Engineering</v>
      </c>
      <c r="M32">
        <f>'Ind T4'!B97</f>
        <v>7.073002553035912</v>
      </c>
      <c r="N32">
        <f>'Ind T4'!C97</f>
        <v>2.0094371947205758</v>
      </c>
    </row>
    <row r="33" spans="12:14" x14ac:dyDescent="0.2">
      <c r="L33" s="13" t="str">
        <f>'Ind T4'!A57</f>
        <v>Food drink and tobacco</v>
      </c>
      <c r="M33">
        <f>'Ind T4'!B96</f>
        <v>9.3891146319594387</v>
      </c>
      <c r="N33">
        <f>'Ind T4'!C96</f>
        <v>-3.5344079878696366E-2</v>
      </c>
    </row>
    <row r="34" spans="12:14" x14ac:dyDescent="0.2">
      <c r="L34" s="1" t="str">
        <f>CONCATENATE("[",'Ind T4'!A56,"]")</f>
        <v>[Manufacturing]</v>
      </c>
      <c r="M34">
        <f>'Ind T4'!B95</f>
        <v>3.3696737105162633</v>
      </c>
      <c r="N34">
        <f>'Ind T4'!C95</f>
        <v>-0.64584506543633458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1.0797558040424038</v>
      </c>
      <c r="N36">
        <f>'Ind T4'!C93</f>
        <v>1.4993105296175147</v>
      </c>
    </row>
    <row r="37" spans="12:14" x14ac:dyDescent="0.2">
      <c r="L37" s="13" t="str">
        <f>'Ind T4'!A53</f>
        <v>Electricity and gas</v>
      </c>
      <c r="M37">
        <f>'Ind T4'!B92</f>
        <v>3.8333587275375836</v>
      </c>
      <c r="N37">
        <f>'Ind T4'!C92</f>
        <v>1.393900587611796E-2</v>
      </c>
    </row>
    <row r="38" spans="12:14" x14ac:dyDescent="0.2">
      <c r="L38" s="13" t="str">
        <f>'Ind T4'!A52</f>
        <v>Mining and quarrying</v>
      </c>
      <c r="M38">
        <f>'Ind T4'!B91</f>
        <v>-8.7050994087933269</v>
      </c>
      <c r="N38">
        <f>'Ind T4'!C91</f>
        <v>-3.2605268559289469</v>
      </c>
    </row>
    <row r="39" spans="12:14" x14ac:dyDescent="0.2">
      <c r="L39" s="44" t="str">
        <f>'Ind T4'!A51</f>
        <v>Agriculture</v>
      </c>
      <c r="M39">
        <f>'Ind T4'!B90</f>
        <v>-9.4052772227722681</v>
      </c>
      <c r="N39">
        <f>'Ind T4'!C90</f>
        <v>0.41296657343674603</v>
      </c>
    </row>
    <row r="40" spans="12:14" x14ac:dyDescent="0.2">
      <c r="L40" s="1" t="str">
        <f>CONCATENATE("[",'Ind T4'!A50,"]")</f>
        <v>[Primary sector and utilities]</v>
      </c>
      <c r="M40">
        <f>'Ind T4'!B89</f>
        <v>0.48385972480005091</v>
      </c>
      <c r="N40">
        <f>'Ind T4'!C89</f>
        <v>0.62372037197229169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L6 L8 L13 O18:P18 L23 L28 O25:P25 L30 O23:P23 O13:P13 O8:P8 O6:P6">
    <cfRule type="cellIs" dxfId="14" priority="2" stopIfTrue="1" operator="equal">
      <formula>0</formula>
    </cfRule>
  </conditionalFormatting>
  <conditionalFormatting sqref="M6:N6 M8:N8 M13:N13 M23:N23 M28:N28 M30:N30">
    <cfRule type="cellIs" dxfId="13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0" customWidth="1"/>
    <col min="2" max="10" width="9.140625" style="80"/>
    <col min="11" max="11" width="23.28515625" style="80" customWidth="1"/>
    <col min="12" max="12" width="25.5703125" customWidth="1"/>
    <col min="13" max="15" width="7.7109375" bestFit="1" customWidth="1"/>
    <col min="16" max="16" width="7.42578125" bestFit="1" customWidth="1"/>
    <col min="17" max="24" width="7.7109375" bestFit="1" customWidth="1"/>
    <col min="25" max="25" width="7.42578125" bestFit="1" customWidth="1"/>
    <col min="26" max="26" width="7.7109375" bestFit="1" customWidth="1"/>
    <col min="27" max="28" width="7.42578125" bestFit="1" customWidth="1"/>
    <col min="29" max="29" width="7" bestFit="1" customWidth="1"/>
    <col min="30" max="35" width="7.7109375" bestFit="1" customWidth="1"/>
    <col min="36" max="36" width="7.42578125" bestFit="1" customWidth="1"/>
    <col min="37" max="37" width="7.7109375" bestFit="1" customWidth="1"/>
    <col min="38" max="38" width="7.4257812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79" t="str">
        <f>CONCATENATE("Industry Figure 2  Employment by Industry (SIC 2007), ",$M$2,"-",$O$2,", ",Info!B5)</f>
        <v>Industry Figure 2  Employment by Industry (SIC 2007), 2010-2035, London</v>
      </c>
      <c r="L1" s="45"/>
    </row>
    <row r="2" spans="1:96" x14ac:dyDescent="0.2">
      <c r="A2" s="181" t="s">
        <v>534</v>
      </c>
      <c r="L2" s="15" t="s">
        <v>28</v>
      </c>
      <c r="M2" s="47">
        <f>M4</f>
        <v>2010</v>
      </c>
      <c r="N2" s="46" t="s">
        <v>27</v>
      </c>
      <c r="O2" s="47">
        <f>MAX(Q4:BQ4)</f>
        <v>2035</v>
      </c>
    </row>
    <row r="3" spans="1:96" x14ac:dyDescent="0.2">
      <c r="L3" s="15"/>
      <c r="M3" s="15"/>
      <c r="N3" s="46"/>
      <c r="O3" s="15"/>
    </row>
    <row r="4" spans="1:96" x14ac:dyDescent="0.2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>
        <f t="shared" ref="AM4" si="0">BP4</f>
        <v>0</v>
      </c>
      <c r="AN4" s="10"/>
      <c r="AO4" s="10"/>
      <c r="AP4" s="10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10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</row>
    <row r="5" spans="1:96" x14ac:dyDescent="0.2">
      <c r="L5" s="1" t="str">
        <f>'Ind T4'!A7</f>
        <v>Primary sector and utilities</v>
      </c>
      <c r="M5" s="86">
        <f>SUM(M6:M9)</f>
        <v>26.744000000183703</v>
      </c>
      <c r="N5" s="86">
        <f t="shared" ref="N5:AL5" si="1">SUM(N6:N9)</f>
        <v>30.825999999645912</v>
      </c>
      <c r="O5" s="86">
        <f t="shared" si="1"/>
        <v>31.37500000005533</v>
      </c>
      <c r="P5" s="86">
        <f t="shared" si="1"/>
        <v>27.443000000062504</v>
      </c>
      <c r="Q5" s="86">
        <f t="shared" si="1"/>
        <v>35.558999999732293</v>
      </c>
      <c r="R5" s="86">
        <f t="shared" si="1"/>
        <v>32.094000000098298</v>
      </c>
      <c r="S5" s="86">
        <f t="shared" si="1"/>
        <v>28.727000000051937</v>
      </c>
      <c r="T5" s="86">
        <f t="shared" si="1"/>
        <v>33.092000000033309</v>
      </c>
      <c r="U5" s="86">
        <f t="shared" si="1"/>
        <v>38.831000000170853</v>
      </c>
      <c r="V5" s="86">
        <f t="shared" si="1"/>
        <v>38.942000000120366</v>
      </c>
      <c r="W5" s="86">
        <f t="shared" si="1"/>
        <v>32.877999999813724</v>
      </c>
      <c r="X5" s="86">
        <f t="shared" si="1"/>
        <v>32.484999999861451</v>
      </c>
      <c r="Y5" s="86">
        <f t="shared" si="1"/>
        <v>32.242999999814685</v>
      </c>
      <c r="Z5" s="86">
        <f t="shared" si="1"/>
        <v>32.483999999867081</v>
      </c>
      <c r="AA5" s="86">
        <f t="shared" si="1"/>
        <v>33.237999999777884</v>
      </c>
      <c r="AB5" s="86">
        <f t="shared" si="1"/>
        <v>33.681999999911184</v>
      </c>
      <c r="AC5" s="86">
        <f t="shared" si="1"/>
        <v>34.017999999902528</v>
      </c>
      <c r="AD5" s="86">
        <f t="shared" si="1"/>
        <v>34.289999999836809</v>
      </c>
      <c r="AE5" s="86">
        <f t="shared" si="1"/>
        <v>34.516999999887176</v>
      </c>
      <c r="AF5" s="86">
        <f t="shared" si="1"/>
        <v>34.746999999812758</v>
      </c>
      <c r="AG5" s="86">
        <f t="shared" si="1"/>
        <v>34.976999999960981</v>
      </c>
      <c r="AH5" s="86">
        <f t="shared" si="1"/>
        <v>35.190999999871181</v>
      </c>
      <c r="AI5" s="86">
        <f t="shared" si="1"/>
        <v>35.40299999980234</v>
      </c>
      <c r="AJ5" s="86">
        <f t="shared" si="1"/>
        <v>35.633999999914245</v>
      </c>
      <c r="AK5" s="86">
        <f t="shared" si="1"/>
        <v>35.842999999892541</v>
      </c>
      <c r="AL5" s="86">
        <f t="shared" si="1"/>
        <v>36.091999999708399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2" t="str">
        <f>'Ind T4'!A8</f>
        <v>Agriculture</v>
      </c>
      <c r="M6" s="11">
        <v>5.8999999999400657E-2</v>
      </c>
      <c r="N6" s="11">
        <v>0.81599999998585693</v>
      </c>
      <c r="O6" s="11">
        <v>1.8829999999936111</v>
      </c>
      <c r="P6" s="11">
        <v>0.14699999999906618</v>
      </c>
      <c r="Q6" s="11">
        <v>2.6430000000189966</v>
      </c>
      <c r="R6" s="11">
        <v>1.6959999999793451</v>
      </c>
      <c r="S6" s="11">
        <v>0.11799999999861827</v>
      </c>
      <c r="T6" s="11">
        <v>3.5930000001151101</v>
      </c>
      <c r="U6" s="11">
        <v>2.3770000000122269</v>
      </c>
      <c r="V6" s="11">
        <v>4.5530000000011261</v>
      </c>
      <c r="W6" s="11">
        <v>1.0350000000023996</v>
      </c>
      <c r="X6" s="11">
        <v>1.0429999999957791</v>
      </c>
      <c r="Y6" s="11">
        <v>1.0500000000118552</v>
      </c>
      <c r="Z6" s="11">
        <v>1.0620000000072327</v>
      </c>
      <c r="AA6" s="11">
        <v>1.0690000000096658</v>
      </c>
      <c r="AB6" s="11">
        <v>1.0710000000172895</v>
      </c>
      <c r="AC6" s="11">
        <v>1.0740000000142842</v>
      </c>
      <c r="AD6" s="11">
        <v>1.0770000000167115</v>
      </c>
      <c r="AE6" s="11">
        <v>1.0780000000122192</v>
      </c>
      <c r="AF6" s="11">
        <v>1.0810000000165687</v>
      </c>
      <c r="AG6" s="11">
        <v>1.0850000000154434</v>
      </c>
      <c r="AH6" s="11">
        <v>1.0880000000140233</v>
      </c>
      <c r="AI6" s="11">
        <v>1.0910000000179572</v>
      </c>
      <c r="AJ6" s="11">
        <v>1.0950000000157105</v>
      </c>
      <c r="AK6" s="171">
        <v>1.0980000000173047</v>
      </c>
      <c r="AL6" s="11">
        <v>1.1010000000043316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2" t="str">
        <f>'Ind T4'!A9</f>
        <v>Mining and quarrying</v>
      </c>
      <c r="M7" s="11">
        <v>2.7779999999917151</v>
      </c>
      <c r="N7" s="11">
        <v>3.1730000000322209</v>
      </c>
      <c r="O7" s="11">
        <v>4.8649999999783855</v>
      </c>
      <c r="P7" s="11">
        <v>4.3669999999648637</v>
      </c>
      <c r="Q7" s="11">
        <v>4.1919999999915643</v>
      </c>
      <c r="R7" s="11">
        <v>4.2619999999754201</v>
      </c>
      <c r="S7" s="11">
        <v>3.5209999999604884</v>
      </c>
      <c r="T7" s="11">
        <v>2.6280000000104176</v>
      </c>
      <c r="U7" s="11">
        <v>3.6149999999964781</v>
      </c>
      <c r="V7" s="11">
        <v>2.242999999978549</v>
      </c>
      <c r="W7" s="11">
        <v>2.7030000000111776</v>
      </c>
      <c r="X7" s="11">
        <v>2.5710000000052613</v>
      </c>
      <c r="Y7" s="11">
        <v>2.5200000000292841</v>
      </c>
      <c r="Z7" s="11">
        <v>2.4050000000176421</v>
      </c>
      <c r="AA7" s="11">
        <v>2.2880000000272753</v>
      </c>
      <c r="AB7" s="11">
        <v>2.1960000000236986</v>
      </c>
      <c r="AC7" s="11">
        <v>2.1240000000167041</v>
      </c>
      <c r="AD7" s="11">
        <v>2.0520000000255516</v>
      </c>
      <c r="AE7" s="11">
        <v>1.9890000000158736</v>
      </c>
      <c r="AF7" s="11">
        <v>1.9290000000218939</v>
      </c>
      <c r="AG7" s="11">
        <v>1.8790000000160123</v>
      </c>
      <c r="AH7" s="11">
        <v>1.8220000000179661</v>
      </c>
      <c r="AI7" s="11">
        <v>1.7730000000241837</v>
      </c>
      <c r="AJ7" s="11">
        <v>1.7260000000158662</v>
      </c>
      <c r="AK7" s="171">
        <v>1.6830000000185315</v>
      </c>
      <c r="AL7" s="11">
        <v>1.6440000000162167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2" t="str">
        <f>'Ind T4'!A10</f>
        <v>Electricity and gas</v>
      </c>
      <c r="M8" s="11">
        <v>5.5299999999895135</v>
      </c>
      <c r="N8" s="11">
        <v>7.2690000000086403</v>
      </c>
      <c r="O8" s="11">
        <v>6.3219999999740795</v>
      </c>
      <c r="P8" s="11">
        <v>7.1819999999751589</v>
      </c>
      <c r="Q8" s="11">
        <v>8.5710000000281656</v>
      </c>
      <c r="R8" s="11">
        <v>10.292999999952817</v>
      </c>
      <c r="S8" s="11">
        <v>10.472999999968547</v>
      </c>
      <c r="T8" s="11">
        <v>9.9940000000614528</v>
      </c>
      <c r="U8" s="11">
        <v>17.849000000001983</v>
      </c>
      <c r="V8" s="11">
        <v>15.214999999958104</v>
      </c>
      <c r="W8" s="11">
        <v>12.42299999999452</v>
      </c>
      <c r="X8" s="11">
        <v>12.411000000040321</v>
      </c>
      <c r="Y8" s="11">
        <v>12.239000000052714</v>
      </c>
      <c r="Z8" s="11">
        <v>12.203000000035299</v>
      </c>
      <c r="AA8" s="11">
        <v>12.214000000075844</v>
      </c>
      <c r="AB8" s="11">
        <v>12.218000000079176</v>
      </c>
      <c r="AC8" s="11">
        <v>12.220000000033894</v>
      </c>
      <c r="AD8" s="11">
        <v>12.230000000099876</v>
      </c>
      <c r="AE8" s="11">
        <v>12.239000000063459</v>
      </c>
      <c r="AF8" s="11">
        <v>12.257000000062122</v>
      </c>
      <c r="AG8" s="11">
        <v>12.28300000009216</v>
      </c>
      <c r="AH8" s="11">
        <v>12.312000000078166</v>
      </c>
      <c r="AI8" s="11">
        <v>12.343000000100343</v>
      </c>
      <c r="AJ8" s="11">
        <v>12.377000000067781</v>
      </c>
      <c r="AK8" s="171">
        <v>12.412000000111663</v>
      </c>
      <c r="AL8" s="11">
        <v>12.449000000055946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2" t="str">
        <f>'Ind T4'!A11</f>
        <v>Water and sewerage</v>
      </c>
      <c r="M9" s="11">
        <v>18.377000000203072</v>
      </c>
      <c r="N9" s="11">
        <v>19.567999999619193</v>
      </c>
      <c r="O9" s="11">
        <v>18.305000000109253</v>
      </c>
      <c r="P9" s="11">
        <v>15.747000000123418</v>
      </c>
      <c r="Q9" s="11">
        <v>20.152999999693563</v>
      </c>
      <c r="R9" s="11">
        <v>15.843000000190715</v>
      </c>
      <c r="S9" s="11">
        <v>14.615000000124285</v>
      </c>
      <c r="T9" s="11">
        <v>16.87699999984633</v>
      </c>
      <c r="U9" s="11">
        <v>14.990000000160164</v>
      </c>
      <c r="V9" s="11">
        <v>16.931000000182586</v>
      </c>
      <c r="W9" s="11">
        <v>16.71699999980563</v>
      </c>
      <c r="X9" s="11">
        <v>16.459999999820088</v>
      </c>
      <c r="Y9" s="11">
        <v>16.433999999720829</v>
      </c>
      <c r="Z9" s="11">
        <v>16.81399999980691</v>
      </c>
      <c r="AA9" s="11">
        <v>17.666999999665101</v>
      </c>
      <c r="AB9" s="11">
        <v>18.196999999791018</v>
      </c>
      <c r="AC9" s="11">
        <v>18.599999999837646</v>
      </c>
      <c r="AD9" s="11">
        <v>18.93099999969467</v>
      </c>
      <c r="AE9" s="11">
        <v>19.210999999795625</v>
      </c>
      <c r="AF9" s="11">
        <v>19.47999999971217</v>
      </c>
      <c r="AG9" s="11">
        <v>19.729999999837364</v>
      </c>
      <c r="AH9" s="11">
        <v>19.968999999761024</v>
      </c>
      <c r="AI9" s="11">
        <v>20.195999999659858</v>
      </c>
      <c r="AJ9" s="11">
        <v>20.435999999814889</v>
      </c>
      <c r="AK9" s="171">
        <v>20.649999999745042</v>
      </c>
      <c r="AL9" s="11">
        <v>20.897999999631903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1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86">
        <f t="shared" ref="M11:P11" si="2">SUM(M12:M14)</f>
        <v>130.01900000080852</v>
      </c>
      <c r="N11" s="86">
        <f t="shared" si="2"/>
        <v>122.60899999827537</v>
      </c>
      <c r="O11" s="86">
        <f t="shared" si="2"/>
        <v>128.00399999999814</v>
      </c>
      <c r="P11" s="86">
        <f t="shared" si="2"/>
        <v>123.20200000044423</v>
      </c>
      <c r="Q11" s="86">
        <f>SUM(Q12:Q14)</f>
        <v>141.5409999987302</v>
      </c>
      <c r="R11" s="86">
        <f t="shared" ref="R11" si="3">SUM(R12:R14)</f>
        <v>123.96000000103737</v>
      </c>
      <c r="S11" s="86">
        <f t="shared" ref="S11" si="4">SUM(S12:S14)</f>
        <v>136.46300000061547</v>
      </c>
      <c r="T11" s="86">
        <f t="shared" ref="T11" si="5">SUM(T12:T14)</f>
        <v>122.90399999945434</v>
      </c>
      <c r="U11" s="86">
        <f t="shared" ref="U11" si="6">SUM(U12:U14)</f>
        <v>138.23400000113929</v>
      </c>
      <c r="V11" s="86">
        <f t="shared" ref="V11" si="7">SUM(V12:V14)</f>
        <v>135.23100000086248</v>
      </c>
      <c r="W11" s="86">
        <f t="shared" ref="W11" si="8">SUM(W12:W14)</f>
        <v>146.30099999872101</v>
      </c>
      <c r="X11" s="86">
        <f t="shared" ref="X11" si="9">SUM(X12:X14)</f>
        <v>146.6929999988937</v>
      </c>
      <c r="Y11" s="86">
        <f t="shared" ref="Y11" si="10">SUM(Y12:Y14)</f>
        <v>145.72699999876778</v>
      </c>
      <c r="Z11" s="86">
        <f t="shared" ref="Z11" si="11">SUM(Z12:Z14)</f>
        <v>144.87099999928131</v>
      </c>
      <c r="AA11" s="86">
        <f t="shared" ref="AA11" si="12">SUM(AA12:AA14)</f>
        <v>144.30499999873621</v>
      </c>
      <c r="AB11" s="86">
        <f t="shared" ref="AB11" si="13">SUM(AB12:AB14)</f>
        <v>143.15799999989972</v>
      </c>
      <c r="AC11" s="86">
        <f t="shared" ref="AC11" si="14">SUM(AC12:AC14)</f>
        <v>141.98500000000234</v>
      </c>
      <c r="AD11" s="86">
        <f>SUM(AD12:AD14)</f>
        <v>140.7919999997514</v>
      </c>
      <c r="AE11" s="86">
        <f t="shared" ref="AE11" si="15">SUM(AE12:AE14)</f>
        <v>139.63800000009186</v>
      </c>
      <c r="AF11" s="86">
        <f t="shared" ref="AF11" si="16">SUM(AF12:AF14)</f>
        <v>138.53199999990107</v>
      </c>
      <c r="AG11" s="86">
        <f t="shared" ref="AG11:AL11" si="17">SUM(AG12:AG14)</f>
        <v>137.54500000048762</v>
      </c>
      <c r="AH11" s="86">
        <f t="shared" si="17"/>
        <v>136.52000000008988</v>
      </c>
      <c r="AI11" s="86">
        <f t="shared" si="17"/>
        <v>135.5359999999242</v>
      </c>
      <c r="AJ11" s="86">
        <f t="shared" si="17"/>
        <v>134.57400000047642</v>
      </c>
      <c r="AK11" s="86">
        <f t="shared" si="17"/>
        <v>133.64500000018324</v>
      </c>
      <c r="AL11" s="86">
        <f t="shared" si="17"/>
        <v>132.75099999898183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2" t="str">
        <f>'Ind T4'!A14</f>
        <v>Food drink and tobacco</v>
      </c>
      <c r="M12" s="11">
        <v>26.489000000414954</v>
      </c>
      <c r="N12" s="11">
        <v>26.381999999116001</v>
      </c>
      <c r="O12" s="11">
        <v>32.390000000138656</v>
      </c>
      <c r="P12" s="11">
        <v>34.529000000381181</v>
      </c>
      <c r="Q12" s="11">
        <v>33.068999999459557</v>
      </c>
      <c r="R12" s="11">
        <v>28.49100000053776</v>
      </c>
      <c r="S12" s="11">
        <v>29.544000000296752</v>
      </c>
      <c r="T12" s="11">
        <v>36.130999999703285</v>
      </c>
      <c r="U12" s="11">
        <v>37.308000000593339</v>
      </c>
      <c r="V12" s="11">
        <v>43.139000000567805</v>
      </c>
      <c r="W12" s="11">
        <v>44.624999999315129</v>
      </c>
      <c r="X12" s="11">
        <v>44.77199999956251</v>
      </c>
      <c r="Y12" s="11">
        <v>44.963999999251165</v>
      </c>
      <c r="Z12" s="11">
        <v>45.353999999533066</v>
      </c>
      <c r="AA12" s="11">
        <v>45.417999999244529</v>
      </c>
      <c r="AB12" s="11">
        <v>45.290999999783502</v>
      </c>
      <c r="AC12" s="11">
        <v>45.253999999773164</v>
      </c>
      <c r="AD12" s="11">
        <v>45.184999999675654</v>
      </c>
      <c r="AE12" s="11">
        <v>45.093999999863755</v>
      </c>
      <c r="AF12" s="11">
        <v>44.997999999700355</v>
      </c>
      <c r="AG12" s="11">
        <v>44.910000000112937</v>
      </c>
      <c r="AH12" s="11">
        <v>44.817999999880328</v>
      </c>
      <c r="AI12" s="11">
        <v>44.72299999972055</v>
      </c>
      <c r="AJ12" s="11">
        <v>44.618000000060576</v>
      </c>
      <c r="AK12" s="171">
        <v>44.507999999940466</v>
      </c>
      <c r="AL12" s="11">
        <v>44.388999999243552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2" t="str">
        <f>'Ind T4'!A15</f>
        <v>Engineering</v>
      </c>
      <c r="M13" s="11">
        <v>11.423000000007185</v>
      </c>
      <c r="N13" s="11">
        <v>12.032999999987858</v>
      </c>
      <c r="O13" s="11">
        <v>14.659999999975396</v>
      </c>
      <c r="P13" s="11">
        <v>13.123000000006771</v>
      </c>
      <c r="Q13" s="11">
        <v>11.823999999977334</v>
      </c>
      <c r="R13" s="11">
        <v>9.7510000000010404</v>
      </c>
      <c r="S13" s="11">
        <v>12.44300000001166</v>
      </c>
      <c r="T13" s="11">
        <v>9.3669999999970699</v>
      </c>
      <c r="U13" s="11">
        <v>10.545000000029319</v>
      </c>
      <c r="V13" s="11">
        <v>13.439000000010228</v>
      </c>
      <c r="W13" s="11">
        <v>13.722999999966838</v>
      </c>
      <c r="X13" s="11">
        <v>14.943999999960871</v>
      </c>
      <c r="Y13" s="11">
        <v>15.505999999963311</v>
      </c>
      <c r="Z13" s="11">
        <v>16.252999999974229</v>
      </c>
      <c r="AA13" s="11">
        <v>16.954999999948782</v>
      </c>
      <c r="AB13" s="11">
        <v>17.333000000023976</v>
      </c>
      <c r="AC13" s="11">
        <v>17.444000000036272</v>
      </c>
      <c r="AD13" s="11">
        <v>17.547999999993706</v>
      </c>
      <c r="AE13" s="11">
        <v>17.649000000006563</v>
      </c>
      <c r="AF13" s="11">
        <v>17.748000000005351</v>
      </c>
      <c r="AG13" s="11">
        <v>17.893000000031687</v>
      </c>
      <c r="AH13" s="11">
        <v>18.019000000009996</v>
      </c>
      <c r="AI13" s="11">
        <v>18.145000000012175</v>
      </c>
      <c r="AJ13" s="11">
        <v>18.266000000034026</v>
      </c>
      <c r="AK13" s="171">
        <v>18.382000000047938</v>
      </c>
      <c r="AL13" s="11">
        <v>18.494999999974297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2" t="str">
        <f>'Ind T4'!A16</f>
        <v>Rest of manufacturing</v>
      </c>
      <c r="M14" s="11">
        <v>92.107000000386378</v>
      </c>
      <c r="N14" s="11">
        <v>84.19399999917151</v>
      </c>
      <c r="O14" s="11">
        <v>80.95399999988409</v>
      </c>
      <c r="P14" s="11">
        <v>75.550000000056272</v>
      </c>
      <c r="Q14" s="11">
        <v>96.647999999293319</v>
      </c>
      <c r="R14" s="11">
        <v>85.718000000498563</v>
      </c>
      <c r="S14" s="11">
        <v>94.476000000307039</v>
      </c>
      <c r="T14" s="11">
        <v>77.405999999753988</v>
      </c>
      <c r="U14" s="11">
        <v>90.38100000051665</v>
      </c>
      <c r="V14" s="11">
        <v>78.65300000028445</v>
      </c>
      <c r="W14" s="11">
        <v>87.952999999439029</v>
      </c>
      <c r="X14" s="11">
        <v>86.976999999370307</v>
      </c>
      <c r="Y14" s="11">
        <v>85.256999999553287</v>
      </c>
      <c r="Z14" s="11">
        <v>83.263999999774015</v>
      </c>
      <c r="AA14" s="11">
        <v>81.93199999954291</v>
      </c>
      <c r="AB14" s="11">
        <v>80.534000000092234</v>
      </c>
      <c r="AC14" s="11">
        <v>79.287000000192918</v>
      </c>
      <c r="AD14" s="11">
        <v>78.059000000082037</v>
      </c>
      <c r="AE14" s="11">
        <v>76.895000000221543</v>
      </c>
      <c r="AF14" s="11">
        <v>75.786000000195372</v>
      </c>
      <c r="AG14" s="11">
        <v>74.742000000342983</v>
      </c>
      <c r="AH14" s="11">
        <v>73.683000000199556</v>
      </c>
      <c r="AI14" s="11">
        <v>72.668000000191483</v>
      </c>
      <c r="AJ14" s="11">
        <v>71.690000000381815</v>
      </c>
      <c r="AK14" s="171">
        <v>70.75500000019484</v>
      </c>
      <c r="AL14" s="11">
        <v>69.866999999763976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1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86">
        <v>230.90600000461157</v>
      </c>
      <c r="N16" s="86">
        <v>241.44399999010039</v>
      </c>
      <c r="O16" s="86">
        <v>272.10100000103665</v>
      </c>
      <c r="P16" s="86">
        <v>286.80800000151578</v>
      </c>
      <c r="Q16" s="86">
        <v>281.77899998889677</v>
      </c>
      <c r="R16" s="86">
        <v>289.43400000057773</v>
      </c>
      <c r="S16" s="86">
        <v>318.72599999947334</v>
      </c>
      <c r="T16" s="86">
        <v>345.41599999327138</v>
      </c>
      <c r="U16" s="86">
        <v>316.57500000583707</v>
      </c>
      <c r="V16" s="86">
        <v>319.71500000728588</v>
      </c>
      <c r="W16" s="86">
        <v>297.80299999075265</v>
      </c>
      <c r="X16" s="86">
        <v>297.19799999008131</v>
      </c>
      <c r="Y16" s="86">
        <v>303.41999998328345</v>
      </c>
      <c r="Z16" s="86">
        <v>315.77099998516843</v>
      </c>
      <c r="AA16" s="86">
        <v>325.57799998036018</v>
      </c>
      <c r="AB16" s="86">
        <v>330.64299998375026</v>
      </c>
      <c r="AC16" s="86">
        <v>335.41799998494446</v>
      </c>
      <c r="AD16" s="86">
        <v>339.54699998153865</v>
      </c>
      <c r="AE16" s="86">
        <v>344.08799998210429</v>
      </c>
      <c r="AF16" s="86">
        <v>348.51599998203636</v>
      </c>
      <c r="AG16" s="86">
        <v>353.39699998370253</v>
      </c>
      <c r="AH16" s="86">
        <v>358.40499998405033</v>
      </c>
      <c r="AI16" s="86">
        <v>363.54899997982778</v>
      </c>
      <c r="AJ16" s="86">
        <v>368.8149999847958</v>
      </c>
      <c r="AK16" s="355">
        <v>374.17999998145456</v>
      </c>
      <c r="AL16" s="86">
        <v>379.64199998098906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1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86">
        <f t="shared" ref="M18:P18" si="18">SUM(M19:M21)</f>
        <v>1148.8550000167145</v>
      </c>
      <c r="N18" s="86">
        <f t="shared" si="18"/>
        <v>1152.0199999531253</v>
      </c>
      <c r="O18" s="86">
        <f t="shared" si="18"/>
        <v>1243.2290000035764</v>
      </c>
      <c r="P18" s="86">
        <f t="shared" si="18"/>
        <v>1223.6210000179158</v>
      </c>
      <c r="Q18" s="86">
        <f>SUM(Q19:Q21)</f>
        <v>1286.9329999965526</v>
      </c>
      <c r="R18" s="86">
        <f t="shared" ref="R18" si="19">SUM(R19:R21)</f>
        <v>1323.0470000357218</v>
      </c>
      <c r="S18" s="86">
        <f t="shared" ref="S18" si="20">SUM(S19:S21)</f>
        <v>1323.95300002882</v>
      </c>
      <c r="T18" s="86">
        <f t="shared" ref="T18" si="21">SUM(T19:T21)</f>
        <v>1374.2370000001483</v>
      </c>
      <c r="U18" s="86">
        <f t="shared" ref="U18" si="22">SUM(U19:U21)</f>
        <v>1388.8190000257646</v>
      </c>
      <c r="V18" s="86">
        <f t="shared" ref="V18" si="23">SUM(V19:V21)</f>
        <v>1418.2680000231994</v>
      </c>
      <c r="W18" s="86">
        <f t="shared" ref="W18" si="24">SUM(W19:W21)</f>
        <v>1386.4849999834535</v>
      </c>
      <c r="X18" s="86">
        <f t="shared" ref="X18" si="25">SUM(X19:X21)</f>
        <v>1378.2579999925106</v>
      </c>
      <c r="Y18" s="86">
        <f t="shared" ref="Y18" si="26">SUM(Y19:Y21)</f>
        <v>1387.3739999839549</v>
      </c>
      <c r="Z18" s="86">
        <f t="shared" ref="Z18" si="27">SUM(Z19:Z21)</f>
        <v>1404.4669999952155</v>
      </c>
      <c r="AA18" s="86">
        <f t="shared" ref="AA18" si="28">SUM(AA19:AA21)</f>
        <v>1420.1249999890031</v>
      </c>
      <c r="AB18" s="86">
        <f t="shared" ref="AB18" si="29">SUM(AB19:AB21)</f>
        <v>1432.0220000007098</v>
      </c>
      <c r="AC18" s="86">
        <f t="shared" ref="AC18" si="30">SUM(AC19:AC21)</f>
        <v>1441.2959999939769</v>
      </c>
      <c r="AD18" s="86">
        <f>SUM(AD19:AD21)</f>
        <v>1449.5209999976353</v>
      </c>
      <c r="AE18" s="86">
        <f t="shared" ref="AE18" si="31">SUM(AE19:AE21)</f>
        <v>1457.3370000014424</v>
      </c>
      <c r="AF18" s="86">
        <f t="shared" ref="AF18" si="32">SUM(AF19:AF21)</f>
        <v>1464.9079999956798</v>
      </c>
      <c r="AG18" s="86">
        <f t="shared" ref="AG18:AL18" si="33">SUM(AG19:AG21)</f>
        <v>1472.620000010787</v>
      </c>
      <c r="AH18" s="86">
        <f t="shared" si="33"/>
        <v>1480.2660000062069</v>
      </c>
      <c r="AI18" s="86">
        <f t="shared" si="33"/>
        <v>1487.8530000022129</v>
      </c>
      <c r="AJ18" s="86">
        <f t="shared" si="33"/>
        <v>1495.5670000082107</v>
      </c>
      <c r="AK18" s="86">
        <f t="shared" si="33"/>
        <v>1503.1690000154226</v>
      </c>
      <c r="AL18" s="86">
        <f t="shared" si="33"/>
        <v>1510.7689999848176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2" t="str">
        <f>'Ind T4'!A21</f>
        <v>Wholesale and retail trade</v>
      </c>
      <c r="M19" s="11">
        <v>575.33200000775616</v>
      </c>
      <c r="N19" s="11">
        <v>572.13499997678764</v>
      </c>
      <c r="O19" s="11">
        <v>635.21700000123678</v>
      </c>
      <c r="P19" s="11">
        <v>601.66300000803687</v>
      </c>
      <c r="Q19" s="11">
        <v>631.93800000384942</v>
      </c>
      <c r="R19" s="11">
        <v>665.94600001948652</v>
      </c>
      <c r="S19" s="11">
        <v>628.40100001470648</v>
      </c>
      <c r="T19" s="11">
        <v>657.48400000540414</v>
      </c>
      <c r="U19" s="11">
        <v>667.76300001450181</v>
      </c>
      <c r="V19" s="11">
        <v>638.43700001312141</v>
      </c>
      <c r="W19" s="11">
        <v>638.69099999360083</v>
      </c>
      <c r="X19" s="11">
        <v>632.96999999624688</v>
      </c>
      <c r="Y19" s="11">
        <v>629.8839999934861</v>
      </c>
      <c r="Z19" s="11">
        <v>630.80699999853709</v>
      </c>
      <c r="AA19" s="11">
        <v>631.37999999649276</v>
      </c>
      <c r="AB19" s="11">
        <v>631.94400000136363</v>
      </c>
      <c r="AC19" s="11">
        <v>631.96199999715759</v>
      </c>
      <c r="AD19" s="11">
        <v>631.74500000002718</v>
      </c>
      <c r="AE19" s="11">
        <v>631.49000000064268</v>
      </c>
      <c r="AF19" s="11">
        <v>631.20299999873009</v>
      </c>
      <c r="AG19" s="11">
        <v>631.0210000047631</v>
      </c>
      <c r="AH19" s="11">
        <v>630.96000000339768</v>
      </c>
      <c r="AI19" s="11">
        <v>630.95300000158443</v>
      </c>
      <c r="AJ19" s="11">
        <v>631.26300000359095</v>
      </c>
      <c r="AK19" s="171">
        <v>631.60600000727788</v>
      </c>
      <c r="AL19" s="11">
        <v>632.02499999279519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2" t="str">
        <f>'Ind T4'!A22</f>
        <v>Transport and storage</v>
      </c>
      <c r="M20" s="11">
        <v>250.13000000285584</v>
      </c>
      <c r="N20" s="11">
        <v>262.70099998888929</v>
      </c>
      <c r="O20" s="11">
        <v>264.9629999993312</v>
      </c>
      <c r="P20" s="11">
        <v>264.02500000282396</v>
      </c>
      <c r="Q20" s="11">
        <v>274.42599999314461</v>
      </c>
      <c r="R20" s="11">
        <v>286.79100000660156</v>
      </c>
      <c r="S20" s="11">
        <v>288.09600000557873</v>
      </c>
      <c r="T20" s="11">
        <v>315.93699999233098</v>
      </c>
      <c r="U20" s="11">
        <v>277.60300000211072</v>
      </c>
      <c r="V20" s="11">
        <v>321.04600000112316</v>
      </c>
      <c r="W20" s="11">
        <v>319.80499999526324</v>
      </c>
      <c r="X20" s="11">
        <v>335.45099999822423</v>
      </c>
      <c r="Y20" s="11">
        <v>340.72099999544668</v>
      </c>
      <c r="Z20" s="11">
        <v>342.67999999843039</v>
      </c>
      <c r="AA20" s="11">
        <v>344.09299999539292</v>
      </c>
      <c r="AB20" s="11">
        <v>344.99899999899509</v>
      </c>
      <c r="AC20" s="11">
        <v>345.10999999953924</v>
      </c>
      <c r="AD20" s="11">
        <v>345.16299999727488</v>
      </c>
      <c r="AE20" s="11">
        <v>345.19700000021027</v>
      </c>
      <c r="AF20" s="11">
        <v>345.26199999727686</v>
      </c>
      <c r="AG20" s="11">
        <v>345.39800000179957</v>
      </c>
      <c r="AH20" s="11">
        <v>345.45799999903909</v>
      </c>
      <c r="AI20" s="11">
        <v>345.48799999762775</v>
      </c>
      <c r="AJ20" s="11">
        <v>345.47900000029119</v>
      </c>
      <c r="AK20" s="171">
        <v>345.43900000036314</v>
      </c>
      <c r="AL20" s="11">
        <v>345.39099999613535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2" t="str">
        <f>'Ind T4'!A23</f>
        <v>Accommodation and food</v>
      </c>
      <c r="M21" s="11">
        <v>323.39300000610251</v>
      </c>
      <c r="N21" s="11">
        <v>317.18399998744837</v>
      </c>
      <c r="O21" s="11">
        <v>343.04900000300847</v>
      </c>
      <c r="P21" s="11">
        <v>357.93300000705506</v>
      </c>
      <c r="Q21" s="11">
        <v>380.56899999955857</v>
      </c>
      <c r="R21" s="11">
        <v>370.31000000963365</v>
      </c>
      <c r="S21" s="11">
        <v>407.45600000853477</v>
      </c>
      <c r="T21" s="11">
        <v>400.81600000241309</v>
      </c>
      <c r="U21" s="11">
        <v>443.45300000915199</v>
      </c>
      <c r="V21" s="11">
        <v>458.7850000089548</v>
      </c>
      <c r="W21" s="11">
        <v>427.98899999458945</v>
      </c>
      <c r="X21" s="11">
        <v>409.83699999803946</v>
      </c>
      <c r="Y21" s="11">
        <v>416.76899999502211</v>
      </c>
      <c r="Z21" s="11">
        <v>430.97999999824799</v>
      </c>
      <c r="AA21" s="11">
        <v>444.65199999711734</v>
      </c>
      <c r="AB21" s="11">
        <v>455.0790000003509</v>
      </c>
      <c r="AC21" s="11">
        <v>464.22399999728015</v>
      </c>
      <c r="AD21" s="11">
        <v>472.6130000003331</v>
      </c>
      <c r="AE21" s="11">
        <v>480.65000000058939</v>
      </c>
      <c r="AF21" s="11">
        <v>488.44299999967285</v>
      </c>
      <c r="AG21" s="11">
        <v>496.20100000422428</v>
      </c>
      <c r="AH21" s="11">
        <v>503.84800000377021</v>
      </c>
      <c r="AI21" s="11">
        <v>511.41200000300068</v>
      </c>
      <c r="AJ21" s="11">
        <v>518.82500000432856</v>
      </c>
      <c r="AK21" s="171">
        <v>526.12400000778166</v>
      </c>
      <c r="AL21" s="11">
        <v>533.3529999958871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1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86">
        <f>SUM(M24:M31)</f>
        <v>2228.2799999824379</v>
      </c>
      <c r="N23" s="86">
        <f t="shared" ref="N23:AL23" si="34">SUM(N24:N31)</f>
        <v>2251.1590000227943</v>
      </c>
      <c r="O23" s="86">
        <f t="shared" si="34"/>
        <v>2319.3589999884953</v>
      </c>
      <c r="P23" s="86">
        <f t="shared" si="34"/>
        <v>2404.3339999800419</v>
      </c>
      <c r="Q23" s="86">
        <f t="shared" si="34"/>
        <v>2556.2460000126557</v>
      </c>
      <c r="R23" s="86">
        <f t="shared" si="34"/>
        <v>2621.7669999800705</v>
      </c>
      <c r="S23" s="86">
        <f t="shared" si="34"/>
        <v>2733.6179999777305</v>
      </c>
      <c r="T23" s="86">
        <f t="shared" si="34"/>
        <v>2773.2060000091469</v>
      </c>
      <c r="U23" s="86">
        <f t="shared" si="34"/>
        <v>2795.6699999845614</v>
      </c>
      <c r="V23" s="86">
        <f t="shared" si="34"/>
        <v>2825.7269999778619</v>
      </c>
      <c r="W23" s="86">
        <f t="shared" si="34"/>
        <v>2804.4590000113999</v>
      </c>
      <c r="X23" s="86">
        <f t="shared" si="34"/>
        <v>2862.5440000028816</v>
      </c>
      <c r="Y23" s="86">
        <f t="shared" si="34"/>
        <v>2892.3270000364441</v>
      </c>
      <c r="Z23" s="86">
        <f t="shared" si="34"/>
        <v>2917.8520000289905</v>
      </c>
      <c r="AA23" s="86">
        <f t="shared" si="34"/>
        <v>2939.2690000377333</v>
      </c>
      <c r="AB23" s="86">
        <f t="shared" si="34"/>
        <v>2954.9880000470375</v>
      </c>
      <c r="AC23" s="86">
        <f t="shared" si="34"/>
        <v>2971.5360000458218</v>
      </c>
      <c r="AD23" s="86">
        <f t="shared" si="34"/>
        <v>2987.9350000560776</v>
      </c>
      <c r="AE23" s="86">
        <f t="shared" si="34"/>
        <v>3003.8020000518177</v>
      </c>
      <c r="AF23" s="86">
        <f t="shared" si="34"/>
        <v>3019.6950000598022</v>
      </c>
      <c r="AG23" s="86">
        <f t="shared" si="34"/>
        <v>3036.5930000515405</v>
      </c>
      <c r="AH23" s="86">
        <f t="shared" si="34"/>
        <v>3053.0310000492018</v>
      </c>
      <c r="AI23" s="86">
        <f t="shared" si="34"/>
        <v>3069.620000060519</v>
      </c>
      <c r="AJ23" s="86">
        <f t="shared" si="34"/>
        <v>3086.1090000545155</v>
      </c>
      <c r="AK23" s="86">
        <f t="shared" si="34"/>
        <v>3102.4440000475256</v>
      </c>
      <c r="AL23" s="86">
        <f t="shared" si="34"/>
        <v>3118.6940000273239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2" t="str">
        <f>'Ind T4'!A26</f>
        <v>Media</v>
      </c>
      <c r="M24" s="11">
        <v>146.83699999879553</v>
      </c>
      <c r="N24" s="11">
        <v>165.96100000218232</v>
      </c>
      <c r="O24" s="11">
        <v>165.24899999904645</v>
      </c>
      <c r="P24" s="11">
        <v>167.7089999985734</v>
      </c>
      <c r="Q24" s="11">
        <v>184.9380000007063</v>
      </c>
      <c r="R24" s="11">
        <v>169.83099999940578</v>
      </c>
      <c r="S24" s="11">
        <v>170.02899999916005</v>
      </c>
      <c r="T24" s="11">
        <v>193.09399999991973</v>
      </c>
      <c r="U24" s="11">
        <v>192.36799999943426</v>
      </c>
      <c r="V24" s="11">
        <v>167.90699999903583</v>
      </c>
      <c r="W24" s="11">
        <v>177.65000000121492</v>
      </c>
      <c r="X24" s="11">
        <v>180.82200000038236</v>
      </c>
      <c r="Y24" s="11">
        <v>182.59300000310785</v>
      </c>
      <c r="Z24" s="11">
        <v>184.35800000283132</v>
      </c>
      <c r="AA24" s="11">
        <v>185.9230000033011</v>
      </c>
      <c r="AB24" s="11">
        <v>186.16600000392299</v>
      </c>
      <c r="AC24" s="11">
        <v>186.5970000039444</v>
      </c>
      <c r="AD24" s="11">
        <v>186.99400000445635</v>
      </c>
      <c r="AE24" s="11">
        <v>187.39000000455238</v>
      </c>
      <c r="AF24" s="11">
        <v>187.76400000472805</v>
      </c>
      <c r="AG24" s="11">
        <v>188.15100000437786</v>
      </c>
      <c r="AH24" s="11">
        <v>188.53200000396384</v>
      </c>
      <c r="AI24" s="11">
        <v>188.95000000477637</v>
      </c>
      <c r="AJ24" s="11">
        <v>189.39900000434847</v>
      </c>
      <c r="AK24" s="171">
        <v>189.88000000394078</v>
      </c>
      <c r="AL24" s="11">
        <v>190.39500000259883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2" t="str">
        <f>'Ind T4'!A27</f>
        <v>Information technology</v>
      </c>
      <c r="M25" s="11">
        <v>201.35299999728949</v>
      </c>
      <c r="N25" s="11">
        <v>211.23300000473182</v>
      </c>
      <c r="O25" s="11">
        <v>199.26199999813633</v>
      </c>
      <c r="P25" s="11">
        <v>221.95099999696069</v>
      </c>
      <c r="Q25" s="11">
        <v>251.70700000280206</v>
      </c>
      <c r="R25" s="11">
        <v>262.03799999552723</v>
      </c>
      <c r="S25" s="11">
        <v>279.71699999606318</v>
      </c>
      <c r="T25" s="11">
        <v>283.70700000247547</v>
      </c>
      <c r="U25" s="11">
        <v>296.57699999679414</v>
      </c>
      <c r="V25" s="11">
        <v>316.03299999552212</v>
      </c>
      <c r="W25" s="11">
        <v>332.73700000238267</v>
      </c>
      <c r="X25" s="11">
        <v>341.25300000151225</v>
      </c>
      <c r="Y25" s="11">
        <v>344.48900000565129</v>
      </c>
      <c r="Z25" s="11">
        <v>350.97400000384511</v>
      </c>
      <c r="AA25" s="11">
        <v>356.05400000598644</v>
      </c>
      <c r="AB25" s="11">
        <v>360.24400000624183</v>
      </c>
      <c r="AC25" s="11">
        <v>364.17300000532583</v>
      </c>
      <c r="AD25" s="11">
        <v>367.61900000739422</v>
      </c>
      <c r="AE25" s="11">
        <v>370.89400000565757</v>
      </c>
      <c r="AF25" s="11">
        <v>374.15000000724274</v>
      </c>
      <c r="AG25" s="11">
        <v>377.57200000583049</v>
      </c>
      <c r="AH25" s="11">
        <v>380.92700000600286</v>
      </c>
      <c r="AI25" s="11">
        <v>384.21600000782922</v>
      </c>
      <c r="AJ25" s="11">
        <v>387.37700000611238</v>
      </c>
      <c r="AK25" s="171">
        <v>390.38200000662641</v>
      </c>
      <c r="AL25" s="11">
        <v>393.24500000436973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2" t="str">
        <f>'Ind T4'!A28</f>
        <v>Finance and insurance</v>
      </c>
      <c r="M26" s="11">
        <v>355.93299999682222</v>
      </c>
      <c r="N26" s="11">
        <v>369.63200000401361</v>
      </c>
      <c r="O26" s="11">
        <v>380.62299999707324</v>
      </c>
      <c r="P26" s="11">
        <v>360.28699999594221</v>
      </c>
      <c r="Q26" s="11">
        <v>365.48300000253499</v>
      </c>
      <c r="R26" s="11">
        <v>372.22399999473578</v>
      </c>
      <c r="S26" s="11">
        <v>392.3909999952906</v>
      </c>
      <c r="T26" s="11">
        <v>390.94300000230606</v>
      </c>
      <c r="U26" s="11">
        <v>384.27699999643198</v>
      </c>
      <c r="V26" s="11">
        <v>408.94599999445853</v>
      </c>
      <c r="W26" s="11">
        <v>403.88500000181784</v>
      </c>
      <c r="X26" s="11">
        <v>410.45100000018391</v>
      </c>
      <c r="Y26" s="11">
        <v>410.55900000643936</v>
      </c>
      <c r="Z26" s="11">
        <v>410.72800000472182</v>
      </c>
      <c r="AA26" s="11">
        <v>410.15800000686477</v>
      </c>
      <c r="AB26" s="11">
        <v>410.36400000884646</v>
      </c>
      <c r="AC26" s="11">
        <v>411.03100000855341</v>
      </c>
      <c r="AD26" s="11">
        <v>411.64600001009984</v>
      </c>
      <c r="AE26" s="11">
        <v>412.21600000829471</v>
      </c>
      <c r="AF26" s="11">
        <v>412.76200001070197</v>
      </c>
      <c r="AG26" s="11">
        <v>413.35700000823721</v>
      </c>
      <c r="AH26" s="11">
        <v>413.67900000851358</v>
      </c>
      <c r="AI26" s="11">
        <v>414.0000000108376</v>
      </c>
      <c r="AJ26" s="11">
        <v>414.31400000920132</v>
      </c>
      <c r="AK26" s="171">
        <v>414.61600000901859</v>
      </c>
      <c r="AL26" s="11">
        <v>414.92400000529392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2" t="str">
        <f>'Ind T4'!A29</f>
        <v>Real estate</v>
      </c>
      <c r="M27" s="11">
        <v>116.85899999953055</v>
      </c>
      <c r="N27" s="11">
        <v>110.28200000033553</v>
      </c>
      <c r="O27" s="11">
        <v>116.6209999994506</v>
      </c>
      <c r="P27" s="11">
        <v>116.30399999935869</v>
      </c>
      <c r="Q27" s="11">
        <v>115.31500000049283</v>
      </c>
      <c r="R27" s="11">
        <v>136.39699999923894</v>
      </c>
      <c r="S27" s="11">
        <v>136.8599999993541</v>
      </c>
      <c r="T27" s="11">
        <v>116.24900000054406</v>
      </c>
      <c r="U27" s="11">
        <v>138.09899999958228</v>
      </c>
      <c r="V27" s="11">
        <v>130.66799999922634</v>
      </c>
      <c r="W27" s="11">
        <v>160.77699999999172</v>
      </c>
      <c r="X27" s="11">
        <v>158.33100000046875</v>
      </c>
      <c r="Y27" s="11">
        <v>155.27900000081917</v>
      </c>
      <c r="Z27" s="11">
        <v>153.3340000004186</v>
      </c>
      <c r="AA27" s="11">
        <v>152.51800000097361</v>
      </c>
      <c r="AB27" s="11">
        <v>152.81600000129112</v>
      </c>
      <c r="AC27" s="11">
        <v>153.44400000083292</v>
      </c>
      <c r="AD27" s="11">
        <v>154.22700000167558</v>
      </c>
      <c r="AE27" s="11">
        <v>155.07900000113742</v>
      </c>
      <c r="AF27" s="11">
        <v>155.95400000149817</v>
      </c>
      <c r="AG27" s="11">
        <v>156.82200000152693</v>
      </c>
      <c r="AH27" s="11">
        <v>157.68800000147047</v>
      </c>
      <c r="AI27" s="11">
        <v>158.53000000191253</v>
      </c>
      <c r="AJ27" s="11">
        <v>159.33800000153238</v>
      </c>
      <c r="AK27" s="171">
        <v>160.10200000173282</v>
      </c>
      <c r="AL27" s="11">
        <v>160.82000000072313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2" t="str">
        <f>'Ind T4'!A30</f>
        <v>Professional services</v>
      </c>
      <c r="M28" s="11">
        <v>625.56699998810018</v>
      </c>
      <c r="N28" s="11">
        <v>603.42000001647114</v>
      </c>
      <c r="O28" s="11">
        <v>640.12499999268982</v>
      </c>
      <c r="P28" s="11">
        <v>685.06399998572442</v>
      </c>
      <c r="Q28" s="11">
        <v>747.81000000602705</v>
      </c>
      <c r="R28" s="11">
        <v>758.16899998468455</v>
      </c>
      <c r="S28" s="11">
        <v>804.01099998504981</v>
      </c>
      <c r="T28" s="11">
        <v>817.3750000038375</v>
      </c>
      <c r="U28" s="11">
        <v>817.26399998836098</v>
      </c>
      <c r="V28" s="11">
        <v>830.1189999851465</v>
      </c>
      <c r="W28" s="11">
        <v>777.96500000840217</v>
      </c>
      <c r="X28" s="11">
        <v>797.61199999942289</v>
      </c>
      <c r="Y28" s="11">
        <v>804.19700001982631</v>
      </c>
      <c r="Z28" s="11">
        <v>811.20400001553423</v>
      </c>
      <c r="AA28" s="11">
        <v>818.35600001914611</v>
      </c>
      <c r="AB28" s="11">
        <v>823.48100002307376</v>
      </c>
      <c r="AC28" s="11">
        <v>828.09900002410757</v>
      </c>
      <c r="AD28" s="11">
        <v>832.84200002530554</v>
      </c>
      <c r="AE28" s="11">
        <v>837.682000023461</v>
      </c>
      <c r="AF28" s="11">
        <v>842.62500002815602</v>
      </c>
      <c r="AG28" s="11">
        <v>847.80200002162098</v>
      </c>
      <c r="AH28" s="11">
        <v>852.67900002172564</v>
      </c>
      <c r="AI28" s="11">
        <v>857.54100002701693</v>
      </c>
      <c r="AJ28" s="11">
        <v>862.36400002401706</v>
      </c>
      <c r="AK28" s="171">
        <v>867.15100002133192</v>
      </c>
      <c r="AL28" s="11">
        <v>871.91000001357156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2" t="str">
        <f>'Ind T4'!A31</f>
        <v>Support services</v>
      </c>
      <c r="M29" s="11">
        <v>486.61600000349654</v>
      </c>
      <c r="N29" s="11">
        <v>492.65699999261949</v>
      </c>
      <c r="O29" s="11">
        <v>509.74400000248295</v>
      </c>
      <c r="P29" s="11">
        <v>519.46600000476599</v>
      </c>
      <c r="Q29" s="11">
        <v>546.53099999896085</v>
      </c>
      <c r="R29" s="11">
        <v>570.41700000629999</v>
      </c>
      <c r="S29" s="11">
        <v>591.77200000383198</v>
      </c>
      <c r="T29" s="11">
        <v>624.06899999981113</v>
      </c>
      <c r="U29" s="11">
        <v>604.53100000429254</v>
      </c>
      <c r="V29" s="11">
        <v>610.37800000496702</v>
      </c>
      <c r="W29" s="11">
        <v>583.18299999631267</v>
      </c>
      <c r="X29" s="11">
        <v>590.77700000136747</v>
      </c>
      <c r="Y29" s="11">
        <v>600.43299999545911</v>
      </c>
      <c r="Z29" s="11">
        <v>605.13199999661276</v>
      </c>
      <c r="AA29" s="11">
        <v>608.98099999612884</v>
      </c>
      <c r="AB29" s="11">
        <v>611.80199999737363</v>
      </c>
      <c r="AC29" s="11">
        <v>615.08199999666158</v>
      </c>
      <c r="AD29" s="11">
        <v>618.28999999827738</v>
      </c>
      <c r="AE29" s="11">
        <v>621.44099999878154</v>
      </c>
      <c r="AF29" s="11">
        <v>624.58199999762041</v>
      </c>
      <c r="AG29" s="11">
        <v>627.83400000042673</v>
      </c>
      <c r="AH29" s="11">
        <v>630.92099999895129</v>
      </c>
      <c r="AI29" s="11">
        <v>634.00099999827614</v>
      </c>
      <c r="AJ29" s="11">
        <v>637.07099999955722</v>
      </c>
      <c r="AK29" s="171">
        <v>640.13499999873591</v>
      </c>
      <c r="AL29" s="11">
        <v>643.19999999696086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2" t="str">
        <f>'Ind T4'!A32</f>
        <v>Arts and entertainment</v>
      </c>
      <c r="M30" s="11">
        <v>147.79999999924789</v>
      </c>
      <c r="N30" s="11">
        <v>150.82900000133748</v>
      </c>
      <c r="O30" s="11">
        <v>170.97900000013399</v>
      </c>
      <c r="P30" s="11">
        <v>168.6309999994624</v>
      </c>
      <c r="Q30" s="11">
        <v>185.80200000072676</v>
      </c>
      <c r="R30" s="11">
        <v>201.18200000085997</v>
      </c>
      <c r="S30" s="11">
        <v>200.51299999956714</v>
      </c>
      <c r="T30" s="11">
        <v>174.3669999999384</v>
      </c>
      <c r="U30" s="11">
        <v>201.43500000023414</v>
      </c>
      <c r="V30" s="11">
        <v>194.08599999986981</v>
      </c>
      <c r="W30" s="11">
        <v>208.18700000079011</v>
      </c>
      <c r="X30" s="11">
        <v>213.45399999938783</v>
      </c>
      <c r="Y30" s="11">
        <v>219.35500000345419</v>
      </c>
      <c r="Z30" s="11">
        <v>224.83400000350551</v>
      </c>
      <c r="AA30" s="11">
        <v>228.23700000355555</v>
      </c>
      <c r="AB30" s="11">
        <v>230.31100000422029</v>
      </c>
      <c r="AC30" s="11">
        <v>232.65400000455929</v>
      </c>
      <c r="AD30" s="11">
        <v>235.16800000624076</v>
      </c>
      <c r="AE30" s="11">
        <v>237.16700000728608</v>
      </c>
      <c r="AF30" s="11">
        <v>239.03400000726666</v>
      </c>
      <c r="AG30" s="11">
        <v>241.16000000684249</v>
      </c>
      <c r="AH30" s="11">
        <v>243.51400000623502</v>
      </c>
      <c r="AI30" s="11">
        <v>245.99900000723053</v>
      </c>
      <c r="AJ30" s="11">
        <v>248.49100000722549</v>
      </c>
      <c r="AK30" s="171">
        <v>250.96900000413652</v>
      </c>
      <c r="AL30" s="11">
        <v>253.43400000291831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2" t="str">
        <f>'Ind T4'!A33</f>
        <v>Other services</v>
      </c>
      <c r="M31" s="11">
        <v>147.31499999915565</v>
      </c>
      <c r="N31" s="11">
        <v>147.14500000110269</v>
      </c>
      <c r="O31" s="11">
        <v>136.75599999948201</v>
      </c>
      <c r="P31" s="11">
        <v>164.92199999925441</v>
      </c>
      <c r="Q31" s="11">
        <v>158.66000000040506</v>
      </c>
      <c r="R31" s="11">
        <v>151.50899999931821</v>
      </c>
      <c r="S31" s="11">
        <v>158.32499999941388</v>
      </c>
      <c r="T31" s="11">
        <v>173.40200000031459</v>
      </c>
      <c r="U31" s="11">
        <v>161.11899999943108</v>
      </c>
      <c r="V31" s="11">
        <v>167.58999999963598</v>
      </c>
      <c r="W31" s="11">
        <v>160.07500000048768</v>
      </c>
      <c r="X31" s="11">
        <v>169.84400000015634</v>
      </c>
      <c r="Y31" s="11">
        <v>175.4220000016868</v>
      </c>
      <c r="Z31" s="11">
        <v>177.28800000152114</v>
      </c>
      <c r="AA31" s="11">
        <v>179.04200000177684</v>
      </c>
      <c r="AB31" s="11">
        <v>179.80400000206797</v>
      </c>
      <c r="AC31" s="11">
        <v>180.45600000183691</v>
      </c>
      <c r="AD31" s="11">
        <v>181.14900000262807</v>
      </c>
      <c r="AE31" s="11">
        <v>181.93300000264688</v>
      </c>
      <c r="AF31" s="11">
        <v>182.82400000258849</v>
      </c>
      <c r="AG31" s="11">
        <v>183.89500000267751</v>
      </c>
      <c r="AH31" s="11">
        <v>185.09100000233883</v>
      </c>
      <c r="AI31" s="11">
        <v>186.38300000263965</v>
      </c>
      <c r="AJ31" s="11">
        <v>187.75500000252103</v>
      </c>
      <c r="AK31" s="171">
        <v>189.20900000200245</v>
      </c>
      <c r="AL31" s="11">
        <v>190.7660000008876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1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86">
        <f>SUM(M34:M36)</f>
        <v>1059.0099999939105</v>
      </c>
      <c r="N33" s="86">
        <f t="shared" ref="N33:P33" si="35">SUM(N34:N36)</f>
        <v>1055.2510000403622</v>
      </c>
      <c r="O33" s="86">
        <f t="shared" si="35"/>
        <v>1088.7900000119175</v>
      </c>
      <c r="P33" s="86">
        <f t="shared" si="35"/>
        <v>1126.8360000046482</v>
      </c>
      <c r="Q33" s="86">
        <f>SUM(Q34:Q36)</f>
        <v>1182.7010000058174</v>
      </c>
      <c r="R33" s="86">
        <f t="shared" ref="R33" si="36">SUM(R34:R36)</f>
        <v>1183.2539999865976</v>
      </c>
      <c r="S33" s="86">
        <f t="shared" ref="S33" si="37">SUM(S34:S36)</f>
        <v>1196.687999996901</v>
      </c>
      <c r="T33" s="86">
        <f t="shared" ref="T33" si="38">SUM(T34:T36)</f>
        <v>1216.1509999918021</v>
      </c>
      <c r="U33" s="86">
        <f t="shared" ref="U33" si="39">SUM(U34:U36)</f>
        <v>1225.3789999787055</v>
      </c>
      <c r="V33" s="86">
        <f t="shared" ref="V33" si="40">SUM(V34:V36)</f>
        <v>1232.2339999889323</v>
      </c>
      <c r="W33" s="86">
        <f t="shared" ref="W33" si="41">SUM(W34:W36)</f>
        <v>1269.4550000211912</v>
      </c>
      <c r="X33" s="86">
        <f t="shared" ref="X33" si="42">SUM(X34:X36)</f>
        <v>1269.9890000262349</v>
      </c>
      <c r="Y33" s="86">
        <f t="shared" ref="Y33" si="43">SUM(Y34:Y36)</f>
        <v>1269.645000005507</v>
      </c>
      <c r="Z33" s="86">
        <f t="shared" ref="Z33" si="44">SUM(Z34:Z36)</f>
        <v>1273.7989999994379</v>
      </c>
      <c r="AA33" s="86">
        <f t="shared" ref="AA33" si="45">SUM(AA34:AA36)</f>
        <v>1280.3770000036088</v>
      </c>
      <c r="AB33" s="86">
        <f t="shared" ref="AB33" si="46">SUM(AB34:AB36)</f>
        <v>1284.8049999793927</v>
      </c>
      <c r="AC33" s="86">
        <f t="shared" ref="AC33" si="47">SUM(AC34:AC36)</f>
        <v>1286.7709999871086</v>
      </c>
      <c r="AD33" s="86">
        <f t="shared" ref="AD33" si="48">SUM(AD34:AD36)</f>
        <v>1288.1289999781773</v>
      </c>
      <c r="AE33" s="86">
        <f t="shared" ref="AE33" si="49">SUM(AE34:AE36)</f>
        <v>1289.4279999811638</v>
      </c>
      <c r="AF33" s="86">
        <f t="shared" ref="AF33" si="50">SUM(AF34:AF36)</f>
        <v>1290.7489999785114</v>
      </c>
      <c r="AG33" s="86">
        <f t="shared" ref="AG33:AL33" si="51">SUM(AG34:AG36)</f>
        <v>1292.4589999709287</v>
      </c>
      <c r="AH33" s="86">
        <f t="shared" si="51"/>
        <v>1294.2969999752136</v>
      </c>
      <c r="AI33" s="86">
        <f t="shared" si="51"/>
        <v>1296.2429999749706</v>
      </c>
      <c r="AJ33" s="86">
        <f t="shared" si="51"/>
        <v>1298.2319999695778</v>
      </c>
      <c r="AK33" s="86">
        <f t="shared" si="51"/>
        <v>1300.4009999719071</v>
      </c>
      <c r="AL33" s="86">
        <f t="shared" si="51"/>
        <v>1302.7870000156399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2" t="str">
        <f>'Ind T4'!A36</f>
        <v>Public admin. and defence</v>
      </c>
      <c r="M34" s="11">
        <v>234.788999998327</v>
      </c>
      <c r="N34" s="11">
        <v>220.26600000310466</v>
      </c>
      <c r="O34" s="11">
        <v>220.5229999992203</v>
      </c>
      <c r="P34" s="11">
        <v>220.3219999981622</v>
      </c>
      <c r="Q34" s="11">
        <v>222.62100000041491</v>
      </c>
      <c r="R34" s="11">
        <v>217.89999999797885</v>
      </c>
      <c r="S34" s="11">
        <v>221.38299999848988</v>
      </c>
      <c r="T34" s="11">
        <v>223.46600000024307</v>
      </c>
      <c r="U34" s="11">
        <v>233.8759999983821</v>
      </c>
      <c r="V34" s="11">
        <v>240.23199999824902</v>
      </c>
      <c r="W34" s="11">
        <v>255.05000000187471</v>
      </c>
      <c r="X34" s="11">
        <v>255.40200000040235</v>
      </c>
      <c r="Y34" s="11">
        <v>257.29600000265521</v>
      </c>
      <c r="Z34" s="11">
        <v>258.22000000200427</v>
      </c>
      <c r="AA34" s="11">
        <v>259.35800000266414</v>
      </c>
      <c r="AB34" s="11">
        <v>259.68400000200432</v>
      </c>
      <c r="AC34" s="11">
        <v>259.55400000229497</v>
      </c>
      <c r="AD34" s="11">
        <v>259.35200000230651</v>
      </c>
      <c r="AE34" s="11">
        <v>259.14600000194173</v>
      </c>
      <c r="AF34" s="11">
        <v>258.93500000255045</v>
      </c>
      <c r="AG34" s="11">
        <v>258.75200000124221</v>
      </c>
      <c r="AH34" s="11">
        <v>258.58100000175386</v>
      </c>
      <c r="AI34" s="11">
        <v>258.44400000236681</v>
      </c>
      <c r="AJ34" s="11">
        <v>258.31300000146535</v>
      </c>
      <c r="AK34" s="171">
        <v>258.21500000165133</v>
      </c>
      <c r="AL34" s="11">
        <v>258.16400000249814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2" t="str">
        <f>'Ind T4'!A37</f>
        <v>Education</v>
      </c>
      <c r="M35" s="11">
        <v>362.83699999522594</v>
      </c>
      <c r="N35" s="11">
        <v>361.012000026929</v>
      </c>
      <c r="O35" s="11">
        <v>371.06800000860903</v>
      </c>
      <c r="P35" s="11">
        <v>376.17400000341399</v>
      </c>
      <c r="Q35" s="11">
        <v>415.97900000365672</v>
      </c>
      <c r="R35" s="11">
        <v>424.52899999628681</v>
      </c>
      <c r="S35" s="11">
        <v>415.52599999888633</v>
      </c>
      <c r="T35" s="11">
        <v>407.88699999148895</v>
      </c>
      <c r="U35" s="11">
        <v>405.58999998948929</v>
      </c>
      <c r="V35" s="11">
        <v>401.33599999756444</v>
      </c>
      <c r="W35" s="11">
        <v>428.92800001602853</v>
      </c>
      <c r="X35" s="11">
        <v>421.24200001900795</v>
      </c>
      <c r="Y35" s="11">
        <v>414.09700000130334</v>
      </c>
      <c r="Z35" s="11">
        <v>414.10899999794498</v>
      </c>
      <c r="AA35" s="11">
        <v>414.84399999985169</v>
      </c>
      <c r="AB35" s="11">
        <v>416.31699997814604</v>
      </c>
      <c r="AC35" s="11">
        <v>417.00699998489137</v>
      </c>
      <c r="AD35" s="11">
        <v>417.58199998061832</v>
      </c>
      <c r="AE35" s="11">
        <v>418.21099998500227</v>
      </c>
      <c r="AF35" s="11">
        <v>418.92399998263045</v>
      </c>
      <c r="AG35" s="11">
        <v>420.00499997633403</v>
      </c>
      <c r="AH35" s="11">
        <v>421.16699998070965</v>
      </c>
      <c r="AI35" s="11">
        <v>422.3779999797847</v>
      </c>
      <c r="AJ35" s="11">
        <v>423.60299997724729</v>
      </c>
      <c r="AK35" s="171">
        <v>424.89199997466704</v>
      </c>
      <c r="AL35" s="11">
        <v>426.25200001051866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2" t="str">
        <f>'Ind T4'!A38</f>
        <v>Health and social work</v>
      </c>
      <c r="M36" s="11">
        <v>461.38400000035762</v>
      </c>
      <c r="N36" s="11">
        <v>473.97300001032858</v>
      </c>
      <c r="O36" s="11">
        <v>497.19900000408825</v>
      </c>
      <c r="P36" s="11">
        <v>530.34000000307196</v>
      </c>
      <c r="Q36" s="11">
        <v>544.10100000174577</v>
      </c>
      <c r="R36" s="11">
        <v>540.82499999233198</v>
      </c>
      <c r="S36" s="11">
        <v>559.7789999995249</v>
      </c>
      <c r="T36" s="11">
        <v>584.79800000006992</v>
      </c>
      <c r="U36" s="11">
        <v>585.91299999083412</v>
      </c>
      <c r="V36" s="11">
        <v>590.66599999311893</v>
      </c>
      <c r="W36" s="11">
        <v>585.4770000032878</v>
      </c>
      <c r="X36" s="11">
        <v>593.34500000682465</v>
      </c>
      <c r="Y36" s="11">
        <v>598.25200000154848</v>
      </c>
      <c r="Z36" s="11">
        <v>601.46999999948866</v>
      </c>
      <c r="AA36" s="11">
        <v>606.17500000109283</v>
      </c>
      <c r="AB36" s="11">
        <v>608.80399999924236</v>
      </c>
      <c r="AC36" s="11">
        <v>610.20999999992239</v>
      </c>
      <c r="AD36" s="11">
        <v>611.19499999525237</v>
      </c>
      <c r="AE36" s="11">
        <v>612.07099999421996</v>
      </c>
      <c r="AF36" s="11">
        <v>612.88999999333055</v>
      </c>
      <c r="AG36" s="11">
        <v>613.7019999933525</v>
      </c>
      <c r="AH36" s="11">
        <v>614.54899999275005</v>
      </c>
      <c r="AI36" s="11">
        <v>615.42099999281902</v>
      </c>
      <c r="AJ36" s="11">
        <v>616.31599999086507</v>
      </c>
      <c r="AK36" s="171">
        <v>617.29399999558882</v>
      </c>
      <c r="AL36" s="11">
        <v>618.37100000262308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4"/>
      <c r="AH37" s="11"/>
      <c r="AI37" s="11"/>
      <c r="AJ37" s="11"/>
      <c r="AK37" s="171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86">
        <f>SUM(M5,M11,M16,M18,M23,M33)</f>
        <v>4823.813999998667</v>
      </c>
      <c r="N38" s="86">
        <f t="shared" ref="N38:P38" si="52">SUM(N5,N11,N16,N18,N23,N33)</f>
        <v>4853.309000004303</v>
      </c>
      <c r="O38" s="86">
        <f t="shared" si="52"/>
        <v>5082.8580000050788</v>
      </c>
      <c r="P38" s="86">
        <f t="shared" si="52"/>
        <v>5192.2440000046281</v>
      </c>
      <c r="Q38" s="86">
        <f>SUM(Q5,Q11,Q16,Q18,Q23,Q33)</f>
        <v>5484.7590000023847</v>
      </c>
      <c r="R38" s="86">
        <f t="shared" ref="R38:AL38" si="53">SUM(R5,R11,R16,R18,R23,R33)</f>
        <v>5573.5560000041032</v>
      </c>
      <c r="S38" s="86">
        <f t="shared" si="53"/>
        <v>5738.1750000035918</v>
      </c>
      <c r="T38" s="86">
        <f t="shared" si="53"/>
        <v>5865.0059999938567</v>
      </c>
      <c r="U38" s="86">
        <f t="shared" si="53"/>
        <v>5903.5079999961781</v>
      </c>
      <c r="V38" s="86">
        <f t="shared" si="53"/>
        <v>5970.1169999982612</v>
      </c>
      <c r="W38" s="86">
        <f t="shared" si="53"/>
        <v>5937.3810000053318</v>
      </c>
      <c r="X38" s="86">
        <f t="shared" si="53"/>
        <v>5987.1670000104641</v>
      </c>
      <c r="Y38" s="86">
        <f t="shared" si="53"/>
        <v>6030.7360000077715</v>
      </c>
      <c r="Z38" s="86">
        <f t="shared" si="53"/>
        <v>6089.2440000079605</v>
      </c>
      <c r="AA38" s="86">
        <f t="shared" si="53"/>
        <v>6142.8920000092203</v>
      </c>
      <c r="AB38" s="86">
        <f t="shared" si="53"/>
        <v>6179.2980000107018</v>
      </c>
      <c r="AC38" s="86">
        <f t="shared" si="53"/>
        <v>6211.0240000117565</v>
      </c>
      <c r="AD38" s="86">
        <f>SUM(AD5,AD11,AD16,AD18,AD23,AD33)</f>
        <v>6240.2140000130175</v>
      </c>
      <c r="AE38" s="86">
        <f t="shared" si="53"/>
        <v>6268.8100000165068</v>
      </c>
      <c r="AF38" s="86">
        <f t="shared" si="53"/>
        <v>6297.1470000157433</v>
      </c>
      <c r="AG38" s="86">
        <f t="shared" si="53"/>
        <v>6327.5910000174072</v>
      </c>
      <c r="AH38" s="86">
        <f t="shared" si="53"/>
        <v>6357.7100000146329</v>
      </c>
      <c r="AI38" s="86">
        <f t="shared" si="53"/>
        <v>6388.2040000172565</v>
      </c>
      <c r="AJ38" s="86">
        <f t="shared" si="53"/>
        <v>6418.9310000174901</v>
      </c>
      <c r="AK38" s="86">
        <f t="shared" si="53"/>
        <v>6449.6820000163862</v>
      </c>
      <c r="AL38" s="86">
        <f t="shared" si="53"/>
        <v>6480.7350000074603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79" t="str">
        <f>CONCATENATE("Industry Figure 2.1  Change in Employment in ",$L$5,", ",$M$2,"-",$O$2,", ",Info!B5)</f>
        <v>Industry Figure 2.1  Change in Employment in Primary sector and utilities, 2010-2035, London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79" t="str">
        <f>CONCATENATE("Industry Figure 2.2  Change in Employment in ",$L$11,", ",$M$2,"-",$O$2,", ",Info!B5)</f>
        <v>Industry Figure 2.2  Change in Employment in Manufacturing, 2010-2035, London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79" t="str">
        <f>CONCATENATE("Industry Figure 2.3  Change in Employment in ",$L$16,", ",$M$2,"-",$O$2,", ",Info!B5)</f>
        <v>Industry Figure 2.3  Change in Employment in Construction, 2010-2035, London</v>
      </c>
    </row>
    <row r="137" spans="1:1" ht="15.75" x14ac:dyDescent="0.25">
      <c r="A137" s="79" t="str">
        <f>CONCATENATE("Industry Figure 2.4  Change in Employment in ",$L$18,", ",$M$2,"-",$O$2,", ",Info!B5)</f>
        <v>Industry Figure 2.4  Change in Employment in Trade, accomod. and transport, 2010-2035, London</v>
      </c>
    </row>
    <row r="167" spans="1:1" ht="15.75" x14ac:dyDescent="0.25">
      <c r="A167" s="79" t="str">
        <f>CONCATENATE("Industry Figure 2.5  Change in Employment in ",$L$23,", ",$M$2,"- ",$O$2,", ",Info!B5)</f>
        <v>Industry Figure 2.5  Change in Employment in Business and other services, 2010- 2035, London</v>
      </c>
    </row>
    <row r="197" spans="1:1" ht="15.75" x14ac:dyDescent="0.25">
      <c r="A197" s="79" t="str">
        <f>CONCATENATE("Industry Figure 2.6  Change in Employment in ",$L$33,", ",$M$2,"-",$O$2,", ",Info!B5)</f>
        <v>Industry Figure 2.6  Change in Employment in Non-marketed services, 2010-2035, London</v>
      </c>
    </row>
    <row r="227" spans="1:15" ht="15.75" x14ac:dyDescent="0.25">
      <c r="A227" s="79" t="str">
        <f>CONCATENATE("Industry Figure 2.7  Employment trends by broad sector (SIC 2007), shares in %, ",$M$230,"-",$O$230,", ",Info!B5)</f>
        <v>Industry Figure 2.7  Employment trends by broad sector (SIC 2007), shares in %, 2015-2035, London</v>
      </c>
      <c r="L227" s="45" t="s">
        <v>440</v>
      </c>
    </row>
    <row r="228" spans="1:15" x14ac:dyDescent="0.2">
      <c r="L228" s="29" t="s">
        <v>421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39">
        <f>'Ind T1'!B25</f>
        <v>21.229785795383176</v>
      </c>
      <c r="N231" s="39">
        <f>'Ind T1'!D25</f>
        <v>21.380723251885829</v>
      </c>
      <c r="O231" s="39">
        <f>'Ind T1'!F25</f>
        <v>20.102457514682211</v>
      </c>
    </row>
    <row r="232" spans="1:15" x14ac:dyDescent="0.2">
      <c r="L232" t="str">
        <f>L23</f>
        <v>Business and other services</v>
      </c>
      <c r="M232" s="39">
        <f>'Ind T1'!B24</f>
        <v>47.039394597957582</v>
      </c>
      <c r="N232" s="39">
        <f>'Ind T1'!D24</f>
        <v>47.233940351964634</v>
      </c>
      <c r="O232" s="39">
        <f>'Ind T1'!F24</f>
        <v>48.122535484381537</v>
      </c>
    </row>
    <row r="233" spans="1:15" x14ac:dyDescent="0.2">
      <c r="L233" t="str">
        <f>L18</f>
        <v>Trade, accomod. and transport</v>
      </c>
      <c r="M233" s="39">
        <f>'Ind T1'!B23</f>
        <v>23.737933198029189</v>
      </c>
      <c r="N233" s="39">
        <f>'Ind T1'!D23</f>
        <v>23.35179433460997</v>
      </c>
      <c r="O233" s="39">
        <f>'Ind T1'!F23</f>
        <v>23.311692269211413</v>
      </c>
    </row>
    <row r="234" spans="1:15" x14ac:dyDescent="0.2">
      <c r="L234" t="str">
        <f>L16</f>
        <v>Construction</v>
      </c>
      <c r="M234" s="39">
        <f>'Ind T1'!B22</f>
        <v>5.1929863089267361</v>
      </c>
      <c r="N234" s="39">
        <f>'Ind T1'!D22</f>
        <v>5.0157299993125815</v>
      </c>
      <c r="O234" s="39">
        <f>'Ind T1'!F22</f>
        <v>5.8580083891804255</v>
      </c>
    </row>
    <row r="235" spans="1:15" x14ac:dyDescent="0.2">
      <c r="L235" t="str">
        <f>L11</f>
        <v>Manufacturing</v>
      </c>
      <c r="M235" s="39">
        <f>'Ind T1'!B21</f>
        <v>2.2240738229049128</v>
      </c>
      <c r="N235" s="39">
        <f>'Ind T1'!D21</f>
        <v>2.4640662271562097</v>
      </c>
      <c r="O235" s="39">
        <f>'Ind T1'!F21</f>
        <v>2.0483942021827617</v>
      </c>
    </row>
    <row r="236" spans="1:15" x14ac:dyDescent="0.2">
      <c r="L236" t="str">
        <f>L5</f>
        <v>Primary sector and utilities</v>
      </c>
      <c r="M236" s="39">
        <f>'Ind T1'!B20</f>
        <v>0.57582627679841503</v>
      </c>
      <c r="N236" s="39">
        <f>'Ind T1'!D20</f>
        <v>0.55374583507078634</v>
      </c>
      <c r="O236" s="39">
        <f>'Ind T1'!F20</f>
        <v>0.55691214036165415</v>
      </c>
    </row>
    <row r="257" spans="1:16" ht="15.75" x14ac:dyDescent="0.25">
      <c r="A257" s="79" t="str">
        <f>CONCATENATE("Industry Figure 2.8  Employment trends by broad sector (SIC 2007), change in thousands, ",$M$230,"-",$O$230,", ",Info!B5)</f>
        <v>Industry Figure 2.8  Employment trends by broad sector (SIC 2007), change in thousands, 2015-2035, London</v>
      </c>
      <c r="L257" s="45" t="s">
        <v>441</v>
      </c>
    </row>
    <row r="258" spans="1:16" x14ac:dyDescent="0.2">
      <c r="L258" s="29" t="s">
        <v>420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54">L231</f>
        <v>Non-marketed services</v>
      </c>
      <c r="N261" s="11">
        <f>'Ind T1'!D12-'Ind T1'!B12</f>
        <v>86.201000034593335</v>
      </c>
      <c r="O261" s="11">
        <f>'Ind T1'!F50</f>
        <v>33.331999994448779</v>
      </c>
      <c r="P261" s="11"/>
    </row>
    <row r="262" spans="1:16" x14ac:dyDescent="0.2">
      <c r="L262" t="str">
        <f t="shared" si="54"/>
        <v>Business and other services</v>
      </c>
      <c r="N262" s="11">
        <f>'Ind T1'!D11-'Ind T1'!B11</f>
        <v>182.69200003132846</v>
      </c>
      <c r="O262" s="11">
        <f>'Ind T1'!F49</f>
        <v>314.23500001592492</v>
      </c>
      <c r="P262" s="11"/>
    </row>
    <row r="263" spans="1:16" x14ac:dyDescent="0.2">
      <c r="L263" t="str">
        <f t="shared" si="54"/>
        <v>Trade, accomod. and transport</v>
      </c>
      <c r="N263" s="11">
        <f>'Ind T1'!D10-'Ind T1'!B10</f>
        <v>63.437999947731669</v>
      </c>
      <c r="O263" s="11">
        <f>'Ind T1'!F48</f>
        <v>124.28400000136412</v>
      </c>
      <c r="P263" s="11"/>
    </row>
    <row r="264" spans="1:16" x14ac:dyDescent="0.2">
      <c r="L264" t="str">
        <f t="shared" si="54"/>
        <v>Construction</v>
      </c>
      <c r="N264" s="11">
        <f>'Ind T1'!D9-'Ind T1'!B9</f>
        <v>8.3689999901749843</v>
      </c>
      <c r="O264" s="11">
        <f>'Ind T1'!F47</f>
        <v>81.838999990236346</v>
      </c>
      <c r="P264" s="11"/>
    </row>
    <row r="265" spans="1:16" x14ac:dyDescent="0.2">
      <c r="L265" t="str">
        <f t="shared" si="54"/>
        <v>Manufacturing</v>
      </c>
      <c r="N265" s="11">
        <f>'Ind T1'!D8-'Ind T1'!B8</f>
        <v>22.340999997683596</v>
      </c>
      <c r="O265" s="11">
        <f>'Ind T1'!F46</f>
        <v>-13.549999999739157</v>
      </c>
      <c r="P265" s="11"/>
    </row>
    <row r="266" spans="1:16" x14ac:dyDescent="0.2">
      <c r="L266" t="str">
        <f t="shared" si="54"/>
        <v>Primary sector and utilities</v>
      </c>
      <c r="N266" s="11">
        <f>'Ind T1'!D7-'Ind T1'!B7</f>
        <v>0.78399999971542655</v>
      </c>
      <c r="O266" s="11">
        <f>'Ind T1'!F45</f>
        <v>3.2139999998946678</v>
      </c>
    </row>
    <row r="268" spans="1:16" x14ac:dyDescent="0.2">
      <c r="L268" t="str">
        <f>L38</f>
        <v>All industries</v>
      </c>
      <c r="N268" s="11">
        <f>'Ind T1'!D14-'Ind T1'!B14</f>
        <v>363.82500000122764</v>
      </c>
      <c r="O268" s="11">
        <f>SUM(O261:O266)</f>
        <v>543.35400000212962</v>
      </c>
    </row>
  </sheetData>
  <phoneticPr fontId="4" type="noConversion"/>
  <conditionalFormatting sqref="L4:AM4 L22:AM22 L17:AM17">
    <cfRule type="cellIs" dxfId="12" priority="3" stopIfTrue="1" operator="equal">
      <formula>0</formula>
    </cfRule>
  </conditionalFormatting>
  <conditionalFormatting sqref="AQ4:BP4">
    <cfRule type="cellIs" dxfId="11" priority="2" stopIfTrue="1" operator="equal">
      <formula>0</formula>
    </cfRule>
  </conditionalFormatting>
  <conditionalFormatting sqref="BS4:CR4">
    <cfRule type="cellIs" dxfId="10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8"/>
  <dimension ref="A1:R1295"/>
  <sheetViews>
    <sheetView showGridLines="0" zoomScale="85" zoomScaleNormal="85" workbookViewId="0"/>
  </sheetViews>
  <sheetFormatPr defaultRowHeight="12.75" x14ac:dyDescent="0.2"/>
  <cols>
    <col min="1" max="1" width="38.42578125" customWidth="1"/>
    <col min="2" max="12" width="7.2851562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8" t="str">
        <f>CONCATENATE("Industry and Occupation Table 1  Occuptation composition (SOC2020) by gender, ",B$6,"-",J$6,", ",Info!B5)</f>
        <v>Industry and Occupation Table 1  Occuptation composition (SOC2020) by gender, 2015-2035, London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535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2">
        <v>2015</v>
      </c>
      <c r="C6" s="373"/>
      <c r="D6" s="373"/>
      <c r="E6" s="246"/>
      <c r="F6" s="372">
        <v>2020</v>
      </c>
      <c r="G6" s="372"/>
      <c r="H6" s="372"/>
      <c r="I6" s="246"/>
      <c r="J6" s="372">
        <v>2035</v>
      </c>
      <c r="K6" s="372"/>
      <c r="L6" s="372"/>
      <c r="M6" s="236"/>
      <c r="N6" s="236"/>
    </row>
    <row r="7" spans="1:14" x14ac:dyDescent="0.2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219.62715011473668</v>
      </c>
      <c r="C9" s="249">
        <f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406.83484189924502</v>
      </c>
      <c r="D9" s="249">
        <f>SUM(B9:C9)</f>
        <v>626.46199201398167</v>
      </c>
      <c r="E9" s="238"/>
      <c r="F9" s="249">
        <f>SUM(F26,F43,F60,F77,F94,F111,F128,F145,F162,F179,F196,F213,F230,F247,F264,F281,F298,F315,F332,F349,F366,F383,F400,F417,F434,F451,F468,F485,F502,F519,F536,F553,F570,F587,F604,F621,F638,F655,F672,F689,F706,F723,F740,F757,F774,F791,F808,F825,F842,F859,F876,F893,F910,F927,F944,F961,F978,F995,F1012,F1029,F1046,F1063,F1080,F1097,F1114,F1131,F1148,F1165,F1182,F1199,F1216,F1233,F1250,F1267,F1284)</f>
        <v>269.12273647354914</v>
      </c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455.9504959114077</v>
      </c>
      <c r="H9" s="249">
        <f>SUM(F9:G9)</f>
        <v>725.07323238495678</v>
      </c>
      <c r="I9" s="238"/>
      <c r="J9" s="249">
        <f>SUM(J26,J43,J60,J77,J94,J111,J128,J145,J162,J179,J196,J213,J230,J247,J264,J281,J298,J315,J332,J349,J366,J383,J400,J417,J434,J451,J468,J485,J502,J519,J536,J553,J570,J587,J604,J621,J638,J655,J672,J689,J706,J723,J740,J757,J774,J791,J808,J825,J842,J859,J876,J893,J910,J927,J944,J961,J978,J995,J1012,J1029,J1046,J1063,J1080,J1097,J1114,J1131,J1148,J1165,J1182,J1199,J1216,J1233,J1250,J1267,J1284)</f>
        <v>326.64990282440266</v>
      </c>
      <c r="K9" s="249">
        <f>SUM(K26,K43,K60,K77,K94,K111,K128,K145,K162,K179,K196,K213,K230,K247,K264,K281,K298,K315,K332,K349,K366,K383,K400,K417,K434,K451,K468,K485,K502,K519,K536,K553,K570,K587,K604,K621,K638,K655,K672,K689,K706,K723,K740,K757,K774,K791,K808,K825,K842,K859,K876,K893,K910,K927,K944,K961,K978,K995,K1012,K1029,K1046,K1063,K1080,K1097,K1114,K1131,K1148,K1165,K1182,K1199,K1216,K1233,K1250,K1267,K1284)</f>
        <v>498.77685716224249</v>
      </c>
      <c r="L9" s="249">
        <f>SUM(J9:K9)</f>
        <v>825.42675998664515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0" si="0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760.27657186595047</v>
      </c>
      <c r="C10" s="249">
        <f t="shared" si="0"/>
        <v>756.18922403047566</v>
      </c>
      <c r="D10" s="249">
        <f t="shared" ref="D10:D17" si="1">SUM(B10:C10)</f>
        <v>1516.4657958964262</v>
      </c>
      <c r="E10" s="238"/>
      <c r="F10" s="249">
        <f t="shared" ref="F10:G10" si="2">SUM(F27,F44,F61,F78,F95,F112,F129,F146,F163,F180,F197,F214,F231,F248,F265,F282,F299,F316,F333,F350,F367,F384,F401,F418,F435,F452,F469,F486,F503,F520,F537,F554,F571,F588,F605,F622,F639,F656,F673,F690,F707,F724,F741,F758,F775,F792,F809,F826,F843,F860,F877,F894,F911,F928,F945,F962,F979,F996,F1013,F1030,F1047,F1064,F1081,F1098,F1115,F1132,F1149,F1166,F1183,F1200,F1217,F1234,F1251,F1268,F1285)</f>
        <v>910.79058869503751</v>
      </c>
      <c r="G10" s="249">
        <f t="shared" si="2"/>
        <v>903.42270018517286</v>
      </c>
      <c r="H10" s="249">
        <f t="shared" ref="H10:H17" si="3">SUM(F10:G10)</f>
        <v>1814.2132888802103</v>
      </c>
      <c r="I10" s="238"/>
      <c r="J10" s="249">
        <f t="shared" ref="J10:K10" si="4">SUM(J27,J44,J61,J78,J95,J112,J129,J146,J163,J180,J197,J214,J231,J248,J265,J282,J299,J316,J333,J350,J367,J384,J401,J418,J435,J452,J469,J486,J503,J520,J537,J554,J571,J588,J605,J622,J639,J656,J673,J690,J707,J724,J741,J758,J775,J792,J809,J826,J843,J860,J877,J894,J911,J928,J945,J962,J979,J996,J1013,J1030,J1047,J1064,J1081,J1098,J1115,J1132,J1149,J1166,J1183,J1200,J1217,J1234,J1251,J1268,J1285)</f>
        <v>1074.8727694657446</v>
      </c>
      <c r="K10" s="249">
        <f t="shared" si="4"/>
        <v>1067.4919278588541</v>
      </c>
      <c r="L10" s="249">
        <f t="shared" ref="L10:L17" si="5">SUM(J10:K10)</f>
        <v>2142.3646973245986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ref="B11:C11" si="6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442.22845305153749</v>
      </c>
      <c r="C11" s="249">
        <f t="shared" si="6"/>
        <v>529.63270510078712</v>
      </c>
      <c r="D11" s="249">
        <f t="shared" si="1"/>
        <v>971.86115815232461</v>
      </c>
      <c r="E11" s="238"/>
      <c r="F11" s="249">
        <f t="shared" ref="F11:G11" si="7">SUM(F28,F45,F62,F79,F96,F113,F130,F147,F164,F181,F198,F215,F232,F249,F266,F283,F300,F317,F334,F351,F368,F385,F402,F419,F436,F453,F470,F487,F504,F521,F538,F555,F572,F589,F606,F623,F640,F657,F674,F691,F708,F725,F742,F759,F776,F793,F810,F827,F844,F861,F878,F895,F912,F929,F946,F963,F980,F997,F1014,F1031,F1048,F1065,F1082,F1099,F1116,F1133,F1150,F1167,F1184,F1201,F1218,F1235,F1252,F1269,F1286)</f>
        <v>506.80323329844981</v>
      </c>
      <c r="G11" s="249">
        <f t="shared" si="7"/>
        <v>578.67469373055326</v>
      </c>
      <c r="H11" s="249">
        <f t="shared" si="3"/>
        <v>1085.477927029003</v>
      </c>
      <c r="I11" s="238"/>
      <c r="J11" s="249">
        <f t="shared" ref="J11:K11" si="8">SUM(J28,J45,J62,J79,J96,J113,J130,J147,J164,J181,J198,J215,J232,J249,J266,J283,J300,J317,J334,J351,J368,J385,J402,J419,J436,J453,J470,J487,J504,J521,J538,J555,J572,J589,J606,J623,J640,J657,J674,J691,J708,J725,J742,J759,J776,J793,J810,J827,J844,J861,J878,J895,J912,J929,J946,J963,J980,J997,J1014,J1031,J1048,J1065,J1082,J1099,J1116,J1133,J1150,J1167,J1184,J1201,J1218,J1235,J1252,J1269,J1286)</f>
        <v>565.152459940423</v>
      </c>
      <c r="K11" s="249">
        <f t="shared" si="8"/>
        <v>585.71623159924297</v>
      </c>
      <c r="L11" s="249">
        <f t="shared" si="5"/>
        <v>1150.8686915396661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ref="B12:C12" si="9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391.16161704777056</v>
      </c>
      <c r="C12" s="249">
        <f t="shared" si="9"/>
        <v>110.54201119111974</v>
      </c>
      <c r="D12" s="249">
        <f t="shared" si="1"/>
        <v>501.7036282388903</v>
      </c>
      <c r="E12" s="238"/>
      <c r="F12" s="249">
        <f t="shared" ref="F12:G12" si="10">SUM(F29,F46,F63,F80,F97,F114,F131,F148,F165,F182,F199,F216,F233,F250,F267,F284,F301,F318,F335,F352,F369,F386,F403,F420,F437,F454,F471,F488,F505,F522,F539,F556,F573,F590,F607,F624,F641,F658,F675,F692,F709,F726,F743,F760,F777,F794,F811,F828,F845,F862,F879,F896,F913,F930,F947,F964,F981,F998,F1015,F1032,F1049,F1066,F1083,F1100,F1117,F1134,F1151,F1168,F1185,F1202,F1219,F1236,F1253,F1270,F1287)</f>
        <v>369.64685356374923</v>
      </c>
      <c r="G12" s="249">
        <f t="shared" si="10"/>
        <v>122.71077718645887</v>
      </c>
      <c r="H12" s="249">
        <f t="shared" si="3"/>
        <v>492.3576307502081</v>
      </c>
      <c r="I12" s="238"/>
      <c r="J12" s="249">
        <f t="shared" ref="J12:K12" si="11">SUM(J29,J46,J63,J80,J97,J114,J131,J148,J165,J182,J199,J216,J233,J250,J267,J284,J301,J318,J335,J352,J369,J386,J403,J420,J437,J454,J471,J488,J505,J522,J539,J556,J573,J590,J607,J624,J641,J658,J675,J692,J709,J726,J743,J760,J777,J794,J811,J828,J845,J862,J879,J896,J913,J930,J947,J964,J981,J998,J1015,J1032,J1049,J1066,J1083,J1100,J1117,J1134,J1151,J1168,J1185,J1202,J1219,J1236,J1253,J1270,J1287)</f>
        <v>298.3196453463508</v>
      </c>
      <c r="K12" s="249">
        <f t="shared" si="11"/>
        <v>115.83215301583787</v>
      </c>
      <c r="L12" s="249">
        <f t="shared" si="5"/>
        <v>414.15179836218869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ref="B13:C13" si="12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47.890295649115863</v>
      </c>
      <c r="C13" s="249">
        <f t="shared" si="12"/>
        <v>390.40454868286855</v>
      </c>
      <c r="D13" s="249">
        <f t="shared" si="1"/>
        <v>438.29484433198439</v>
      </c>
      <c r="E13" s="238"/>
      <c r="F13" s="249">
        <f t="shared" ref="F13:G13" si="13">SUM(F30,F47,F64,F81,F98,F115,F132,F149,F166,F183,F200,F217,F234,F251,F268,F285,F302,F319,F336,F353,F370,F387,F404,F421,F438,F455,F472,F489,F506,F523,F540,F557,F574,F591,F608,F625,F642,F659,F676,F693,F710,F727,F744,F761,F778,F795,F812,F829,F846,F863,F880,F897,F914,F931,F948,F965,F982,F999,F1016,F1033,F1050,F1067,F1084,F1101,F1118,F1135,F1152,F1169,F1186,F1203,F1220,F1237,F1254,F1271,F1288)</f>
        <v>51.859104426229685</v>
      </c>
      <c r="G13" s="249">
        <f t="shared" si="13"/>
        <v>309.94433899286872</v>
      </c>
      <c r="H13" s="249">
        <f t="shared" si="3"/>
        <v>361.80344341909841</v>
      </c>
      <c r="I13" s="238"/>
      <c r="J13" s="249">
        <f t="shared" ref="J13:K13" si="14">SUM(J30,J47,J64,J81,J98,J115,J132,J149,J166,J183,J200,J217,J234,J251,J268,J285,J302,J319,J336,J353,J370,J387,J404,J421,J438,J455,J472,J489,J506,J523,J540,J557,J574,J591,J608,J625,J642,J659,J676,J693,J710,J727,J744,J761,J778,J795,J812,J829,J846,J863,J880,J897,J914,J931,J948,J965,J982,J999,J1016,J1033,J1050,J1067,J1084,J1101,J1118,J1135,J1152,J1169,J1186,J1203,J1220,J1237,J1254,J1271,J1288)</f>
        <v>67.257484559564304</v>
      </c>
      <c r="K13" s="249">
        <f t="shared" si="14"/>
        <v>341.3074865976148</v>
      </c>
      <c r="L13" s="249">
        <f t="shared" si="5"/>
        <v>408.56497115717912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ref="B14:C14" si="15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262.81983872705973</v>
      </c>
      <c r="C14" s="249">
        <f t="shared" si="15"/>
        <v>96.308125695872604</v>
      </c>
      <c r="D14" s="249">
        <f t="shared" si="1"/>
        <v>359.12796442293234</v>
      </c>
      <c r="E14" s="238"/>
      <c r="F14" s="249">
        <f t="shared" ref="F14:G14" si="16">SUM(F31,F48,F65,F82,F99,F116,F133,F150,F167,F184,F201,F218,F235,F252,F269,F286,F303,F320,F337,F354,F371,F388,F405,F422,F439,F456,F473,F490,F507,F524,F541,F558,F575,F592,F609,F626,F643,F660,F677,F694,F711,F728,F745,F762,F779,F796,F813,F830,F847,F864,F881,F898,F915,F932,F949,F966,F983,F1000,F1017,F1034,F1051,F1068,F1085,F1102,F1119,F1136,F1153,F1170,F1187,F1204,F1221,F1238,F1255,F1272,F1289)</f>
        <v>253.62162740947184</v>
      </c>
      <c r="G14" s="249">
        <f t="shared" si="16"/>
        <v>104.77258218649851</v>
      </c>
      <c r="H14" s="249">
        <f t="shared" si="3"/>
        <v>358.39420959597032</v>
      </c>
      <c r="I14" s="238"/>
      <c r="J14" s="249">
        <f t="shared" ref="J14:K14" si="17">SUM(J31,J48,J65,J82,J99,J116,J133,J150,J167,J184,J201,J218,J235,J252,J269,J286,J303,J320,J337,J354,J371,J388,J405,J422,J439,J456,J473,J490,J507,J524,J541,J558,J575,J592,J609,J626,J643,J660,J677,J694,J711,J728,J745,J762,J779,J796,J813,J830,J847,J864,J881,J898,J915,J932,J949,J966,J983,J1000,J1017,J1034,J1051,J1068,J1085,J1102,J1119,J1136,J1153,J1170,J1187,J1204,J1221,J1238,J1255,J1272,J1289)</f>
        <v>274.64115688813735</v>
      </c>
      <c r="K14" s="249">
        <f t="shared" si="17"/>
        <v>133.80695361316202</v>
      </c>
      <c r="L14" s="249">
        <f t="shared" si="5"/>
        <v>408.44811050129937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ref="B15:C15" si="18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216.4352956077046</v>
      </c>
      <c r="C15" s="249">
        <f t="shared" si="18"/>
        <v>179.33936551369371</v>
      </c>
      <c r="D15" s="249">
        <f t="shared" si="1"/>
        <v>395.77466112139831</v>
      </c>
      <c r="E15" s="238"/>
      <c r="F15" s="249">
        <f t="shared" ref="F15:G15" si="19">SUM(F32,F49,F66,F83,F100,F117,F134,F151,F168,F185,F202,F219,F236,F253,F270,F287,F304,F321,F338,F355,F372,F389,F406,F423,F440,F457,F474,F491,F508,F525,F542,F559,F576,F593,F610,F627,F644,F661,F678,F695,F712,F729,F746,F763,F780,F797,F814,F831,F848,F865,F882,F899,F916,F933,F950,F967,F984,F1001,F1018,F1035,F1052,F1069,F1086,F1103,F1120,F1137,F1154,F1171,F1188,F1205,F1222,F1239,F1256,F1273,F1290)</f>
        <v>192.25302131509852</v>
      </c>
      <c r="G15" s="249">
        <f t="shared" si="19"/>
        <v>169.77144693898802</v>
      </c>
      <c r="H15" s="249">
        <f t="shared" si="3"/>
        <v>362.02446825408651</v>
      </c>
      <c r="I15" s="238"/>
      <c r="J15" s="249">
        <f t="shared" ref="J15:K15" si="20">SUM(J32,J49,J66,J83,J100,J117,J134,J151,J168,J185,J202,J219,J236,J253,J270,J287,J304,J321,J338,J355,J372,J389,J406,J423,J440,J457,J474,J491,J508,J525,J542,J559,J576,J593,J610,J627,J644,J661,J678,J695,J712,J729,J746,J763,J780,J797,J814,J831,J848,J865,J882,J899,J916,J933,J950,J967,J984,J1001,J1018,J1035,J1052,J1069,J1086,J1103,J1120,J1137,J1154,J1171,J1188,J1205,J1222,J1239,J1256,J1273,J1290)</f>
        <v>185.70923967766814</v>
      </c>
      <c r="K15" s="249">
        <f t="shared" si="20"/>
        <v>175.72241960831403</v>
      </c>
      <c r="L15" s="249">
        <f t="shared" si="5"/>
        <v>361.43165928598216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ref="B16:C16" si="21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20.381441765186363</v>
      </c>
      <c r="C16" s="249">
        <f t="shared" si="21"/>
        <v>197.28982838335079</v>
      </c>
      <c r="D16" s="249">
        <f t="shared" si="1"/>
        <v>217.67127014853716</v>
      </c>
      <c r="E16" s="238"/>
      <c r="F16" s="249">
        <f t="shared" ref="F16:G16" si="22">SUM(F33,F50,F67,F84,F101,F118,F135,F152,F169,F186,F203,F220,F237,F254,F271,F288,F305,F322,F339,F356,F373,F390,F407,F424,F441,F458,F475,F492,F509,F526,F543,F560,F577,F594,F611,F628,F645,F662,F679,F696,F713,F730,F747,F764,F781,F798,F815,F832,F849,F866,F883,F900,F917,F934,F951,F968,F985,F1002,F1019,F1036,F1053,F1070,F1087,F1104,F1121,F1138,F1155,F1172,F1189,F1206,F1223,F1240,F1257,F1274,F1291)</f>
        <v>19.79673091445974</v>
      </c>
      <c r="G16" s="249">
        <f t="shared" si="22"/>
        <v>194.75488814430474</v>
      </c>
      <c r="H16" s="249">
        <f t="shared" si="3"/>
        <v>214.55161905876449</v>
      </c>
      <c r="I16" s="238"/>
      <c r="J16" s="249">
        <f t="shared" ref="J16:K16" si="23">SUM(J33,J50,J67,J84,J101,J118,J135,J152,J169,J186,J203,J220,J237,J254,J271,J288,J305,J322,J339,J356,J373,J390,J407,J424,J441,J458,J475,J492,J509,J526,J543,J560,J577,J594,J611,J628,J645,J662,J679,J696,J713,J730,J747,J764,J781,J798,J815,J832,J849,J866,J883,J900,J917,J934,J951,J968,J985,J1002,J1019,J1036,J1053,J1070,J1087,J1104,J1121,J1138,J1155,J1172,J1189,J1206,J1223,J1240,J1257,J1274,J1291)</f>
        <v>31.649952050527226</v>
      </c>
      <c r="K16" s="249">
        <f t="shared" si="23"/>
        <v>211.12258687215478</v>
      </c>
      <c r="L16" s="249">
        <f t="shared" si="5"/>
        <v>242.772538922682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ref="B17:C17" si="24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263.74533617080681</v>
      </c>
      <c r="C17" s="249">
        <f t="shared" si="24"/>
        <v>282.44934950682352</v>
      </c>
      <c r="D17" s="249">
        <f t="shared" si="1"/>
        <v>546.19468567763033</v>
      </c>
      <c r="E17" s="238"/>
      <c r="F17" s="249">
        <f t="shared" ref="F17:G17" si="25">SUM(F34,F51,F68,F85,F102,F119,F136,F153,F170,F187,F204,F221,F238,F255,F272,F289,F306,F323,F340,F357,F374,F391,F408,F425,F442,F459,F476,F493,F510,F527,F544,F561,F578,F595,F612,F629,F646,F663,F680,F697,F714,F731,F748,F765,F782,F799,F816,F833,F850,F867,F884,F901,F918,F935,F952,F969,F986,F1003,F1020,F1037,F1054,F1071,F1088,F1105,F1122,F1139,F1156,F1173,F1190,F1207,F1224,F1241,F1258,F1275,F1292)</f>
        <v>250.2571039012802</v>
      </c>
      <c r="G17" s="249">
        <f t="shared" si="25"/>
        <v>273.22807673175396</v>
      </c>
      <c r="H17" s="249">
        <f t="shared" si="3"/>
        <v>523.48518063303413</v>
      </c>
      <c r="I17" s="238"/>
      <c r="J17" s="249">
        <f t="shared" ref="J17:K17" si="26">SUM(J34,J51,J68,J85,J102,J119,J136,J153,J170,J187,J204,J221,J238,J255,J272,J289,J306,J323,J340,J357,J374,J391,J408,J425,J442,J459,J476,J493,J510,J527,J544,J561,J578,J595,J612,J629,J646,J663,J680,J697,J714,J731,J748,J765,J782,J799,J816,J833,J850,J867,J884,J901,J918,J935,J952,J969,J986,J1003,J1020,J1037,J1054,J1071,J1088,J1105,J1122,J1139,J1156,J1173,J1190,J1207,J1224,J1241,J1258,J1275,J1292)</f>
        <v>249.87438924615637</v>
      </c>
      <c r="K17" s="249">
        <f t="shared" si="26"/>
        <v>276.83138368106432</v>
      </c>
      <c r="L17" s="249">
        <f t="shared" si="5"/>
        <v>526.70577292722066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32</v>
      </c>
      <c r="B19" s="247">
        <f>SUM(B9:B17)</f>
        <v>2624.5659999998684</v>
      </c>
      <c r="C19" s="247">
        <f t="shared" ref="C19:L19" si="27">SUM(C9:C17)</f>
        <v>2948.9900000042367</v>
      </c>
      <c r="D19" s="247">
        <f t="shared" si="27"/>
        <v>5573.556000004105</v>
      </c>
      <c r="E19" s="247"/>
      <c r="F19" s="247">
        <f t="shared" si="27"/>
        <v>2824.1509999973255</v>
      </c>
      <c r="G19" s="247">
        <f t="shared" si="27"/>
        <v>3113.2300000080068</v>
      </c>
      <c r="H19" s="247">
        <f t="shared" si="27"/>
        <v>5937.3810000053318</v>
      </c>
      <c r="I19" s="247"/>
      <c r="J19" s="247">
        <f t="shared" si="27"/>
        <v>3074.1269999989736</v>
      </c>
      <c r="K19" s="247">
        <f t="shared" si="27"/>
        <v>3406.6080000084871</v>
      </c>
      <c r="L19" s="247">
        <f t="shared" si="27"/>
        <v>6480.7350000074612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35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name!A4</f>
        <v>Agriculture, etc</v>
      </c>
      <c r="B23" s="372">
        <f>B$6</f>
        <v>2015</v>
      </c>
      <c r="C23" s="372"/>
      <c r="D23" s="372"/>
      <c r="E23" s="253"/>
      <c r="F23" s="372">
        <f>F$6</f>
        <v>2020</v>
      </c>
      <c r="G23" s="372"/>
      <c r="H23" s="372"/>
      <c r="I23" s="253"/>
      <c r="J23" s="372">
        <f>J$6</f>
        <v>2035</v>
      </c>
      <c r="K23" s="372"/>
      <c r="L23" s="372"/>
      <c r="M23" s="236"/>
      <c r="N23" s="236"/>
    </row>
    <row r="24" spans="1:14" x14ac:dyDescent="0.2">
      <c r="A24" s="254"/>
      <c r="B24" s="255" t="s">
        <v>352</v>
      </c>
      <c r="C24" s="255" t="s">
        <v>353</v>
      </c>
      <c r="D24" s="255" t="s">
        <v>32</v>
      </c>
      <c r="E24" s="255"/>
      <c r="F24" s="255" t="s">
        <v>352</v>
      </c>
      <c r="G24" s="255" t="s">
        <v>353</v>
      </c>
      <c r="H24" s="255" t="s">
        <v>32</v>
      </c>
      <c r="I24" s="255"/>
      <c r="J24" s="255" t="s">
        <v>352</v>
      </c>
      <c r="K24" s="255" t="s">
        <v>353</v>
      </c>
      <c r="L24" s="255" t="s">
        <v>32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0.10931697747346798</v>
      </c>
      <c r="C26" s="302">
        <v>0.11306495536666146</v>
      </c>
      <c r="D26" s="302">
        <f>SUM(B26:C26)</f>
        <v>0.22238193284012944</v>
      </c>
      <c r="E26" s="303"/>
      <c r="F26" s="302">
        <v>5.1975837285695832E-2</v>
      </c>
      <c r="G26" s="302">
        <v>8.9279075755839821E-2</v>
      </c>
      <c r="H26" s="302">
        <f>SUM(F26:G26)</f>
        <v>0.14125491304153565</v>
      </c>
      <c r="I26" s="303"/>
      <c r="J26" s="302">
        <v>4.7064885313679722E-2</v>
      </c>
      <c r="K26" s="302">
        <v>9.9380272508933762E-2</v>
      </c>
      <c r="L26" s="302">
        <f>SUM(J26:K26)</f>
        <v>0.14644515782261347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0.34906491702943854</v>
      </c>
      <c r="C27" s="302">
        <v>0.32479499581900406</v>
      </c>
      <c r="D27" s="302">
        <f t="shared" ref="D27:D34" si="28">SUM(B27:C27)</f>
        <v>0.6738599128484426</v>
      </c>
      <c r="E27" s="303"/>
      <c r="F27" s="302">
        <v>0.22448217899439341</v>
      </c>
      <c r="G27" s="302">
        <v>0.28739772068213165</v>
      </c>
      <c r="H27" s="302">
        <f t="shared" ref="H27:H34" si="29">SUM(F27:G27)</f>
        <v>0.51187989967652503</v>
      </c>
      <c r="I27" s="303"/>
      <c r="J27" s="302">
        <v>0.22858927836461973</v>
      </c>
      <c r="K27" s="302">
        <v>0.33755790139823127</v>
      </c>
      <c r="L27" s="302">
        <f t="shared" ref="L27:L34" si="30">SUM(J27:K27)</f>
        <v>0.566147179762851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0.20800227125628903</v>
      </c>
      <c r="C28" s="302">
        <v>0.14597391650337452</v>
      </c>
      <c r="D28" s="302">
        <f t="shared" si="28"/>
        <v>0.35397618775966355</v>
      </c>
      <c r="E28" s="303"/>
      <c r="F28" s="302">
        <v>0.10956453674874973</v>
      </c>
      <c r="G28" s="302">
        <v>0.11715681956015286</v>
      </c>
      <c r="H28" s="302">
        <f t="shared" si="29"/>
        <v>0.22672135630890261</v>
      </c>
      <c r="I28" s="303"/>
      <c r="J28" s="302">
        <v>9.9735610525574114E-2</v>
      </c>
      <c r="K28" s="302">
        <v>0.12091506168741301</v>
      </c>
      <c r="L28" s="302">
        <f t="shared" si="30"/>
        <v>0.22065067221298712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0.28105431531950176</v>
      </c>
      <c r="C29" s="302">
        <v>2.1470173591332097E-2</v>
      </c>
      <c r="D29" s="302">
        <f t="shared" si="28"/>
        <v>0.30252448891083383</v>
      </c>
      <c r="E29" s="303"/>
      <c r="F29" s="302">
        <v>7.3065001496437534E-2</v>
      </c>
      <c r="G29" s="302">
        <v>1.7000507868856169E-2</v>
      </c>
      <c r="H29" s="302">
        <f t="shared" si="29"/>
        <v>9.00655093652937E-2</v>
      </c>
      <c r="I29" s="303"/>
      <c r="J29" s="302">
        <v>7.7191989303340508E-2</v>
      </c>
      <c r="K29" s="302">
        <v>1.2380686281041666E-2</v>
      </c>
      <c r="L29" s="302">
        <f t="shared" si="30"/>
        <v>8.9572675584382172E-2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7.0887876290816462E-3</v>
      </c>
      <c r="C30" s="302">
        <v>4.0105776783900621E-2</v>
      </c>
      <c r="D30" s="302">
        <f t="shared" si="28"/>
        <v>4.7194564412982268E-2</v>
      </c>
      <c r="E30" s="303"/>
      <c r="F30" s="302">
        <v>3.4461782856062017E-3</v>
      </c>
      <c r="G30" s="302">
        <v>2.5920767372241429E-2</v>
      </c>
      <c r="H30" s="302">
        <f t="shared" si="29"/>
        <v>2.9366945657847632E-2</v>
      </c>
      <c r="I30" s="303"/>
      <c r="J30" s="302">
        <v>8.8312242051844635E-3</v>
      </c>
      <c r="K30" s="302">
        <v>2.9393840322200781E-2</v>
      </c>
      <c r="L30" s="302">
        <f t="shared" si="30"/>
        <v>3.8225064527385243E-2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4.8774906194079216E-3</v>
      </c>
      <c r="C31" s="302">
        <v>1.7519479189443397E-3</v>
      </c>
      <c r="D31" s="302">
        <f t="shared" si="28"/>
        <v>6.6294385383522617E-3</v>
      </c>
      <c r="E31" s="303"/>
      <c r="F31" s="302">
        <v>2.2788905934159305E-3</v>
      </c>
      <c r="G31" s="302">
        <v>1.4846950818445447E-3</v>
      </c>
      <c r="H31" s="302">
        <f t="shared" si="29"/>
        <v>3.763585675260475E-3</v>
      </c>
      <c r="I31" s="303"/>
      <c r="J31" s="302">
        <v>2.0695305528777444E-3</v>
      </c>
      <c r="K31" s="302">
        <v>1.9645394509801772E-3</v>
      </c>
      <c r="L31" s="302">
        <f t="shared" si="30"/>
        <v>4.0340700038579216E-3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4.2911612762737916E-2</v>
      </c>
      <c r="C32" s="302">
        <v>9.8367236076472679E-3</v>
      </c>
      <c r="D32" s="302">
        <f t="shared" si="28"/>
        <v>5.2748336370385188E-2</v>
      </c>
      <c r="E32" s="303"/>
      <c r="F32" s="302">
        <v>1.4255414488430497E-2</v>
      </c>
      <c r="G32" s="302">
        <v>7.0285319386686456E-3</v>
      </c>
      <c r="H32" s="302">
        <f t="shared" si="29"/>
        <v>2.1283946427099142E-2</v>
      </c>
      <c r="I32" s="303"/>
      <c r="J32" s="302">
        <v>1.4009278981266469E-2</v>
      </c>
      <c r="K32" s="302">
        <v>9.7696207964764852E-3</v>
      </c>
      <c r="L32" s="302">
        <f t="shared" si="30"/>
        <v>2.3778899777742953E-2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3.8521200664040824E-3</v>
      </c>
      <c r="C33" s="302">
        <v>6.330974026624506E-3</v>
      </c>
      <c r="D33" s="302">
        <f t="shared" si="28"/>
        <v>1.0183094093028588E-2</v>
      </c>
      <c r="E33" s="303"/>
      <c r="F33" s="302">
        <v>5.5665651718938712E-4</v>
      </c>
      <c r="G33" s="302">
        <v>3.9449826360348364E-3</v>
      </c>
      <c r="H33" s="302">
        <f t="shared" si="29"/>
        <v>4.5016391532242232E-3</v>
      </c>
      <c r="I33" s="303"/>
      <c r="J33" s="302">
        <v>1.0386582795689062E-3</v>
      </c>
      <c r="K33" s="302">
        <v>5.3560958869756292E-3</v>
      </c>
      <c r="L33" s="302">
        <f t="shared" si="30"/>
        <v>6.3947541665445359E-3</v>
      </c>
      <c r="M33" s="236"/>
      <c r="N33" s="236"/>
    </row>
    <row r="34" spans="1:18" x14ac:dyDescent="0.2">
      <c r="A34" s="237" t="str">
        <f>name!E$12</f>
        <v>Elementary occupations</v>
      </c>
      <c r="B34" s="302">
        <v>2.0831507836145596E-2</v>
      </c>
      <c r="C34" s="302">
        <v>5.6705363693815907E-3</v>
      </c>
      <c r="D34" s="302">
        <f t="shared" si="28"/>
        <v>2.6502044205527188E-2</v>
      </c>
      <c r="E34" s="303"/>
      <c r="F34" s="302">
        <v>2.3753055882754131E-3</v>
      </c>
      <c r="G34" s="302">
        <v>3.7868991084354649E-3</v>
      </c>
      <c r="H34" s="302">
        <f t="shared" si="29"/>
        <v>6.1622046967108775E-3</v>
      </c>
      <c r="I34" s="303"/>
      <c r="J34" s="302">
        <v>2.4695444717980648E-3</v>
      </c>
      <c r="K34" s="302">
        <v>3.2819816741702624E-3</v>
      </c>
      <c r="L34" s="302">
        <f t="shared" si="30"/>
        <v>5.7515261459683276E-3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32</v>
      </c>
      <c r="B36" s="311">
        <f>SUM(B26:B34)</f>
        <v>1.0269999999924744</v>
      </c>
      <c r="C36" s="311">
        <f t="shared" ref="C36:K36" si="31">SUM(C26:C34)</f>
        <v>0.66899999998687043</v>
      </c>
      <c r="D36" s="311">
        <f t="shared" si="31"/>
        <v>1.6959999999793449</v>
      </c>
      <c r="E36" s="311"/>
      <c r="F36" s="311">
        <f t="shared" si="31"/>
        <v>0.48199999999819393</v>
      </c>
      <c r="G36" s="311">
        <f t="shared" si="31"/>
        <v>0.55300000000420546</v>
      </c>
      <c r="H36" s="311">
        <f t="shared" si="31"/>
        <v>1.0350000000023993</v>
      </c>
      <c r="I36" s="311"/>
      <c r="J36" s="311">
        <f t="shared" si="31"/>
        <v>0.48099999999790966</v>
      </c>
      <c r="K36" s="311">
        <f t="shared" si="31"/>
        <v>0.62000000000642308</v>
      </c>
      <c r="L36" s="311">
        <f>SUM(L26:L34)</f>
        <v>1.101000000004333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35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name!A5</f>
        <v>Coal, oil &amp; gas; Mining &amp; related</v>
      </c>
      <c r="B40" s="372">
        <f>B$6</f>
        <v>2015</v>
      </c>
      <c r="C40" s="372"/>
      <c r="D40" s="372"/>
      <c r="E40" s="253"/>
      <c r="F40" s="372">
        <f>F23</f>
        <v>2020</v>
      </c>
      <c r="G40" s="372"/>
      <c r="H40" s="372"/>
      <c r="I40" s="253"/>
      <c r="J40" s="372">
        <f>J23</f>
        <v>2035</v>
      </c>
      <c r="K40" s="372"/>
      <c r="L40" s="372"/>
      <c r="M40" s="236"/>
      <c r="N40" s="236"/>
    </row>
    <row r="41" spans="1:18" x14ac:dyDescent="0.2">
      <c r="A41" s="254"/>
      <c r="B41" s="255" t="s">
        <v>352</v>
      </c>
      <c r="C41" s="255" t="s">
        <v>353</v>
      </c>
      <c r="D41" s="255" t="s">
        <v>32</v>
      </c>
      <c r="E41" s="255"/>
      <c r="F41" s="255" t="s">
        <v>352</v>
      </c>
      <c r="G41" s="255" t="s">
        <v>353</v>
      </c>
      <c r="H41" s="255" t="s">
        <v>32</v>
      </c>
      <c r="I41" s="255"/>
      <c r="J41" s="255" t="s">
        <v>352</v>
      </c>
      <c r="K41" s="255" t="s">
        <v>353</v>
      </c>
      <c r="L41" s="255" t="s">
        <v>32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7.4924647893589463E-2</v>
      </c>
      <c r="C43" s="302">
        <v>0.57731971467816834</v>
      </c>
      <c r="D43" s="302">
        <f>SUM(B43:C43)</f>
        <v>0.65224436257175777</v>
      </c>
      <c r="E43" s="303"/>
      <c r="F43" s="302">
        <v>6.0816834933109527E-2</v>
      </c>
      <c r="G43" s="302">
        <v>0.47357875424573864</v>
      </c>
      <c r="H43" s="302">
        <f>SUM(F43:G43)</f>
        <v>0.53439558917884822</v>
      </c>
      <c r="I43" s="303"/>
      <c r="J43" s="302">
        <v>4.4018165420423722E-2</v>
      </c>
      <c r="K43" s="302">
        <v>0.29892096734530949</v>
      </c>
      <c r="L43" s="302">
        <f>SUM(J43:K43)</f>
        <v>0.34293913276573318</v>
      </c>
      <c r="M43" s="236"/>
      <c r="N43" s="236"/>
    </row>
    <row r="44" spans="1:18" x14ac:dyDescent="0.2">
      <c r="A44" s="237" t="str">
        <f>name!E$5</f>
        <v>Professional occupations</v>
      </c>
      <c r="B44" s="302">
        <v>0.19816663490846145</v>
      </c>
      <c r="C44" s="302">
        <v>0.92289291608902502</v>
      </c>
      <c r="D44" s="302">
        <f t="shared" ref="D44:D51" si="32">SUM(B44:C44)</f>
        <v>1.1210595509974866</v>
      </c>
      <c r="E44" s="303"/>
      <c r="F44" s="302">
        <v>0.17894633141737296</v>
      </c>
      <c r="G44" s="302">
        <v>0.72275711074544458</v>
      </c>
      <c r="H44" s="302">
        <f t="shared" ref="H44:H51" si="33">SUM(F44:G44)</f>
        <v>0.9017034421628175</v>
      </c>
      <c r="I44" s="303"/>
      <c r="J44" s="302">
        <v>0.12469208787870385</v>
      </c>
      <c r="K44" s="302">
        <v>0.49099192914614315</v>
      </c>
      <c r="L44" s="302">
        <f t="shared" ref="L44:L51" si="34">SUM(J44:K44)</f>
        <v>0.61568401702484699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0.20747118812761781</v>
      </c>
      <c r="C45" s="302">
        <v>0.52446629557994495</v>
      </c>
      <c r="D45" s="302">
        <f t="shared" si="32"/>
        <v>0.73193748370756273</v>
      </c>
      <c r="E45" s="303"/>
      <c r="F45" s="302">
        <v>0.1630311878106851</v>
      </c>
      <c r="G45" s="302">
        <v>0.37638529689162037</v>
      </c>
      <c r="H45" s="302">
        <f t="shared" si="33"/>
        <v>0.53941648470230552</v>
      </c>
      <c r="I45" s="303"/>
      <c r="J45" s="302">
        <v>0.10155783915683549</v>
      </c>
      <c r="K45" s="302">
        <v>0.19131511969116072</v>
      </c>
      <c r="L45" s="302">
        <f t="shared" si="34"/>
        <v>0.29287295884799619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0.23080929772664294</v>
      </c>
      <c r="C46" s="302">
        <v>0.22794558068505552</v>
      </c>
      <c r="D46" s="302">
        <f t="shared" si="32"/>
        <v>0.45875487841169849</v>
      </c>
      <c r="E46" s="303"/>
      <c r="F46" s="302">
        <v>0.15019151477602039</v>
      </c>
      <c r="G46" s="302">
        <v>0.27196351733860158</v>
      </c>
      <c r="H46" s="302">
        <f t="shared" si="33"/>
        <v>0.42215503211462196</v>
      </c>
      <c r="I46" s="303"/>
      <c r="J46" s="302">
        <v>5.253375926425901E-2</v>
      </c>
      <c r="K46" s="302">
        <v>0.1760874173410297</v>
      </c>
      <c r="L46" s="302">
        <f t="shared" si="34"/>
        <v>0.22862117660528872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5.1888016773930339E-3</v>
      </c>
      <c r="C47" s="302">
        <v>0.34605818272305011</v>
      </c>
      <c r="D47" s="302">
        <f t="shared" si="32"/>
        <v>0.35124698440044316</v>
      </c>
      <c r="E47" s="303"/>
      <c r="F47" s="302">
        <v>4.0247956576683853E-3</v>
      </c>
      <c r="G47" s="302">
        <v>5.4486798430652135E-2</v>
      </c>
      <c r="H47" s="302">
        <f>SUM(F47:G47)</f>
        <v>5.8511594088320518E-2</v>
      </c>
      <c r="I47" s="303"/>
      <c r="J47" s="302">
        <v>4.132346419830517E-3</v>
      </c>
      <c r="K47" s="302">
        <v>2.1690279740431792E-2</v>
      </c>
      <c r="L47" s="302">
        <f t="shared" si="34"/>
        <v>2.5822626160262308E-2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5.4733637031779615E-2</v>
      </c>
      <c r="C48" s="302">
        <v>1.3996829495169866E-2</v>
      </c>
      <c r="D48" s="302">
        <f t="shared" si="32"/>
        <v>6.8730466526949474E-2</v>
      </c>
      <c r="E48" s="303"/>
      <c r="F48" s="302">
        <v>4.1988817822440509E-2</v>
      </c>
      <c r="G48" s="302">
        <v>5.8985805836413345E-3</v>
      </c>
      <c r="H48" s="302">
        <f t="shared" si="33"/>
        <v>4.7887398406081846E-2</v>
      </c>
      <c r="I48" s="303"/>
      <c r="J48" s="302">
        <v>3.021875719280185E-2</v>
      </c>
      <c r="K48" s="302">
        <v>3.5728135270881845E-3</v>
      </c>
      <c r="L48" s="302">
        <f t="shared" si="34"/>
        <v>3.3791570719890036E-2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5.8988379214236698E-2</v>
      </c>
      <c r="C49" s="302">
        <v>9.0452183205501524E-2</v>
      </c>
      <c r="D49" s="302">
        <f t="shared" si="32"/>
        <v>0.14944056241973822</v>
      </c>
      <c r="E49" s="303"/>
      <c r="F49" s="302">
        <v>4.2179317999905375E-2</v>
      </c>
      <c r="G49" s="302">
        <v>5.650998288036635E-2</v>
      </c>
      <c r="H49" s="302">
        <f t="shared" si="33"/>
        <v>9.8689300880271724E-2</v>
      </c>
      <c r="I49" s="303"/>
      <c r="J49" s="302">
        <v>2.4022406725500999E-2</v>
      </c>
      <c r="K49" s="302">
        <v>3.5944484776139464E-2</v>
      </c>
      <c r="L49" s="302">
        <f t="shared" si="34"/>
        <v>5.996689150164046E-2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4.747691537389684E-3</v>
      </c>
      <c r="C50" s="302">
        <v>0.22169190253992985</v>
      </c>
      <c r="D50" s="302">
        <f t="shared" si="32"/>
        <v>0.22643959407731953</v>
      </c>
      <c r="E50" s="303"/>
      <c r="F50" s="302">
        <v>2.8268312950366719E-3</v>
      </c>
      <c r="G50" s="302">
        <v>6.6032567047718566E-2</v>
      </c>
      <c r="H50" s="302">
        <f t="shared" si="33"/>
        <v>6.8859398342755243E-2</v>
      </c>
      <c r="I50" s="303"/>
      <c r="J50" s="302">
        <v>2.6558791047743419E-3</v>
      </c>
      <c r="K50" s="302">
        <v>2.9891250013596625E-2</v>
      </c>
      <c r="L50" s="302">
        <f t="shared" si="34"/>
        <v>3.2547129118370967E-2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2.8969721875859236E-2</v>
      </c>
      <c r="C51" s="302">
        <v>0.47317639498660635</v>
      </c>
      <c r="D51" s="302">
        <f t="shared" si="32"/>
        <v>0.50214611686246557</v>
      </c>
      <c r="E51" s="303"/>
      <c r="F51" s="302">
        <v>2.2994368286263535E-2</v>
      </c>
      <c r="G51" s="302">
        <v>8.3873918488880997E-3</v>
      </c>
      <c r="H51" s="302">
        <f t="shared" si="33"/>
        <v>3.1381760135151635E-2</v>
      </c>
      <c r="I51" s="303"/>
      <c r="J51" s="302">
        <v>9.1687588364901314E-3</v>
      </c>
      <c r="K51" s="302">
        <v>2.5857384356982112E-3</v>
      </c>
      <c r="L51" s="302">
        <f t="shared" si="34"/>
        <v>1.1754497272188342E-2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32</v>
      </c>
      <c r="B53" s="311">
        <f>SUM(B43:B51)</f>
        <v>0.86399999999296984</v>
      </c>
      <c r="C53" s="311">
        <f t="shared" ref="C53:L53" si="35">SUM(C43:C51)</f>
        <v>3.3979999999824519</v>
      </c>
      <c r="D53" s="311">
        <f t="shared" si="35"/>
        <v>4.261999999975421</v>
      </c>
      <c r="E53" s="311"/>
      <c r="F53" s="311">
        <f t="shared" si="35"/>
        <v>0.66699999999850246</v>
      </c>
      <c r="G53" s="311">
        <f t="shared" si="35"/>
        <v>2.0360000000126717</v>
      </c>
      <c r="H53" s="311">
        <f t="shared" si="35"/>
        <v>2.7030000000111745</v>
      </c>
      <c r="I53" s="311"/>
      <c r="J53" s="311">
        <f t="shared" si="35"/>
        <v>0.39299999999961993</v>
      </c>
      <c r="K53" s="311">
        <f t="shared" si="35"/>
        <v>1.2510000000165971</v>
      </c>
      <c r="L53" s="311">
        <f t="shared" si="35"/>
        <v>1.6440000000162174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35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name!A6</f>
        <v>Food products</v>
      </c>
      <c r="B57" s="372">
        <f>B$6</f>
        <v>2015</v>
      </c>
      <c r="C57" s="372"/>
      <c r="D57" s="372"/>
      <c r="E57" s="253"/>
      <c r="F57" s="372">
        <f>F40</f>
        <v>2020</v>
      </c>
      <c r="G57" s="372"/>
      <c r="H57" s="372"/>
      <c r="I57" s="253"/>
      <c r="J57" s="372">
        <f>J40</f>
        <v>2035</v>
      </c>
      <c r="K57" s="372"/>
      <c r="L57" s="372"/>
      <c r="M57" s="236"/>
      <c r="N57" s="236"/>
    </row>
    <row r="58" spans="1:14" x14ac:dyDescent="0.2">
      <c r="A58" s="254"/>
      <c r="B58" s="255" t="s">
        <v>352</v>
      </c>
      <c r="C58" s="255" t="s">
        <v>353</v>
      </c>
      <c r="D58" s="255" t="s">
        <v>32</v>
      </c>
      <c r="E58" s="255"/>
      <c r="F58" s="255" t="s">
        <v>352</v>
      </c>
      <c r="G58" s="255" t="s">
        <v>353</v>
      </c>
      <c r="H58" s="255" t="s">
        <v>32</v>
      </c>
      <c r="I58" s="255"/>
      <c r="J58" s="255" t="s">
        <v>352</v>
      </c>
      <c r="K58" s="255" t="s">
        <v>353</v>
      </c>
      <c r="L58" s="255" t="s">
        <v>32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1.2007979650924299</v>
      </c>
      <c r="C60" s="302">
        <v>1.7382087830686721</v>
      </c>
      <c r="D60" s="302">
        <f>SUM(B60:C60)</f>
        <v>2.939006748161102</v>
      </c>
      <c r="E60" s="303"/>
      <c r="F60" s="302">
        <v>2.4930614188073261</v>
      </c>
      <c r="G60" s="302">
        <v>2.8590119278576811</v>
      </c>
      <c r="H60" s="302">
        <f>SUM(F60:G60)</f>
        <v>5.3520733466650068</v>
      </c>
      <c r="I60" s="303"/>
      <c r="J60" s="302">
        <v>3.0114720963677217</v>
      </c>
      <c r="K60" s="302">
        <v>2.8448353680740248</v>
      </c>
      <c r="L60" s="302">
        <f>SUM(J60:K60)</f>
        <v>5.8563074644417465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0.91361703293945451</v>
      </c>
      <c r="C61" s="302">
        <v>0.95747938447414849</v>
      </c>
      <c r="D61" s="302">
        <f t="shared" ref="D61:D68" si="36">SUM(B61:C61)</f>
        <v>1.8710964174136029</v>
      </c>
      <c r="E61" s="303"/>
      <c r="F61" s="302">
        <v>2.1092497852320795</v>
      </c>
      <c r="G61" s="302">
        <v>1.7490336637295085</v>
      </c>
      <c r="H61" s="302">
        <f t="shared" ref="H61:H68" si="37">SUM(F61:G61)</f>
        <v>3.858283448961588</v>
      </c>
      <c r="I61" s="303"/>
      <c r="J61" s="302">
        <v>2.7942218937262968</v>
      </c>
      <c r="K61" s="302">
        <v>2.1009239482196174</v>
      </c>
      <c r="L61" s="302">
        <f t="shared" ref="L61:L68" si="38">SUM(J61:K61)</f>
        <v>4.8951458419459142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1.4113490998181493</v>
      </c>
      <c r="C62" s="302">
        <v>1.5461298311099729</v>
      </c>
      <c r="D62" s="302">
        <f t="shared" si="36"/>
        <v>2.9574789309281222</v>
      </c>
      <c r="E62" s="303"/>
      <c r="F62" s="302">
        <v>2.8254784671360493</v>
      </c>
      <c r="G62" s="302">
        <v>2.582930642321033</v>
      </c>
      <c r="H62" s="302">
        <f t="shared" si="37"/>
        <v>5.4084091094570823</v>
      </c>
      <c r="I62" s="303"/>
      <c r="J62" s="302">
        <v>3.3060253575611358</v>
      </c>
      <c r="K62" s="302">
        <v>2.366140961676956</v>
      </c>
      <c r="L62" s="302">
        <f t="shared" si="38"/>
        <v>5.6721663192380918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2.118297407211081</v>
      </c>
      <c r="C63" s="302">
        <v>1.0035503934232093</v>
      </c>
      <c r="D63" s="302">
        <f t="shared" si="36"/>
        <v>3.1218478006342902</v>
      </c>
      <c r="E63" s="303"/>
      <c r="F63" s="302">
        <v>3.2278033829317256</v>
      </c>
      <c r="G63" s="302">
        <v>1.587823231755823</v>
      </c>
      <c r="H63" s="302">
        <f t="shared" si="37"/>
        <v>4.8156266146875488</v>
      </c>
      <c r="I63" s="303"/>
      <c r="J63" s="302">
        <v>2.6383302495216325</v>
      </c>
      <c r="K63" s="302">
        <v>1.5320733367870716</v>
      </c>
      <c r="L63" s="302">
        <f t="shared" si="38"/>
        <v>4.1704035863087041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0.73133328083566584</v>
      </c>
      <c r="C64" s="302">
        <v>3.7537656278640159</v>
      </c>
      <c r="D64" s="302">
        <f t="shared" si="36"/>
        <v>4.4850989086996815</v>
      </c>
      <c r="E64" s="303"/>
      <c r="F64" s="302">
        <v>1.0614474385949073</v>
      </c>
      <c r="G64" s="302">
        <v>4.3112821100838561</v>
      </c>
      <c r="H64" s="302">
        <f t="shared" si="37"/>
        <v>5.3727295486787634</v>
      </c>
      <c r="I64" s="303"/>
      <c r="J64" s="302">
        <v>0.56910248701451405</v>
      </c>
      <c r="K64" s="302">
        <v>3.895762734074192</v>
      </c>
      <c r="L64" s="302">
        <f t="shared" si="38"/>
        <v>4.4648652210887061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0.10057632049367791</v>
      </c>
      <c r="C65" s="302">
        <v>0.13536994993078036</v>
      </c>
      <c r="D65" s="302">
        <f t="shared" si="36"/>
        <v>0.23594627042445826</v>
      </c>
      <c r="E65" s="303"/>
      <c r="F65" s="302">
        <v>0.14458704546210768</v>
      </c>
      <c r="G65" s="302">
        <v>0.20350283472895275</v>
      </c>
      <c r="H65" s="302">
        <f t="shared" si="37"/>
        <v>0.34808988019106046</v>
      </c>
      <c r="I65" s="303"/>
      <c r="J65" s="302">
        <v>0.13649775680638931</v>
      </c>
      <c r="K65" s="302">
        <v>0.21268146988862296</v>
      </c>
      <c r="L65" s="302">
        <f t="shared" si="38"/>
        <v>0.34917922669501228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0.67683012885049676</v>
      </c>
      <c r="C66" s="302">
        <v>0.8521459256771714</v>
      </c>
      <c r="D66" s="302">
        <f t="shared" si="36"/>
        <v>1.5289760545276683</v>
      </c>
      <c r="E66" s="303"/>
      <c r="F66" s="302">
        <v>0.96431667825409517</v>
      </c>
      <c r="G66" s="302">
        <v>0.88635434168653604</v>
      </c>
      <c r="H66" s="302">
        <f t="shared" si="37"/>
        <v>1.8506710199406311</v>
      </c>
      <c r="I66" s="303"/>
      <c r="J66" s="302">
        <v>0.84702590187870264</v>
      </c>
      <c r="K66" s="302">
        <v>0.94066470969636906</v>
      </c>
      <c r="L66" s="302">
        <f t="shared" si="38"/>
        <v>1.7876906115750717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1.0766272555552268</v>
      </c>
      <c r="C67" s="302">
        <v>4.2725726488835178</v>
      </c>
      <c r="D67" s="302">
        <f t="shared" si="36"/>
        <v>5.3491999044387448</v>
      </c>
      <c r="E67" s="303"/>
      <c r="F67" s="302">
        <v>1.796122304750936</v>
      </c>
      <c r="G67" s="302">
        <v>4.7493347535277719</v>
      </c>
      <c r="H67" s="302">
        <f t="shared" si="37"/>
        <v>6.5454570582787079</v>
      </c>
      <c r="I67" s="303"/>
      <c r="J67" s="302">
        <v>2.7426121261654033</v>
      </c>
      <c r="K67" s="302">
        <v>4.6574920493141656</v>
      </c>
      <c r="L67" s="302">
        <f t="shared" si="38"/>
        <v>7.4001041754795693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1.7685715093143353</v>
      </c>
      <c r="C68" s="302">
        <v>2.7747774559748604</v>
      </c>
      <c r="D68" s="302">
        <f t="shared" si="36"/>
        <v>4.5433489652891961</v>
      </c>
      <c r="E68" s="303"/>
      <c r="F68" s="302">
        <v>2.2419334786525233</v>
      </c>
      <c r="G68" s="302">
        <v>3.0987264938660735</v>
      </c>
      <c r="H68" s="302">
        <f t="shared" si="37"/>
        <v>5.3406599725185968</v>
      </c>
      <c r="I68" s="303"/>
      <c r="J68" s="302">
        <v>1.7687121308863671</v>
      </c>
      <c r="K68" s="302">
        <v>2.4024254216719712</v>
      </c>
      <c r="L68" s="302">
        <f t="shared" si="38"/>
        <v>4.1711375525583385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32</v>
      </c>
      <c r="B70" s="311">
        <f>SUM(B60:B68)</f>
        <v>9.9980000001105189</v>
      </c>
      <c r="C70" s="311">
        <f t="shared" ref="C70:L70" si="39">SUM(C60:C68)</f>
        <v>17.034000000406348</v>
      </c>
      <c r="D70" s="311">
        <f t="shared" si="39"/>
        <v>27.032000000516867</v>
      </c>
      <c r="E70" s="311"/>
      <c r="F70" s="311">
        <f t="shared" si="39"/>
        <v>16.86399999982175</v>
      </c>
      <c r="G70" s="311">
        <f t="shared" si="39"/>
        <v>22.027999999557238</v>
      </c>
      <c r="H70" s="311">
        <f t="shared" si="39"/>
        <v>38.891999999378982</v>
      </c>
      <c r="I70" s="311"/>
      <c r="J70" s="311">
        <f t="shared" si="39"/>
        <v>17.813999999928164</v>
      </c>
      <c r="K70" s="311">
        <f t="shared" si="39"/>
        <v>20.952999999402991</v>
      </c>
      <c r="L70" s="311">
        <f t="shared" si="39"/>
        <v>38.766999999331148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35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name!A7</f>
        <v>Beverages and tobacco</v>
      </c>
      <c r="B74" s="372">
        <f>B$6</f>
        <v>2015</v>
      </c>
      <c r="C74" s="372"/>
      <c r="D74" s="372"/>
      <c r="E74" s="253"/>
      <c r="F74" s="372">
        <f>F57</f>
        <v>2020</v>
      </c>
      <c r="G74" s="372"/>
      <c r="H74" s="372"/>
      <c r="I74" s="253"/>
      <c r="J74" s="372">
        <f>J57</f>
        <v>2035</v>
      </c>
      <c r="K74" s="372"/>
      <c r="L74" s="372"/>
      <c r="M74" s="236"/>
      <c r="N74" s="236"/>
    </row>
    <row r="75" spans="1:14" x14ac:dyDescent="0.2">
      <c r="A75" s="254"/>
      <c r="B75" s="255" t="s">
        <v>352</v>
      </c>
      <c r="C75" s="255" t="s">
        <v>353</v>
      </c>
      <c r="D75" s="255" t="s">
        <v>32</v>
      </c>
      <c r="E75" s="255"/>
      <c r="F75" s="255" t="s">
        <v>352</v>
      </c>
      <c r="G75" s="255" t="s">
        <v>353</v>
      </c>
      <c r="H75" s="255" t="s">
        <v>32</v>
      </c>
      <c r="I75" s="255"/>
      <c r="J75" s="255" t="s">
        <v>352</v>
      </c>
      <c r="K75" s="255" t="s">
        <v>353</v>
      </c>
      <c r="L75" s="255" t="s">
        <v>32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4.0960707040040116E-2</v>
      </c>
      <c r="C77" s="302">
        <v>0.16125351743231572</v>
      </c>
      <c r="D77" s="302">
        <f>SUM(B77:C77)</f>
        <v>0.20221422447235585</v>
      </c>
      <c r="E77" s="303"/>
      <c r="F77" s="302">
        <v>0.21308887956674658</v>
      </c>
      <c r="G77" s="302">
        <v>0.727567618465635</v>
      </c>
      <c r="H77" s="302">
        <f>SUM(F77:G77)</f>
        <v>0.9406564980323816</v>
      </c>
      <c r="I77" s="303"/>
      <c r="J77" s="302">
        <v>0.2740443061100527</v>
      </c>
      <c r="K77" s="302">
        <v>0.6968144093556965</v>
      </c>
      <c r="L77" s="302">
        <f>SUM(J77:K77)</f>
        <v>0.9708587154657492</v>
      </c>
      <c r="M77" s="236"/>
      <c r="N77" s="236"/>
    </row>
    <row r="78" spans="1:14" x14ac:dyDescent="0.2">
      <c r="A78" s="237" t="str">
        <f>name!E$5</f>
        <v>Professional occupations</v>
      </c>
      <c r="B78" s="302">
        <v>3.1329566071784019E-2</v>
      </c>
      <c r="C78" s="302">
        <v>0.15877217489897619</v>
      </c>
      <c r="D78" s="302">
        <f t="shared" ref="D78:D85" si="40">SUM(B78:C78)</f>
        <v>0.19010174097076021</v>
      </c>
      <c r="E78" s="303"/>
      <c r="F78" s="302">
        <v>0.17496494632261794</v>
      </c>
      <c r="G78" s="302">
        <v>0.82022051701907073</v>
      </c>
      <c r="H78" s="302">
        <f t="shared" ref="H78:H85" si="41">SUM(F78:G78)</f>
        <v>0.99518546334168867</v>
      </c>
      <c r="I78" s="303"/>
      <c r="J78" s="302">
        <v>0.20681097004951388</v>
      </c>
      <c r="K78" s="302">
        <v>0.94823163162573265</v>
      </c>
      <c r="L78" s="302">
        <f t="shared" ref="L78:L85" si="42">SUM(J78:K78)</f>
        <v>1.1550426016752464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4.341063222866462E-2</v>
      </c>
      <c r="C79" s="302">
        <v>0.20184398958907235</v>
      </c>
      <c r="D79" s="302">
        <f t="shared" si="40"/>
        <v>0.24525462181773697</v>
      </c>
      <c r="E79" s="303"/>
      <c r="F79" s="302">
        <v>0.20023439185672373</v>
      </c>
      <c r="G79" s="302">
        <v>0.81591113035237239</v>
      </c>
      <c r="H79" s="302">
        <f t="shared" si="41"/>
        <v>1.016145522209096</v>
      </c>
      <c r="I79" s="303"/>
      <c r="J79" s="302">
        <v>0.20979143099144859</v>
      </c>
      <c r="K79" s="302">
        <v>0.74114752351294355</v>
      </c>
      <c r="L79" s="302">
        <f t="shared" si="42"/>
        <v>0.95093895450439214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5.1612539104718955E-2</v>
      </c>
      <c r="C80" s="302">
        <v>3.2855114536190964E-2</v>
      </c>
      <c r="D80" s="302">
        <f t="shared" si="40"/>
        <v>8.4467653640909912E-2</v>
      </c>
      <c r="E80" s="303"/>
      <c r="F80" s="302">
        <v>0.18073611583282603</v>
      </c>
      <c r="G80" s="302">
        <v>0.14028981037233648</v>
      </c>
      <c r="H80" s="302">
        <f t="shared" si="41"/>
        <v>0.32102592620516252</v>
      </c>
      <c r="I80" s="303"/>
      <c r="J80" s="302">
        <v>0.11780788443220817</v>
      </c>
      <c r="K80" s="302">
        <v>0.13786010248145983</v>
      </c>
      <c r="L80" s="302">
        <f t="shared" si="42"/>
        <v>0.25566798691366799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8.6313172868581981E-3</v>
      </c>
      <c r="C81" s="302">
        <v>0.15255355037770377</v>
      </c>
      <c r="D81" s="302">
        <f t="shared" si="40"/>
        <v>0.16118486766456197</v>
      </c>
      <c r="E81" s="303"/>
      <c r="F81" s="302">
        <v>5.2302611165827628E-2</v>
      </c>
      <c r="G81" s="302">
        <v>0.46552933709119776</v>
      </c>
      <c r="H81" s="302">
        <f t="shared" si="41"/>
        <v>0.51783194825702539</v>
      </c>
      <c r="I81" s="303"/>
      <c r="J81" s="302">
        <v>6.2425189130015851E-2</v>
      </c>
      <c r="K81" s="302">
        <v>0.36026379469842601</v>
      </c>
      <c r="L81" s="302">
        <f t="shared" si="42"/>
        <v>0.42268898382844189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2.0305561716200363E-2</v>
      </c>
      <c r="C82" s="302">
        <v>3.0178041829425167E-2</v>
      </c>
      <c r="D82" s="302">
        <f t="shared" si="40"/>
        <v>5.0483603545625533E-2</v>
      </c>
      <c r="E82" s="303"/>
      <c r="F82" s="302">
        <v>8.4405665140526165E-2</v>
      </c>
      <c r="G82" s="302">
        <v>0.13640789678270202</v>
      </c>
      <c r="H82" s="302">
        <f t="shared" si="41"/>
        <v>0.22081356192322818</v>
      </c>
      <c r="I82" s="303"/>
      <c r="J82" s="302">
        <v>8.0256737630446884E-2</v>
      </c>
      <c r="K82" s="302">
        <v>0.18440134947645462</v>
      </c>
      <c r="L82" s="302">
        <f t="shared" si="42"/>
        <v>0.26465808710690153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1.9485409122241643E-2</v>
      </c>
      <c r="C83" s="302">
        <v>5.9316042061616954E-2</v>
      </c>
      <c r="D83" s="302">
        <f t="shared" si="40"/>
        <v>7.880145118385859E-2</v>
      </c>
      <c r="E83" s="303"/>
      <c r="F83" s="302">
        <v>7.2497667134759747E-2</v>
      </c>
      <c r="G83" s="302">
        <v>0.22825365954971721</v>
      </c>
      <c r="H83" s="302">
        <f t="shared" si="41"/>
        <v>0.30075132668447696</v>
      </c>
      <c r="I83" s="303"/>
      <c r="J83" s="302">
        <v>7.4845497085453308E-2</v>
      </c>
      <c r="K83" s="302">
        <v>0.25988178910041154</v>
      </c>
      <c r="L83" s="302">
        <f t="shared" si="42"/>
        <v>0.33472728618586484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2.7364212004841373E-3</v>
      </c>
      <c r="C84" s="302">
        <v>0.27175994036976919</v>
      </c>
      <c r="D84" s="302">
        <f t="shared" si="40"/>
        <v>0.27449636157025331</v>
      </c>
      <c r="E84" s="303"/>
      <c r="F84" s="302">
        <v>1.1477815106637854E-2</v>
      </c>
      <c r="G84" s="302">
        <v>0.88661758301551397</v>
      </c>
      <c r="H84" s="302">
        <f t="shared" si="41"/>
        <v>0.89809539812215178</v>
      </c>
      <c r="I84" s="303"/>
      <c r="J84" s="302">
        <v>1.9171590626872497E-2</v>
      </c>
      <c r="K84" s="302">
        <v>0.83949110550139394</v>
      </c>
      <c r="L84" s="302">
        <f t="shared" si="42"/>
        <v>0.8586626961282664</v>
      </c>
      <c r="M84" s="236"/>
      <c r="N84" s="236"/>
    </row>
    <row r="85" spans="1:14" x14ac:dyDescent="0.2">
      <c r="A85" s="237" t="str">
        <f>name!E$12</f>
        <v>Elementary occupations</v>
      </c>
      <c r="B85" s="302">
        <v>2.6527846230286062E-2</v>
      </c>
      <c r="C85" s="302">
        <v>0.14546762892450568</v>
      </c>
      <c r="D85" s="302">
        <f t="shared" si="40"/>
        <v>0.17199547515479174</v>
      </c>
      <c r="E85" s="303"/>
      <c r="F85" s="302">
        <v>7.5291907863518345E-2</v>
      </c>
      <c r="G85" s="302">
        <v>0.44720244729740893</v>
      </c>
      <c r="H85" s="302">
        <f t="shared" si="41"/>
        <v>0.52249435516092724</v>
      </c>
      <c r="I85" s="303"/>
      <c r="J85" s="302">
        <v>6.9846393937693013E-2</v>
      </c>
      <c r="K85" s="302">
        <v>0.33890829416621499</v>
      </c>
      <c r="L85" s="302">
        <f t="shared" si="42"/>
        <v>0.40875468810390803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32</v>
      </c>
      <c r="B87" s="311">
        <f>SUM(B77:B85)</f>
        <v>0.24500000000127811</v>
      </c>
      <c r="C87" s="311">
        <f t="shared" ref="C87:D87" si="43">SUM(C77:C85)</f>
        <v>1.2140000000195761</v>
      </c>
      <c r="D87" s="311">
        <f t="shared" si="43"/>
        <v>1.4590000000208541</v>
      </c>
      <c r="E87" s="311"/>
      <c r="F87" s="311">
        <f t="shared" ref="F87:H87" si="44">SUM(F77:F85)</f>
        <v>1.064999999990184</v>
      </c>
      <c r="G87" s="311">
        <f t="shared" si="44"/>
        <v>4.6679999999459545</v>
      </c>
      <c r="H87" s="311">
        <f t="shared" si="44"/>
        <v>5.7329999999361387</v>
      </c>
      <c r="I87" s="311"/>
      <c r="J87" s="311">
        <f t="shared" ref="J87:L87" si="45">SUM(J77:J85)</f>
        <v>1.1149999999937048</v>
      </c>
      <c r="K87" s="311">
        <f t="shared" si="45"/>
        <v>4.5069999999187331</v>
      </c>
      <c r="L87" s="311">
        <f t="shared" si="45"/>
        <v>5.6219999999124397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35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name!A8</f>
        <v>Textiles</v>
      </c>
      <c r="B91" s="372">
        <f>B$6</f>
        <v>2015</v>
      </c>
      <c r="C91" s="372"/>
      <c r="D91" s="372"/>
      <c r="E91" s="253"/>
      <c r="F91" s="372">
        <f>F74</f>
        <v>2020</v>
      </c>
      <c r="G91" s="372"/>
      <c r="H91" s="372"/>
      <c r="I91" s="253"/>
      <c r="J91" s="372">
        <f>J74</f>
        <v>2035</v>
      </c>
      <c r="K91" s="372"/>
      <c r="L91" s="372"/>
      <c r="M91" s="236"/>
      <c r="N91" s="236"/>
    </row>
    <row r="92" spans="1:14" x14ac:dyDescent="0.2">
      <c r="A92" s="254"/>
      <c r="B92" s="255" t="s">
        <v>352</v>
      </c>
      <c r="C92" s="255" t="s">
        <v>353</v>
      </c>
      <c r="D92" s="255" t="s">
        <v>32</v>
      </c>
      <c r="E92" s="255"/>
      <c r="F92" s="255" t="s">
        <v>352</v>
      </c>
      <c r="G92" s="255" t="s">
        <v>353</v>
      </c>
      <c r="H92" s="255" t="s">
        <v>32</v>
      </c>
      <c r="I92" s="255"/>
      <c r="J92" s="255" t="s">
        <v>352</v>
      </c>
      <c r="K92" s="255" t="s">
        <v>353</v>
      </c>
      <c r="L92" s="255" t="s">
        <v>32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9.0362629858955268E-2</v>
      </c>
      <c r="C94" s="302">
        <v>0.3531271154711812</v>
      </c>
      <c r="D94" s="302">
        <f>SUM(B94:C94)</f>
        <v>0.44348974533013646</v>
      </c>
      <c r="E94" s="303"/>
      <c r="F94" s="302">
        <v>0.3278159711904709</v>
      </c>
      <c r="G94" s="302">
        <v>0.58052057915238098</v>
      </c>
      <c r="H94" s="302">
        <f>SUM(F94:G94)</f>
        <v>0.90833655034285188</v>
      </c>
      <c r="I94" s="303"/>
      <c r="J94" s="302">
        <v>0.26987975702831124</v>
      </c>
      <c r="K94" s="302">
        <v>0.44886223900971317</v>
      </c>
      <c r="L94" s="302">
        <f>SUM(J94:K94)</f>
        <v>0.71874199603802436</v>
      </c>
      <c r="M94" s="236"/>
      <c r="N94" s="236"/>
    </row>
    <row r="95" spans="1:14" x14ac:dyDescent="0.2">
      <c r="A95" s="237" t="str">
        <f>name!E$5</f>
        <v>Professional occupations</v>
      </c>
      <c r="B95" s="302">
        <v>7.692715152093868E-2</v>
      </c>
      <c r="C95" s="302">
        <v>0.16361746882125458</v>
      </c>
      <c r="D95" s="302">
        <f t="shared" ref="D95:D102" si="46">SUM(B95:C95)</f>
        <v>0.24054462034219326</v>
      </c>
      <c r="E95" s="303"/>
      <c r="F95" s="302">
        <v>0.22920464059043552</v>
      </c>
      <c r="G95" s="302">
        <v>0.27134785777051273</v>
      </c>
      <c r="H95" s="302">
        <f t="shared" ref="H95:H102" si="47">SUM(F95:G95)</f>
        <v>0.50055249836094828</v>
      </c>
      <c r="I95" s="303"/>
      <c r="J95" s="302">
        <v>0.19559582100210174</v>
      </c>
      <c r="K95" s="302">
        <v>0.24367214227796083</v>
      </c>
      <c r="L95" s="302">
        <f t="shared" ref="L95:L102" si="48">SUM(J95:K95)</f>
        <v>0.43926796328006257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0.15771143363620693</v>
      </c>
      <c r="C96" s="302">
        <v>0.15011988442173593</v>
      </c>
      <c r="D96" s="302">
        <f t="shared" si="46"/>
        <v>0.30783131805794284</v>
      </c>
      <c r="E96" s="303"/>
      <c r="F96" s="302">
        <v>0.46387139786954507</v>
      </c>
      <c r="G96" s="302">
        <v>0.22477664265139521</v>
      </c>
      <c r="H96" s="302">
        <f t="shared" si="47"/>
        <v>0.68864804052094031</v>
      </c>
      <c r="I96" s="303"/>
      <c r="J96" s="302">
        <v>0.39188646512848258</v>
      </c>
      <c r="K96" s="302">
        <v>0.16564175290975469</v>
      </c>
      <c r="L96" s="302">
        <f t="shared" si="48"/>
        <v>0.55752821803823727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0.1560156027153399</v>
      </c>
      <c r="C97" s="302">
        <v>0.13964059755096858</v>
      </c>
      <c r="D97" s="302">
        <f t="shared" si="46"/>
        <v>0.29565620026630846</v>
      </c>
      <c r="E97" s="303"/>
      <c r="F97" s="302">
        <v>0.29551355414238212</v>
      </c>
      <c r="G97" s="302">
        <v>0.19771094347883336</v>
      </c>
      <c r="H97" s="302">
        <f t="shared" si="47"/>
        <v>0.49322449762121545</v>
      </c>
      <c r="I97" s="303"/>
      <c r="J97" s="302">
        <v>0.19706443864787626</v>
      </c>
      <c r="K97" s="302">
        <v>0.16460855494606336</v>
      </c>
      <c r="L97" s="302">
        <f t="shared" si="48"/>
        <v>0.36167299359393962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0.10590117625574788</v>
      </c>
      <c r="C98" s="302">
        <v>0.47876533143323174</v>
      </c>
      <c r="D98" s="302">
        <f t="shared" si="46"/>
        <v>0.58466650768897965</v>
      </c>
      <c r="E98" s="303"/>
      <c r="F98" s="302">
        <v>0.29732350249478662</v>
      </c>
      <c r="G98" s="302">
        <v>0.53060337357052956</v>
      </c>
      <c r="H98" s="302">
        <f t="shared" si="47"/>
        <v>0.82792687606531623</v>
      </c>
      <c r="I98" s="303"/>
      <c r="J98" s="302">
        <v>0.19336539816208731</v>
      </c>
      <c r="K98" s="302">
        <v>0.34451715481318113</v>
      </c>
      <c r="L98" s="302">
        <f t="shared" si="48"/>
        <v>0.53788255297526844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1.536856719597954E-2</v>
      </c>
      <c r="C99" s="302">
        <v>4.9334213807391914E-3</v>
      </c>
      <c r="D99" s="302">
        <f t="shared" si="46"/>
        <v>2.0301988576718732E-2</v>
      </c>
      <c r="E99" s="303"/>
      <c r="F99" s="302">
        <v>4.4124971394219968E-2</v>
      </c>
      <c r="G99" s="302">
        <v>6.1806444527956438E-3</v>
      </c>
      <c r="H99" s="302">
        <f t="shared" si="47"/>
        <v>5.0305615847015608E-2</v>
      </c>
      <c r="I99" s="303"/>
      <c r="J99" s="302">
        <v>3.3414357636378178E-2</v>
      </c>
      <c r="K99" s="302">
        <v>5.7938166579323902E-3</v>
      </c>
      <c r="L99" s="302">
        <f t="shared" si="48"/>
        <v>3.9208174294310567E-2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6.8975352291097303E-2</v>
      </c>
      <c r="C100" s="302">
        <v>7.9546018573585828E-2</v>
      </c>
      <c r="D100" s="302">
        <f t="shared" si="46"/>
        <v>0.14852137086468314</v>
      </c>
      <c r="E100" s="303"/>
      <c r="F100" s="302">
        <v>0.12530810235276063</v>
      </c>
      <c r="G100" s="302">
        <v>7.8103272135589208E-2</v>
      </c>
      <c r="H100" s="302">
        <f t="shared" si="47"/>
        <v>0.20341137448834984</v>
      </c>
      <c r="I100" s="303"/>
      <c r="J100" s="302">
        <v>8.7819551008919056E-2</v>
      </c>
      <c r="K100" s="302">
        <v>6.5656640196398844E-2</v>
      </c>
      <c r="L100" s="302">
        <f t="shared" si="48"/>
        <v>0.15347619120531791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0.16737875302668695</v>
      </c>
      <c r="C101" s="302">
        <v>0.27693792853415894</v>
      </c>
      <c r="D101" s="302">
        <f t="shared" si="46"/>
        <v>0.44431668156084592</v>
      </c>
      <c r="E101" s="303"/>
      <c r="F101" s="302">
        <v>0.35368449371357352</v>
      </c>
      <c r="G101" s="302">
        <v>0.27289235107282583</v>
      </c>
      <c r="H101" s="302">
        <f t="shared" si="47"/>
        <v>0.6265768447863993</v>
      </c>
      <c r="I101" s="303"/>
      <c r="J101" s="302">
        <v>0.24285401458215927</v>
      </c>
      <c r="K101" s="302">
        <v>0.20696104347868369</v>
      </c>
      <c r="L101" s="302">
        <f t="shared" si="48"/>
        <v>0.44981505806084299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3.135933350612858E-2</v>
      </c>
      <c r="C102" s="302">
        <v>0.16131223383872662</v>
      </c>
      <c r="D102" s="302">
        <f t="shared" si="46"/>
        <v>0.19267156734485519</v>
      </c>
      <c r="E102" s="303"/>
      <c r="F102" s="302">
        <v>4.8153366218515403E-2</v>
      </c>
      <c r="G102" s="302">
        <v>0.15586433569119743</v>
      </c>
      <c r="H102" s="302">
        <f t="shared" si="47"/>
        <v>0.20401770190971283</v>
      </c>
      <c r="I102" s="303"/>
      <c r="J102" s="302">
        <v>3.2120196802002551E-2</v>
      </c>
      <c r="K102" s="302">
        <v>9.628665569776422E-2</v>
      </c>
      <c r="L102" s="302">
        <f t="shared" si="48"/>
        <v>0.12840685249976677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32</v>
      </c>
      <c r="B104" s="311">
        <f>SUM(B94:B102)</f>
        <v>0.87000000000708111</v>
      </c>
      <c r="C104" s="311">
        <f t="shared" ref="C104:D104" si="49">SUM(C94:C102)</f>
        <v>1.8080000000255829</v>
      </c>
      <c r="D104" s="311">
        <f t="shared" si="49"/>
        <v>2.6780000000326645</v>
      </c>
      <c r="E104" s="311"/>
      <c r="F104" s="311">
        <f t="shared" ref="F104:H104" si="50">SUM(F94:F102)</f>
        <v>2.1849999999666903</v>
      </c>
      <c r="G104" s="311">
        <f t="shared" si="50"/>
        <v>2.3179999999760601</v>
      </c>
      <c r="H104" s="311">
        <f t="shared" si="50"/>
        <v>4.5029999999427499</v>
      </c>
      <c r="I104" s="311"/>
      <c r="J104" s="311">
        <f t="shared" ref="J104:L104" si="51">SUM(J94:J102)</f>
        <v>1.6439999999983179</v>
      </c>
      <c r="K104" s="311">
        <f t="shared" si="51"/>
        <v>1.7419999999874523</v>
      </c>
      <c r="L104" s="311">
        <f t="shared" si="51"/>
        <v>3.3859999999857702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35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name!A9</f>
        <v>Wearing apparel; Leather, etc</v>
      </c>
      <c r="B108" s="372">
        <f>B$6</f>
        <v>2015</v>
      </c>
      <c r="C108" s="372"/>
      <c r="D108" s="372"/>
      <c r="E108" s="253"/>
      <c r="F108" s="372">
        <f>F91</f>
        <v>2020</v>
      </c>
      <c r="G108" s="372"/>
      <c r="H108" s="372"/>
      <c r="I108" s="253"/>
      <c r="J108" s="372">
        <f>J91</f>
        <v>2035</v>
      </c>
      <c r="K108" s="372"/>
      <c r="L108" s="372"/>
      <c r="M108" s="236"/>
      <c r="N108" s="236"/>
    </row>
    <row r="109" spans="1:14" x14ac:dyDescent="0.2">
      <c r="A109" s="254"/>
      <c r="B109" s="255" t="s">
        <v>352</v>
      </c>
      <c r="C109" s="255" t="s">
        <v>353</v>
      </c>
      <c r="D109" s="255" t="s">
        <v>32</v>
      </c>
      <c r="E109" s="255"/>
      <c r="F109" s="255" t="s">
        <v>352</v>
      </c>
      <c r="G109" s="255" t="s">
        <v>353</v>
      </c>
      <c r="H109" s="255" t="s">
        <v>32</v>
      </c>
      <c r="I109" s="255"/>
      <c r="J109" s="255" t="s">
        <v>352</v>
      </c>
      <c r="K109" s="255" t="s">
        <v>353</v>
      </c>
      <c r="L109" s="255" t="s">
        <v>32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1.0791004397620623</v>
      </c>
      <c r="C111" s="302">
        <v>0.82967442172054051</v>
      </c>
      <c r="D111" s="302">
        <f>SUM(B111:C111)</f>
        <v>1.9087748614826028</v>
      </c>
      <c r="E111" s="303"/>
      <c r="F111" s="302">
        <v>0.58494740986015303</v>
      </c>
      <c r="G111" s="302">
        <v>0.47985152756462651</v>
      </c>
      <c r="H111" s="302">
        <f>SUM(F111:G111)</f>
        <v>1.0647989374247795</v>
      </c>
      <c r="I111" s="303"/>
      <c r="J111" s="302">
        <v>0.40990916028891972</v>
      </c>
      <c r="K111" s="302">
        <v>0.36717040374069687</v>
      </c>
      <c r="L111" s="302">
        <f>SUM(J111:K111)</f>
        <v>0.77707956402961664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1.0284379946551025</v>
      </c>
      <c r="C112" s="302">
        <v>0.54983127818696498</v>
      </c>
      <c r="D112" s="302">
        <f t="shared" ref="D112:D119" si="52">SUM(B112:C112)</f>
        <v>1.5782692728420675</v>
      </c>
      <c r="E112" s="303"/>
      <c r="F112" s="302">
        <v>0.55828559041347259</v>
      </c>
      <c r="G112" s="302">
        <v>0.26397039688916946</v>
      </c>
      <c r="H112" s="302">
        <f t="shared" ref="H112:H119" si="53">SUM(F112:G112)</f>
        <v>0.82225598730264204</v>
      </c>
      <c r="I112" s="303"/>
      <c r="J112" s="302">
        <v>0.41416703497252388</v>
      </c>
      <c r="K112" s="302">
        <v>0.22821843370101488</v>
      </c>
      <c r="L112" s="302">
        <f t="shared" ref="L112:L119" si="54">SUM(J112:K112)</f>
        <v>0.64238546867353874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1.6603919505144462</v>
      </c>
      <c r="C113" s="302">
        <v>0.57231977178589699</v>
      </c>
      <c r="D113" s="302">
        <f t="shared" si="52"/>
        <v>2.2327117223003432</v>
      </c>
      <c r="E113" s="303"/>
      <c r="F113" s="302">
        <v>0.88241682199108662</v>
      </c>
      <c r="G113" s="302">
        <v>0.26194932268844462</v>
      </c>
      <c r="H113" s="302">
        <f t="shared" si="53"/>
        <v>1.1443661446795312</v>
      </c>
      <c r="I113" s="303"/>
      <c r="J113" s="302">
        <v>0.53501158614348376</v>
      </c>
      <c r="K113" s="302">
        <v>0.18948744050617705</v>
      </c>
      <c r="L113" s="302">
        <f t="shared" si="54"/>
        <v>0.72449902664966082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1.7179043513252612</v>
      </c>
      <c r="C114" s="302">
        <v>0.2836806989660014</v>
      </c>
      <c r="D114" s="302">
        <f t="shared" si="52"/>
        <v>2.0015850502912627</v>
      </c>
      <c r="E114" s="303"/>
      <c r="F114" s="302">
        <v>0.65929264818106437</v>
      </c>
      <c r="G114" s="302">
        <v>0.11103597394024625</v>
      </c>
      <c r="H114" s="302">
        <f t="shared" si="53"/>
        <v>0.77032862212131059</v>
      </c>
      <c r="I114" s="303"/>
      <c r="J114" s="302">
        <v>0.51098554970178023</v>
      </c>
      <c r="K114" s="302">
        <v>8.2862725706295451E-2</v>
      </c>
      <c r="L114" s="302">
        <f t="shared" si="54"/>
        <v>0.59384827540807572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0.84052269819995706</v>
      </c>
      <c r="C115" s="302">
        <v>1.2253339168479551</v>
      </c>
      <c r="D115" s="302">
        <f t="shared" si="52"/>
        <v>2.0658566150479123</v>
      </c>
      <c r="E115" s="303"/>
      <c r="F115" s="302">
        <v>0.57504173143490689</v>
      </c>
      <c r="G115" s="302">
        <v>0.69330766854701642</v>
      </c>
      <c r="H115" s="302">
        <f t="shared" si="53"/>
        <v>1.2683493999819233</v>
      </c>
      <c r="I115" s="303"/>
      <c r="J115" s="302">
        <v>0.61045106561157569</v>
      </c>
      <c r="K115" s="302">
        <v>0.55445380160675595</v>
      </c>
      <c r="L115" s="302">
        <f t="shared" si="54"/>
        <v>1.1649048672183318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6.6097556612621955E-2</v>
      </c>
      <c r="C116" s="302">
        <v>0.15241927902586541</v>
      </c>
      <c r="D116" s="302">
        <f t="shared" si="52"/>
        <v>0.21851683563848737</v>
      </c>
      <c r="E116" s="303"/>
      <c r="F116" s="302">
        <v>4.36158151077288E-2</v>
      </c>
      <c r="G116" s="302">
        <v>5.4616296488348967E-2</v>
      </c>
      <c r="H116" s="302">
        <f t="shared" si="53"/>
        <v>9.8232111596077767E-2</v>
      </c>
      <c r="I116" s="303"/>
      <c r="J116" s="302">
        <v>2.5801237261767779E-2</v>
      </c>
      <c r="K116" s="302">
        <v>5.2234664558679006E-2</v>
      </c>
      <c r="L116" s="302">
        <f t="shared" si="54"/>
        <v>7.8035901820446785E-2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0.62453661611461697</v>
      </c>
      <c r="C117" s="302">
        <v>0.24848811719920202</v>
      </c>
      <c r="D117" s="302">
        <f t="shared" si="52"/>
        <v>0.87302473331381902</v>
      </c>
      <c r="E117" s="303"/>
      <c r="F117" s="302">
        <v>0.22123111108192961</v>
      </c>
      <c r="G117" s="302">
        <v>7.5513488604335058E-2</v>
      </c>
      <c r="H117" s="302">
        <f t="shared" si="53"/>
        <v>0.29674459968626465</v>
      </c>
      <c r="I117" s="303"/>
      <c r="J117" s="302">
        <v>0.16673563927294344</v>
      </c>
      <c r="K117" s="302">
        <v>6.332404879576127E-2</v>
      </c>
      <c r="L117" s="302">
        <f t="shared" si="54"/>
        <v>0.23005968806870469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1.0288325039655788</v>
      </c>
      <c r="C118" s="302">
        <v>1.2575023802049345</v>
      </c>
      <c r="D118" s="302">
        <f t="shared" si="52"/>
        <v>2.2863348841705133</v>
      </c>
      <c r="E118" s="303"/>
      <c r="F118" s="302">
        <v>0.41267859050450523</v>
      </c>
      <c r="G118" s="302">
        <v>0.39611906625670107</v>
      </c>
      <c r="H118" s="302">
        <f t="shared" si="53"/>
        <v>0.8087976567612063</v>
      </c>
      <c r="I118" s="303"/>
      <c r="J118" s="302">
        <v>0.32505693886183079</v>
      </c>
      <c r="K118" s="302">
        <v>0.35642903385703162</v>
      </c>
      <c r="L118" s="302">
        <f t="shared" si="54"/>
        <v>0.68148597271886246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0.31917588889208653</v>
      </c>
      <c r="C119" s="302">
        <v>1.7807501362333373</v>
      </c>
      <c r="D119" s="302">
        <f t="shared" si="52"/>
        <v>2.0999260251254239</v>
      </c>
      <c r="E119" s="303"/>
      <c r="F119" s="302">
        <v>0.14149028138410955</v>
      </c>
      <c r="G119" s="302">
        <v>0.45763625898204258</v>
      </c>
      <c r="H119" s="302">
        <f t="shared" si="53"/>
        <v>0.59912654036615209</v>
      </c>
      <c r="I119" s="303"/>
      <c r="J119" s="302">
        <v>8.4881787898887659E-2</v>
      </c>
      <c r="K119" s="302">
        <v>0.27281944748991444</v>
      </c>
      <c r="L119" s="302">
        <f t="shared" si="54"/>
        <v>0.35770123538880211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32</v>
      </c>
      <c r="B121" s="311">
        <f>SUM(B111:B119)</f>
        <v>8.3650000000417339</v>
      </c>
      <c r="C121" s="311">
        <f t="shared" ref="C121:D121" si="55">SUM(C111:C119)</f>
        <v>6.9000000001706976</v>
      </c>
      <c r="D121" s="311">
        <f t="shared" si="55"/>
        <v>15.265000000212432</v>
      </c>
      <c r="E121" s="311"/>
      <c r="F121" s="311">
        <f t="shared" ref="F121:H121" si="56">SUM(F111:F119)</f>
        <v>4.078999999958957</v>
      </c>
      <c r="G121" s="311">
        <f t="shared" si="56"/>
        <v>2.7939999999609308</v>
      </c>
      <c r="H121" s="311">
        <f t="shared" si="56"/>
        <v>6.8729999999198874</v>
      </c>
      <c r="I121" s="311"/>
      <c r="J121" s="311">
        <f t="shared" ref="J121:L121" si="57">SUM(J111:J119)</f>
        <v>3.0830000000137132</v>
      </c>
      <c r="K121" s="311">
        <f t="shared" si="57"/>
        <v>2.1669999999623268</v>
      </c>
      <c r="L121" s="311">
        <f t="shared" si="57"/>
        <v>5.2499999999760396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35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name!A10</f>
        <v xml:space="preserve">Wood and cork </v>
      </c>
      <c r="B125" s="372">
        <f>B$6</f>
        <v>2015</v>
      </c>
      <c r="C125" s="372"/>
      <c r="D125" s="372"/>
      <c r="E125" s="253"/>
      <c r="F125" s="372">
        <f>F108</f>
        <v>2020</v>
      </c>
      <c r="G125" s="372"/>
      <c r="H125" s="372"/>
      <c r="I125" s="253"/>
      <c r="J125" s="372">
        <f>J108</f>
        <v>2035</v>
      </c>
      <c r="K125" s="372"/>
      <c r="L125" s="372"/>
      <c r="M125" s="236"/>
      <c r="N125" s="236"/>
    </row>
    <row r="126" spans="1:14" x14ac:dyDescent="0.2">
      <c r="A126" s="254"/>
      <c r="B126" s="255" t="s">
        <v>352</v>
      </c>
      <c r="C126" s="255" t="s">
        <v>353</v>
      </c>
      <c r="D126" s="255" t="s">
        <v>32</v>
      </c>
      <c r="E126" s="255"/>
      <c r="F126" s="255" t="s">
        <v>352</v>
      </c>
      <c r="G126" s="255" t="s">
        <v>353</v>
      </c>
      <c r="H126" s="255" t="s">
        <v>32</v>
      </c>
      <c r="I126" s="255"/>
      <c r="J126" s="255" t="s">
        <v>352</v>
      </c>
      <c r="K126" s="255" t="s">
        <v>353</v>
      </c>
      <c r="L126" s="255" t="s">
        <v>32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6.4403330675300977E-2</v>
      </c>
      <c r="C128" s="302">
        <v>0.29891979021483356</v>
      </c>
      <c r="D128" s="302">
        <f>SUM(B128:C128)</f>
        <v>0.36332312089013452</v>
      </c>
      <c r="E128" s="303"/>
      <c r="F128" s="302">
        <v>0.15415869000042132</v>
      </c>
      <c r="G128" s="302">
        <v>0.80918852660672203</v>
      </c>
      <c r="H128" s="302">
        <f>SUM(F128:G128)</f>
        <v>0.96334721660714329</v>
      </c>
      <c r="I128" s="303"/>
      <c r="J128" s="302">
        <v>0.19595662147916756</v>
      </c>
      <c r="K128" s="302">
        <v>0.95175240721975607</v>
      </c>
      <c r="L128" s="302">
        <f>SUM(J128:K128)</f>
        <v>1.1477090286989236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7.8836462874175312E-2</v>
      </c>
      <c r="C129" s="302">
        <v>0.17201317266656066</v>
      </c>
      <c r="D129" s="302">
        <f t="shared" ref="D129:D136" si="58">SUM(B129:C129)</f>
        <v>0.25084963554073597</v>
      </c>
      <c r="E129" s="303"/>
      <c r="F129" s="302">
        <v>0.20203904367010264</v>
      </c>
      <c r="G129" s="302">
        <v>0.42054735210819966</v>
      </c>
      <c r="H129" s="302">
        <f t="shared" ref="H129:H136" si="59">SUM(F129:G129)</f>
        <v>0.62258639577830233</v>
      </c>
      <c r="I129" s="303"/>
      <c r="J129" s="302">
        <v>0.27034728429970628</v>
      </c>
      <c r="K129" s="302">
        <v>0.57833475798040646</v>
      </c>
      <c r="L129" s="302">
        <f t="shared" ref="L129:L136" si="60">SUM(J129:K129)</f>
        <v>0.84868204228011268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6.0024599587343477E-2</v>
      </c>
      <c r="C130" s="302">
        <v>0.29443382005452268</v>
      </c>
      <c r="D130" s="302">
        <f t="shared" si="58"/>
        <v>0.35445841964186614</v>
      </c>
      <c r="E130" s="303"/>
      <c r="F130" s="302">
        <v>0.13404485856291215</v>
      </c>
      <c r="G130" s="302">
        <v>0.63040284952495718</v>
      </c>
      <c r="H130" s="302">
        <f t="shared" si="59"/>
        <v>0.76444770808786933</v>
      </c>
      <c r="I130" s="303"/>
      <c r="J130" s="302">
        <v>0.16196292215760558</v>
      </c>
      <c r="K130" s="302">
        <v>0.72512552279244546</v>
      </c>
      <c r="L130" s="302">
        <f t="shared" si="60"/>
        <v>0.88708844495005101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6.3842425030055189E-2</v>
      </c>
      <c r="C131" s="302">
        <v>3.9121914291260808E-2</v>
      </c>
      <c r="D131" s="302">
        <f t="shared" si="58"/>
        <v>0.10296433932131599</v>
      </c>
      <c r="E131" s="303"/>
      <c r="F131" s="302">
        <v>0.10618769074512048</v>
      </c>
      <c r="G131" s="302">
        <v>8.5681965058375539E-2</v>
      </c>
      <c r="H131" s="302">
        <f t="shared" si="59"/>
        <v>0.19186965580349602</v>
      </c>
      <c r="I131" s="303"/>
      <c r="J131" s="302">
        <v>9.6591358412073766E-2</v>
      </c>
      <c r="K131" s="302">
        <v>9.4757360384490202E-2</v>
      </c>
      <c r="L131" s="302">
        <f t="shared" si="60"/>
        <v>0.19134871879656395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1.4902722493213713E-2</v>
      </c>
      <c r="C132" s="302">
        <v>0.5185387860334808</v>
      </c>
      <c r="D132" s="302">
        <f t="shared" si="58"/>
        <v>0.53344150852669447</v>
      </c>
      <c r="E132" s="303"/>
      <c r="F132" s="302">
        <v>3.1312310232172104E-2</v>
      </c>
      <c r="G132" s="302">
        <v>1.2628159210339609</v>
      </c>
      <c r="H132" s="302">
        <f t="shared" si="59"/>
        <v>1.2941282312661331</v>
      </c>
      <c r="I132" s="303"/>
      <c r="J132" s="302">
        <v>5.2012734743793573E-2</v>
      </c>
      <c r="K132" s="302">
        <v>1.3078326130909461</v>
      </c>
      <c r="L132" s="302">
        <f t="shared" si="60"/>
        <v>1.3598453478347396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1.9303347184678479E-2</v>
      </c>
      <c r="C133" s="302">
        <v>2.7580855087380264E-2</v>
      </c>
      <c r="D133" s="302">
        <f t="shared" si="58"/>
        <v>4.6884202272058743E-2</v>
      </c>
      <c r="E133" s="303"/>
      <c r="F133" s="302">
        <v>3.316584520461293E-2</v>
      </c>
      <c r="G133" s="302">
        <v>5.9509349352042343E-2</v>
      </c>
      <c r="H133" s="302">
        <f t="shared" si="59"/>
        <v>9.2675194556655266E-2</v>
      </c>
      <c r="I133" s="303"/>
      <c r="J133" s="302">
        <v>3.2007505786569274E-2</v>
      </c>
      <c r="K133" s="302">
        <v>0.10714558315784771</v>
      </c>
      <c r="L133" s="302">
        <f t="shared" si="60"/>
        <v>0.13915308894441697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1.8516295974058582E-2</v>
      </c>
      <c r="C134" s="302">
        <v>3.0310028810753648E-2</v>
      </c>
      <c r="D134" s="302">
        <f>SUM(B134:C134)</f>
        <v>4.8826324784812233E-2</v>
      </c>
      <c r="E134" s="303"/>
      <c r="F134" s="302">
        <v>3.1920446592869328E-2</v>
      </c>
      <c r="G134" s="302">
        <v>6.3670149587451652E-2</v>
      </c>
      <c r="H134" s="302">
        <f t="shared" si="59"/>
        <v>9.559059618032098E-2</v>
      </c>
      <c r="I134" s="303"/>
      <c r="J134" s="302">
        <v>3.5775010879539326E-2</v>
      </c>
      <c r="K134" s="302">
        <v>8.1245247790615996E-2</v>
      </c>
      <c r="L134" s="302">
        <f t="shared" si="60"/>
        <v>0.11702025867015532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8.5830753360599497E-3</v>
      </c>
      <c r="C135" s="302">
        <v>0.22688590362661498</v>
      </c>
      <c r="D135" s="302">
        <f t="shared" si="58"/>
        <v>0.23546897896267494</v>
      </c>
      <c r="E135" s="303"/>
      <c r="F135" s="302">
        <v>1.5429990958970819E-2</v>
      </c>
      <c r="G135" s="302">
        <v>0.40516500606466638</v>
      </c>
      <c r="H135" s="302">
        <f t="shared" si="59"/>
        <v>0.42059499702363717</v>
      </c>
      <c r="I135" s="303"/>
      <c r="J135" s="302">
        <v>3.5319587567938932E-2</v>
      </c>
      <c r="K135" s="302">
        <v>0.43489002564083479</v>
      </c>
      <c r="L135" s="302">
        <f t="shared" si="60"/>
        <v>0.47020961320877375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1.758774084506403E-2</v>
      </c>
      <c r="C136" s="302">
        <v>0.10319572922915331</v>
      </c>
      <c r="D136" s="302">
        <f t="shared" si="58"/>
        <v>0.12078347007421733</v>
      </c>
      <c r="E136" s="303"/>
      <c r="F136" s="302">
        <v>2.2741124031980541E-2</v>
      </c>
      <c r="G136" s="302">
        <v>0.16601888058090855</v>
      </c>
      <c r="H136" s="302">
        <f t="shared" si="59"/>
        <v>0.18876000461288908</v>
      </c>
      <c r="I136" s="303"/>
      <c r="J136" s="302">
        <v>1.4026974674577168E-2</v>
      </c>
      <c r="K136" s="302">
        <v>0.13491648180549401</v>
      </c>
      <c r="L136" s="302">
        <f t="shared" si="60"/>
        <v>0.14894345648007118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32</v>
      </c>
      <c r="B138" s="311">
        <f>SUM(B128:B136)</f>
        <v>0.34599999999994974</v>
      </c>
      <c r="C138" s="311">
        <f t="shared" ref="C138" si="61">SUM(C128:C136)</f>
        <v>1.7110000000145604</v>
      </c>
      <c r="D138" s="311">
        <f>SUM(D128:D136)</f>
        <v>2.0570000000145101</v>
      </c>
      <c r="E138" s="311"/>
      <c r="F138" s="311">
        <f t="shared" ref="F138:H138" si="62">SUM(F128:F136)</f>
        <v>0.73099999999916232</v>
      </c>
      <c r="G138" s="311">
        <f t="shared" si="62"/>
        <v>3.902999999917284</v>
      </c>
      <c r="H138" s="311">
        <f t="shared" si="62"/>
        <v>4.6339999999164467</v>
      </c>
      <c r="I138" s="311"/>
      <c r="J138" s="311">
        <f t="shared" ref="J138:L138" si="63">SUM(J128:J136)</f>
        <v>0.89400000000097146</v>
      </c>
      <c r="K138" s="311">
        <f t="shared" si="63"/>
        <v>4.4159999998628363</v>
      </c>
      <c r="L138" s="311">
        <f t="shared" si="63"/>
        <v>5.309999999863809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35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name!A11</f>
        <v>Paper, etc</v>
      </c>
      <c r="B142" s="372">
        <f>B$6</f>
        <v>2015</v>
      </c>
      <c r="C142" s="372"/>
      <c r="D142" s="372"/>
      <c r="E142" s="253"/>
      <c r="F142" s="372">
        <f>F125</f>
        <v>2020</v>
      </c>
      <c r="G142" s="372"/>
      <c r="H142" s="372"/>
      <c r="I142" s="253"/>
      <c r="J142" s="372">
        <f>J125</f>
        <v>2035</v>
      </c>
      <c r="K142" s="372"/>
      <c r="L142" s="372"/>
      <c r="M142" s="236"/>
      <c r="N142" s="236"/>
    </row>
    <row r="143" spans="1:14" x14ac:dyDescent="0.2">
      <c r="A143" s="254"/>
      <c r="B143" s="255" t="s">
        <v>352</v>
      </c>
      <c r="C143" s="255" t="s">
        <v>353</v>
      </c>
      <c r="D143" s="255" t="s">
        <v>32</v>
      </c>
      <c r="E143" s="255"/>
      <c r="F143" s="255" t="s">
        <v>352</v>
      </c>
      <c r="G143" s="255" t="s">
        <v>353</v>
      </c>
      <c r="H143" s="255" t="s">
        <v>32</v>
      </c>
      <c r="I143" s="255"/>
      <c r="J143" s="255" t="s">
        <v>352</v>
      </c>
      <c r="K143" s="255" t="s">
        <v>353</v>
      </c>
      <c r="L143" s="255" t="s">
        <v>32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1.3405721705542795E-2</v>
      </c>
      <c r="C145" s="302">
        <v>8.9750620193712147E-2</v>
      </c>
      <c r="D145" s="302">
        <f>SUM(B145:C145)</f>
        <v>0.10315634189925495</v>
      </c>
      <c r="E145" s="303"/>
      <c r="F145" s="302">
        <v>1.1462432798200084E-2</v>
      </c>
      <c r="G145" s="302">
        <v>5.1543071613342234E-2</v>
      </c>
      <c r="H145" s="302">
        <f>SUM(F145:G145)</f>
        <v>6.3005504411542318E-2</v>
      </c>
      <c r="I145" s="303"/>
      <c r="J145" s="302">
        <v>1.5104669040282254E-2</v>
      </c>
      <c r="K145" s="302">
        <v>6.1784758385332275E-2</v>
      </c>
      <c r="L145" s="302">
        <f>SUM(J145:K145)</f>
        <v>7.6889427425614526E-2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2.2073548764710838E-2</v>
      </c>
      <c r="C146" s="302">
        <v>7.9808520632954516E-2</v>
      </c>
      <c r="D146" s="302">
        <f t="shared" ref="D146:D153" si="64">SUM(B146:C146)</f>
        <v>0.10188206939766535</v>
      </c>
      <c r="E146" s="303"/>
      <c r="F146" s="302">
        <v>2.1100935913133924E-2</v>
      </c>
      <c r="G146" s="302">
        <v>5.2358466605217216E-2</v>
      </c>
      <c r="H146" s="302">
        <f t="shared" ref="H146:H153" si="65">SUM(F146:G146)</f>
        <v>7.3459402518351147E-2</v>
      </c>
      <c r="I146" s="303"/>
      <c r="J146" s="302">
        <v>2.9258188616734425E-2</v>
      </c>
      <c r="K146" s="302">
        <v>6.9493155917242214E-2</v>
      </c>
      <c r="L146" s="302">
        <f t="shared" ref="L146:L153" si="66">SUM(J146:K146)</f>
        <v>9.8751344533976632E-2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4.2368165247522599E-2</v>
      </c>
      <c r="C147" s="302">
        <v>0.14186590809918165</v>
      </c>
      <c r="D147" s="302">
        <f t="shared" si="64"/>
        <v>0.18423407334670425</v>
      </c>
      <c r="E147" s="303"/>
      <c r="F147" s="302">
        <v>3.8133042809298676E-2</v>
      </c>
      <c r="G147" s="302">
        <v>7.5605800678413604E-2</v>
      </c>
      <c r="H147" s="302">
        <f t="shared" si="65"/>
        <v>0.11373884348771228</v>
      </c>
      <c r="I147" s="303"/>
      <c r="J147" s="302">
        <v>4.8291634753052259E-2</v>
      </c>
      <c r="K147" s="302">
        <v>9.4575240800192806E-2</v>
      </c>
      <c r="L147" s="302">
        <f t="shared" si="66"/>
        <v>0.14286687555324507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1.8671722936460043E-2</v>
      </c>
      <c r="C148" s="302">
        <v>6.9254557983721658E-3</v>
      </c>
      <c r="D148" s="302">
        <f t="shared" si="64"/>
        <v>2.5597178734832207E-2</v>
      </c>
      <c r="E148" s="303"/>
      <c r="F148" s="302">
        <v>8.5339407857608508E-3</v>
      </c>
      <c r="G148" s="302">
        <v>3.7033264020165557E-3</v>
      </c>
      <c r="H148" s="302">
        <f t="shared" si="65"/>
        <v>1.2237267187777406E-2</v>
      </c>
      <c r="I148" s="303"/>
      <c r="J148" s="302">
        <v>7.0000337636814862E-3</v>
      </c>
      <c r="K148" s="302">
        <v>3.1495781305100833E-3</v>
      </c>
      <c r="L148" s="302">
        <f t="shared" si="66"/>
        <v>1.0149611894191569E-2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4.3991932004472222E-3</v>
      </c>
      <c r="C149" s="302">
        <v>3.3986396588809982E-2</v>
      </c>
      <c r="D149" s="302">
        <f t="shared" si="64"/>
        <v>3.8385589789257206E-2</v>
      </c>
      <c r="E149" s="303"/>
      <c r="F149" s="302">
        <v>2.4902197110064348E-3</v>
      </c>
      <c r="G149" s="302">
        <v>1.2997275507191736E-2</v>
      </c>
      <c r="H149" s="302">
        <f t="shared" si="65"/>
        <v>1.548749521819817E-2</v>
      </c>
      <c r="I149" s="303"/>
      <c r="J149" s="302">
        <v>2.6758580364602976E-3</v>
      </c>
      <c r="K149" s="302">
        <v>8.6821201811351119E-3</v>
      </c>
      <c r="L149" s="302">
        <f t="shared" si="66"/>
        <v>1.135797821759541E-2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1.5330827862763785E-3</v>
      </c>
      <c r="C150" s="302">
        <v>3.0016214934034551E-3</v>
      </c>
      <c r="D150" s="302">
        <f t="shared" si="64"/>
        <v>4.5347042796798336E-3</v>
      </c>
      <c r="E150" s="303"/>
      <c r="F150" s="302">
        <v>5.0634003491316468E-4</v>
      </c>
      <c r="G150" s="302">
        <v>1.2323445032009117E-3</v>
      </c>
      <c r="H150" s="302">
        <f t="shared" si="65"/>
        <v>1.7386845381140764E-3</v>
      </c>
      <c r="I150" s="303"/>
      <c r="J150" s="302">
        <v>5.2391818719406587E-4</v>
      </c>
      <c r="K150" s="302">
        <v>1.4815567800152165E-3</v>
      </c>
      <c r="L150" s="302">
        <f t="shared" si="66"/>
        <v>2.0054749672092824E-3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9.349882141887908E-3</v>
      </c>
      <c r="C151" s="302">
        <v>1.267054121341849E-2</v>
      </c>
      <c r="D151" s="302">
        <f t="shared" si="64"/>
        <v>2.20204233553064E-2</v>
      </c>
      <c r="E151" s="303"/>
      <c r="F151" s="302">
        <v>4.3572327038399515E-3</v>
      </c>
      <c r="G151" s="302">
        <v>5.0684670914856959E-3</v>
      </c>
      <c r="H151" s="302">
        <f t="shared" si="65"/>
        <v>9.4256997953256483E-3</v>
      </c>
      <c r="I151" s="303"/>
      <c r="J151" s="302">
        <v>4.6899704001001881E-3</v>
      </c>
      <c r="K151" s="302">
        <v>6.0854096953068069E-3</v>
      </c>
      <c r="L151" s="302">
        <f t="shared" si="66"/>
        <v>1.0775380095406996E-2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2.9858303797639734E-3</v>
      </c>
      <c r="C152" s="302">
        <v>1.2529532362673654E-2</v>
      </c>
      <c r="D152" s="302">
        <f t="shared" si="64"/>
        <v>1.5515362742437628E-2</v>
      </c>
      <c r="E152" s="303"/>
      <c r="F152" s="302">
        <v>5.4194840413265865E-4</v>
      </c>
      <c r="G152" s="302">
        <v>4.7438342826923293E-3</v>
      </c>
      <c r="H152" s="302">
        <f t="shared" si="65"/>
        <v>5.2857826868249877E-3</v>
      </c>
      <c r="I152" s="303"/>
      <c r="J152" s="302">
        <v>5.949742284987482E-4</v>
      </c>
      <c r="K152" s="302">
        <v>4.4632986694401258E-3</v>
      </c>
      <c r="L152" s="302">
        <f t="shared" si="66"/>
        <v>5.0582728979388742E-3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1.0212852837322862E-2</v>
      </c>
      <c r="C153" s="302">
        <v>2.9461403617881837E-2</v>
      </c>
      <c r="D153" s="302">
        <f t="shared" si="64"/>
        <v>3.9674256455204698E-2</v>
      </c>
      <c r="E153" s="303"/>
      <c r="F153" s="302">
        <v>1.8739068395719901E-3</v>
      </c>
      <c r="G153" s="302">
        <v>8.7474133171019635E-3</v>
      </c>
      <c r="H153" s="302">
        <f t="shared" si="65"/>
        <v>1.0621320156673953E-2</v>
      </c>
      <c r="I153" s="303"/>
      <c r="J153" s="302">
        <v>1.860752974316128E-3</v>
      </c>
      <c r="K153" s="302">
        <v>6.2848814435838788E-3</v>
      </c>
      <c r="L153" s="302">
        <f t="shared" si="66"/>
        <v>8.1456344179000068E-3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32</v>
      </c>
      <c r="B155" s="311">
        <f>SUM(B145:B153)</f>
        <v>0.12499999999993462</v>
      </c>
      <c r="C155" s="311">
        <f t="shared" ref="C155:D155" si="67">SUM(C145:C153)</f>
        <v>0.41000000000040793</v>
      </c>
      <c r="D155" s="311">
        <f t="shared" si="67"/>
        <v>0.53500000000034253</v>
      </c>
      <c r="E155" s="311"/>
      <c r="F155" s="311">
        <f t="shared" ref="F155:H155" si="68">SUM(F145:F153)</f>
        <v>8.8999999999857735E-2</v>
      </c>
      <c r="G155" s="311">
        <f t="shared" si="68"/>
        <v>0.21600000000066227</v>
      </c>
      <c r="H155" s="311">
        <f t="shared" si="68"/>
        <v>0.30500000000051997</v>
      </c>
      <c r="I155" s="311"/>
      <c r="J155" s="311">
        <f t="shared" ref="J155:L155" si="69">SUM(J145:J153)</f>
        <v>0.11000000000031984</v>
      </c>
      <c r="K155" s="311">
        <f t="shared" si="69"/>
        <v>0.25600000000275852</v>
      </c>
      <c r="L155" s="311">
        <f t="shared" si="69"/>
        <v>0.36600000000307836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35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name!A12</f>
        <v>Printing and recording</v>
      </c>
      <c r="B159" s="372">
        <f>B$6</f>
        <v>2015</v>
      </c>
      <c r="C159" s="372"/>
      <c r="D159" s="372"/>
      <c r="E159" s="253"/>
      <c r="F159" s="372">
        <f>F142</f>
        <v>2020</v>
      </c>
      <c r="G159" s="372"/>
      <c r="H159" s="372"/>
      <c r="I159" s="253"/>
      <c r="J159" s="372">
        <f>J142</f>
        <v>2035</v>
      </c>
      <c r="K159" s="372"/>
      <c r="L159" s="372"/>
      <c r="M159" s="236"/>
      <c r="N159" s="236"/>
    </row>
    <row r="160" spans="1:14" x14ac:dyDescent="0.2">
      <c r="A160" s="254"/>
      <c r="B160" s="255" t="s">
        <v>352</v>
      </c>
      <c r="C160" s="255" t="s">
        <v>353</v>
      </c>
      <c r="D160" s="255" t="s">
        <v>32</v>
      </c>
      <c r="E160" s="255"/>
      <c r="F160" s="255" t="s">
        <v>352</v>
      </c>
      <c r="G160" s="255" t="s">
        <v>353</v>
      </c>
      <c r="H160" s="255" t="s">
        <v>32</v>
      </c>
      <c r="I160" s="255"/>
      <c r="J160" s="255" t="s">
        <v>352</v>
      </c>
      <c r="K160" s="255" t="s">
        <v>353</v>
      </c>
      <c r="L160" s="255" t="s">
        <v>32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0.5918718499705482</v>
      </c>
      <c r="C162" s="302">
        <v>2.7356008003626462</v>
      </c>
      <c r="D162" s="302">
        <f>SUM(B162:C162)</f>
        <v>3.3274726503331946</v>
      </c>
      <c r="E162" s="303"/>
      <c r="F162" s="302">
        <v>0.44797083184112896</v>
      </c>
      <c r="G162" s="302">
        <v>1.8469258563704594</v>
      </c>
      <c r="H162" s="302">
        <f>SUM(F162:G162)</f>
        <v>2.2948966882115882</v>
      </c>
      <c r="I162" s="303"/>
      <c r="J162" s="302">
        <v>0.37096548422644265</v>
      </c>
      <c r="K162" s="302">
        <v>1.3726141830034051</v>
      </c>
      <c r="L162" s="302">
        <f>SUM(J162:K162)</f>
        <v>1.7435796672298478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1.0492242048982117</v>
      </c>
      <c r="C163" s="302">
        <v>2.3585231210767015</v>
      </c>
      <c r="D163" s="302">
        <f t="shared" ref="D163:D170" si="70">SUM(B163:C163)</f>
        <v>3.4077473259749134</v>
      </c>
      <c r="E163" s="303"/>
      <c r="F163" s="302">
        <v>0.84300986559660984</v>
      </c>
      <c r="G163" s="302">
        <v>1.8153150244699683</v>
      </c>
      <c r="H163" s="302">
        <f t="shared" ref="H163:H170" si="71">SUM(F163:G163)</f>
        <v>2.6583248900665781</v>
      </c>
      <c r="I163" s="303"/>
      <c r="J163" s="302">
        <v>0.72705604148235714</v>
      </c>
      <c r="K163" s="302">
        <v>1.4117799428983318</v>
      </c>
      <c r="L163" s="302">
        <f t="shared" ref="L163:L170" si="72">SUM(J163:K163)</f>
        <v>2.1388359843806888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2.1552165912183647</v>
      </c>
      <c r="C164" s="302">
        <v>3.8771631658262198</v>
      </c>
      <c r="D164" s="302">
        <f t="shared" si="70"/>
        <v>6.0323797570445841</v>
      </c>
      <c r="E164" s="303"/>
      <c r="F164" s="302">
        <v>1.6015901199277123</v>
      </c>
      <c r="G164" s="302">
        <v>2.8510369924243708</v>
      </c>
      <c r="H164" s="302">
        <f t="shared" si="71"/>
        <v>4.4526271123520829</v>
      </c>
      <c r="I164" s="303"/>
      <c r="J164" s="302">
        <v>1.2703189537883186</v>
      </c>
      <c r="K164" s="302">
        <v>2.1439048806008216</v>
      </c>
      <c r="L164" s="302">
        <f t="shared" si="72"/>
        <v>3.4142238343891402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0.67981948626507027</v>
      </c>
      <c r="C165" s="302">
        <v>0.18717091185061571</v>
      </c>
      <c r="D165" s="302">
        <f t="shared" si="70"/>
        <v>0.86699039811568601</v>
      </c>
      <c r="E165" s="303"/>
      <c r="F165" s="302">
        <v>0.39154797999937768</v>
      </c>
      <c r="G165" s="302">
        <v>0.12653603221712639</v>
      </c>
      <c r="H165" s="302">
        <f t="shared" si="71"/>
        <v>0.51808401221650402</v>
      </c>
      <c r="I165" s="303"/>
      <c r="J165" s="302">
        <v>0.21051759113023211</v>
      </c>
      <c r="K165" s="302">
        <v>6.9481421039722185E-2</v>
      </c>
      <c r="L165" s="302">
        <f t="shared" si="72"/>
        <v>0.27999901216995426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0.19122260414494816</v>
      </c>
      <c r="C166" s="302">
        <v>0.96393616410533267</v>
      </c>
      <c r="D166" s="302">
        <f t="shared" si="70"/>
        <v>1.1551587682502809</v>
      </c>
      <c r="E166" s="303"/>
      <c r="F166" s="302">
        <v>0.10860060650584821</v>
      </c>
      <c r="G166" s="302">
        <v>0.44466957624755515</v>
      </c>
      <c r="H166" s="302">
        <f t="shared" si="71"/>
        <v>0.55327018275340334</v>
      </c>
      <c r="I166" s="303"/>
      <c r="J166" s="302">
        <v>8.2514172248165027E-2</v>
      </c>
      <c r="K166" s="302">
        <v>0.18793987969108916</v>
      </c>
      <c r="L166" s="302">
        <f t="shared" si="72"/>
        <v>0.2704540519392542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3.421624973597398E-2</v>
      </c>
      <c r="C167" s="302">
        <v>5.2125327853086718E-2</v>
      </c>
      <c r="D167" s="302">
        <f t="shared" si="70"/>
        <v>8.6341577589060692E-2</v>
      </c>
      <c r="E167" s="303"/>
      <c r="F167" s="302">
        <v>2.0995543243557537E-2</v>
      </c>
      <c r="G167" s="302">
        <v>3.9643571417049966E-2</v>
      </c>
      <c r="H167" s="302">
        <f t="shared" si="71"/>
        <v>6.0639114660607507E-2</v>
      </c>
      <c r="I167" s="303"/>
      <c r="J167" s="302">
        <v>1.4778731440800968E-2</v>
      </c>
      <c r="K167" s="302">
        <v>3.2711907442221175E-2</v>
      </c>
      <c r="L167" s="302">
        <f t="shared" si="72"/>
        <v>4.7490638883022143E-2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0.2939015837106036</v>
      </c>
      <c r="C168" s="302">
        <v>0.31414760766754229</v>
      </c>
      <c r="D168" s="302">
        <f t="shared" si="70"/>
        <v>0.60804919137814584</v>
      </c>
      <c r="E168" s="303"/>
      <c r="F168" s="302">
        <v>0.16707529629537499</v>
      </c>
      <c r="G168" s="302">
        <v>0.18926006747093252</v>
      </c>
      <c r="H168" s="302">
        <f t="shared" si="71"/>
        <v>0.35633536376630748</v>
      </c>
      <c r="I168" s="303"/>
      <c r="J168" s="302">
        <v>0.11433916564193401</v>
      </c>
      <c r="K168" s="302">
        <v>0.13437910650632465</v>
      </c>
      <c r="L168" s="302">
        <f t="shared" si="72"/>
        <v>0.24871827214825865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3.0138894658382705E-2</v>
      </c>
      <c r="C169" s="302">
        <v>0.22999505734151063</v>
      </c>
      <c r="D169" s="302">
        <f t="shared" si="70"/>
        <v>0.26013395199989331</v>
      </c>
      <c r="E169" s="303"/>
      <c r="F169" s="302">
        <v>1.5711219579614785E-2</v>
      </c>
      <c r="G169" s="302">
        <v>0.14250557853747317</v>
      </c>
      <c r="H169" s="302">
        <f t="shared" si="71"/>
        <v>0.15821679811708794</v>
      </c>
      <c r="I169" s="303"/>
      <c r="J169" s="302">
        <v>1.4452209446478643E-2</v>
      </c>
      <c r="K169" s="302">
        <v>9.1937027515249362E-2</v>
      </c>
      <c r="L169" s="302">
        <f t="shared" si="72"/>
        <v>0.106389236961728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0.18738853535553876</v>
      </c>
      <c r="C170" s="302">
        <v>0.41733784390094242</v>
      </c>
      <c r="D170" s="302">
        <f t="shared" si="70"/>
        <v>0.60472637925648121</v>
      </c>
      <c r="E170" s="303"/>
      <c r="F170" s="302">
        <v>8.1498537000475171E-2</v>
      </c>
      <c r="G170" s="302">
        <v>0.24910730090269909</v>
      </c>
      <c r="H170" s="302">
        <f t="shared" si="71"/>
        <v>0.33060583790317427</v>
      </c>
      <c r="I170" s="303"/>
      <c r="J170" s="302">
        <v>3.9057650601956567E-2</v>
      </c>
      <c r="K170" s="302">
        <v>0.10725165140115328</v>
      </c>
      <c r="L170" s="302">
        <f t="shared" si="72"/>
        <v>0.14630930200310985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32</v>
      </c>
      <c r="B172" s="311">
        <f>SUM(B162:B170)</f>
        <v>5.212999999957642</v>
      </c>
      <c r="C172" s="311">
        <f t="shared" ref="C172:D172" si="73">SUM(C162:C170)</f>
        <v>11.135999999984598</v>
      </c>
      <c r="D172" s="311">
        <f t="shared" si="73"/>
        <v>16.34899999994224</v>
      </c>
      <c r="E172" s="311"/>
      <c r="F172" s="311">
        <f t="shared" ref="F172:H172" si="74">SUM(F162:F170)</f>
        <v>3.6779999999896993</v>
      </c>
      <c r="G172" s="311">
        <f t="shared" si="74"/>
        <v>7.705000000057634</v>
      </c>
      <c r="H172" s="311">
        <f t="shared" si="74"/>
        <v>11.383000000047334</v>
      </c>
      <c r="I172" s="311"/>
      <c r="J172" s="311">
        <f t="shared" ref="J172:L172" si="75">SUM(J162:J170)</f>
        <v>2.8440000000066856</v>
      </c>
      <c r="K172" s="311">
        <f t="shared" si="75"/>
        <v>5.5520000000983174</v>
      </c>
      <c r="L172" s="311">
        <f t="shared" si="75"/>
        <v>8.396000000105003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35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name!A13</f>
        <v>Coke and petroleum; Chemicals, etc</v>
      </c>
      <c r="B176" s="372">
        <f>B$6</f>
        <v>2015</v>
      </c>
      <c r="C176" s="372"/>
      <c r="D176" s="372"/>
      <c r="E176" s="253"/>
      <c r="F176" s="372">
        <f>F159</f>
        <v>2020</v>
      </c>
      <c r="G176" s="372"/>
      <c r="H176" s="372"/>
      <c r="I176" s="253"/>
      <c r="J176" s="372">
        <f>J159</f>
        <v>2035</v>
      </c>
      <c r="K176" s="372"/>
      <c r="L176" s="372"/>
      <c r="M176" s="236"/>
      <c r="N176" s="236"/>
    </row>
    <row r="177" spans="1:14" x14ac:dyDescent="0.2">
      <c r="A177" s="254"/>
      <c r="B177" s="255" t="s">
        <v>352</v>
      </c>
      <c r="C177" s="255" t="s">
        <v>353</v>
      </c>
      <c r="D177" s="255" t="s">
        <v>32</v>
      </c>
      <c r="E177" s="255"/>
      <c r="F177" s="255" t="s">
        <v>352</v>
      </c>
      <c r="G177" s="255" t="s">
        <v>353</v>
      </c>
      <c r="H177" s="255" t="s">
        <v>32</v>
      </c>
      <c r="I177" s="255"/>
      <c r="J177" s="255" t="s">
        <v>352</v>
      </c>
      <c r="K177" s="255" t="s">
        <v>353</v>
      </c>
      <c r="L177" s="255" t="s">
        <v>32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0.14892725788934885</v>
      </c>
      <c r="C179" s="302">
        <v>0.31689688386659143</v>
      </c>
      <c r="D179" s="302">
        <f>SUM(B179:C179)</f>
        <v>0.46582414175594028</v>
      </c>
      <c r="E179" s="303"/>
      <c r="F179" s="302">
        <v>0.15269472270078002</v>
      </c>
      <c r="G179" s="302">
        <v>0.31426359826084249</v>
      </c>
      <c r="H179" s="302">
        <f>SUM(F179:G179)</f>
        <v>0.46695832096162249</v>
      </c>
      <c r="I179" s="303"/>
      <c r="J179" s="302">
        <v>0.11150210731250577</v>
      </c>
      <c r="K179" s="302">
        <v>0.18557934345138927</v>
      </c>
      <c r="L179" s="302">
        <f>SUM(J179:K179)</f>
        <v>0.29708145076389503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0.26321782775838443</v>
      </c>
      <c r="C180" s="302">
        <v>0.49878360923488541</v>
      </c>
      <c r="D180" s="302">
        <f t="shared" ref="D180:D187" si="76">SUM(B180:C180)</f>
        <v>0.76200143699326983</v>
      </c>
      <c r="E180" s="303"/>
      <c r="F180" s="302">
        <v>0.29675297558569197</v>
      </c>
      <c r="G180" s="302">
        <v>0.65449162667310379</v>
      </c>
      <c r="H180" s="302">
        <f t="shared" ref="H180:H187" si="77">SUM(F180:G180)</f>
        <v>0.9512446022587957</v>
      </c>
      <c r="I180" s="303"/>
      <c r="J180" s="302">
        <v>0.23892203438855247</v>
      </c>
      <c r="K180" s="302">
        <v>0.48158916077415398</v>
      </c>
      <c r="L180" s="302">
        <f t="shared" ref="L180:L187" si="78">SUM(J180:K180)</f>
        <v>0.72051119516270645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0.17642171336240328</v>
      </c>
      <c r="C181" s="302">
        <v>0.31297611327364372</v>
      </c>
      <c r="D181" s="302">
        <f t="shared" si="76"/>
        <v>0.48939782663604703</v>
      </c>
      <c r="E181" s="303"/>
      <c r="F181" s="302">
        <v>0.17998289880010404</v>
      </c>
      <c r="G181" s="302">
        <v>0.34308551342912991</v>
      </c>
      <c r="H181" s="302">
        <f t="shared" si="77"/>
        <v>0.52306841222923395</v>
      </c>
      <c r="I181" s="303"/>
      <c r="J181" s="302">
        <v>0.12728963863690779</v>
      </c>
      <c r="K181" s="302">
        <v>0.23355643289503153</v>
      </c>
      <c r="L181" s="302">
        <f t="shared" si="78"/>
        <v>0.36084607153193932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0.11951042466664216</v>
      </c>
      <c r="C182" s="302">
        <v>0.14676620799562717</v>
      </c>
      <c r="D182" s="302">
        <f t="shared" si="76"/>
        <v>0.26627663266226931</v>
      </c>
      <c r="E182" s="303"/>
      <c r="F182" s="302">
        <v>0.1038109919200547</v>
      </c>
      <c r="G182" s="302">
        <v>0.13473361975855308</v>
      </c>
      <c r="H182" s="302">
        <f t="shared" si="77"/>
        <v>0.2385446116786078</v>
      </c>
      <c r="I182" s="303"/>
      <c r="J182" s="302">
        <v>5.5049315203769572E-2</v>
      </c>
      <c r="K182" s="302">
        <v>8.4226815079743611E-2</v>
      </c>
      <c r="L182" s="302">
        <f t="shared" si="78"/>
        <v>0.13927613028351318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9.3631605447243756E-3</v>
      </c>
      <c r="C183" s="302">
        <v>0.12640236190679868</v>
      </c>
      <c r="D183" s="302">
        <f t="shared" si="76"/>
        <v>0.13576552245152307</v>
      </c>
      <c r="E183" s="303"/>
      <c r="F183" s="302">
        <v>1.1900242241953447E-2</v>
      </c>
      <c r="G183" s="302">
        <v>0.11508580876031541</v>
      </c>
      <c r="H183" s="302">
        <f t="shared" si="77"/>
        <v>0.12698605100226884</v>
      </c>
      <c r="I183" s="303"/>
      <c r="J183" s="302">
        <v>1.2478755709025662E-2</v>
      </c>
      <c r="K183" s="302">
        <v>7.1418006959763108E-2</v>
      </c>
      <c r="L183" s="302">
        <f t="shared" si="78"/>
        <v>8.3896762668788774E-2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3.5955322573307823E-2</v>
      </c>
      <c r="C184" s="302">
        <v>1.087827801413838E-2</v>
      </c>
      <c r="D184" s="302">
        <f t="shared" si="76"/>
        <v>4.6833600587446206E-2</v>
      </c>
      <c r="E184" s="303"/>
      <c r="F184" s="302">
        <v>4.8538569111448868E-2</v>
      </c>
      <c r="G184" s="302">
        <v>1.1352629816364595E-2</v>
      </c>
      <c r="H184" s="302">
        <f t="shared" si="77"/>
        <v>5.9891198927813465E-2</v>
      </c>
      <c r="I184" s="303"/>
      <c r="J184" s="302">
        <v>2.8740782925030017E-2</v>
      </c>
      <c r="K184" s="302">
        <v>1.0282762073121387E-2</v>
      </c>
      <c r="L184" s="302">
        <f t="shared" si="78"/>
        <v>3.9023544998151402E-2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6.2987131760781981E-2</v>
      </c>
      <c r="C185" s="302">
        <v>2.989996380508702E-2</v>
      </c>
      <c r="D185" s="302">
        <f t="shared" si="76"/>
        <v>9.2887095565868993E-2</v>
      </c>
      <c r="E185" s="303"/>
      <c r="F185" s="302">
        <v>5.657912878810871E-2</v>
      </c>
      <c r="G185" s="302">
        <v>2.5882475966139424E-2</v>
      </c>
      <c r="H185" s="302">
        <f t="shared" si="77"/>
        <v>8.246160475424813E-2</v>
      </c>
      <c r="I185" s="303"/>
      <c r="J185" s="302">
        <v>3.7764826300983705E-2</v>
      </c>
      <c r="K185" s="302">
        <v>1.8806770659189641E-2</v>
      </c>
      <c r="L185" s="302">
        <f t="shared" si="78"/>
        <v>5.6571596960173345E-2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2.3499169586007302E-2</v>
      </c>
      <c r="C186" s="302">
        <v>0.27689216876957001</v>
      </c>
      <c r="D186" s="302">
        <f t="shared" si="76"/>
        <v>0.3003913383555773</v>
      </c>
      <c r="E186" s="303"/>
      <c r="F186" s="302">
        <v>4.7735834791806861E-2</v>
      </c>
      <c r="G186" s="302">
        <v>0.19974056667087442</v>
      </c>
      <c r="H186" s="302">
        <f t="shared" si="77"/>
        <v>0.24747640146268129</v>
      </c>
      <c r="I186" s="303"/>
      <c r="J186" s="302">
        <v>4.0068296463702309E-2</v>
      </c>
      <c r="K186" s="302">
        <v>0.13000379573937523</v>
      </c>
      <c r="L186" s="302">
        <f t="shared" si="78"/>
        <v>0.17007209220307754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4.4117991852460764E-2</v>
      </c>
      <c r="C187" s="302">
        <v>0.1975044131440746</v>
      </c>
      <c r="D187" s="302">
        <f t="shared" si="76"/>
        <v>0.24162240499653537</v>
      </c>
      <c r="E187" s="303"/>
      <c r="F187" s="302">
        <v>7.0004636053934033E-2</v>
      </c>
      <c r="G187" s="302">
        <v>0.1533641606595498</v>
      </c>
      <c r="H187" s="302">
        <f t="shared" si="77"/>
        <v>0.22336879671348384</v>
      </c>
      <c r="I187" s="303"/>
      <c r="J187" s="302">
        <v>4.1184243058545705E-2</v>
      </c>
      <c r="K187" s="302">
        <v>9.553691236566024E-2</v>
      </c>
      <c r="L187" s="302">
        <f t="shared" si="78"/>
        <v>0.13672115542420593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32</v>
      </c>
      <c r="B189" s="311">
        <f>SUM(B179:B187)</f>
        <v>0.88399999999406098</v>
      </c>
      <c r="C189" s="311">
        <f t="shared" ref="C189:D189" si="79">SUM(C179:C187)</f>
        <v>1.9170000000104164</v>
      </c>
      <c r="D189" s="311">
        <f t="shared" si="79"/>
        <v>2.8010000000044775</v>
      </c>
      <c r="E189" s="311"/>
      <c r="F189" s="311">
        <f t="shared" ref="F189:H189" si="80">SUM(F179:F187)</f>
        <v>0.96799999999388264</v>
      </c>
      <c r="G189" s="311">
        <f t="shared" si="80"/>
        <v>1.9519999999948729</v>
      </c>
      <c r="H189" s="311">
        <f t="shared" si="80"/>
        <v>2.9199999999887547</v>
      </c>
      <c r="I189" s="311"/>
      <c r="J189" s="311">
        <f t="shared" ref="J189:L189" si="81">SUM(J179:J187)</f>
        <v>0.69299999999902306</v>
      </c>
      <c r="K189" s="311">
        <f t="shared" si="81"/>
        <v>1.310999999997428</v>
      </c>
      <c r="L189" s="311">
        <f t="shared" si="81"/>
        <v>2.0039999999964513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35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name!A14</f>
        <v>Pharmaceuticals</v>
      </c>
      <c r="B193" s="372">
        <f>B$6</f>
        <v>2015</v>
      </c>
      <c r="C193" s="372"/>
      <c r="D193" s="372"/>
      <c r="E193" s="253"/>
      <c r="F193" s="372">
        <f>F176</f>
        <v>2020</v>
      </c>
      <c r="G193" s="372"/>
      <c r="H193" s="372"/>
      <c r="I193" s="253"/>
      <c r="J193" s="372">
        <f>J176</f>
        <v>2035</v>
      </c>
      <c r="K193" s="372"/>
      <c r="L193" s="372"/>
      <c r="M193" s="236"/>
      <c r="N193" s="236"/>
    </row>
    <row r="194" spans="1:14" x14ac:dyDescent="0.2">
      <c r="A194" s="254"/>
      <c r="B194" s="255" t="s">
        <v>352</v>
      </c>
      <c r="C194" s="255" t="s">
        <v>353</v>
      </c>
      <c r="D194" s="255" t="s">
        <v>32</v>
      </c>
      <c r="E194" s="255"/>
      <c r="F194" s="255" t="s">
        <v>352</v>
      </c>
      <c r="G194" s="255" t="s">
        <v>353</v>
      </c>
      <c r="H194" s="255" t="s">
        <v>32</v>
      </c>
      <c r="I194" s="255"/>
      <c r="J194" s="255" t="s">
        <v>352</v>
      </c>
      <c r="K194" s="255" t="s">
        <v>353</v>
      </c>
      <c r="L194" s="255" t="s">
        <v>32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7.9860615033566076E-2</v>
      </c>
      <c r="C196" s="302">
        <v>0.20492570623026823</v>
      </c>
      <c r="D196" s="302">
        <f>SUM(B196:C196)</f>
        <v>0.2847863212638343</v>
      </c>
      <c r="E196" s="303"/>
      <c r="F196" s="302">
        <v>7.5601353163654642E-2</v>
      </c>
      <c r="G196" s="302">
        <v>0.23961383014302362</v>
      </c>
      <c r="H196" s="302">
        <f>SUM(F196:G196)</f>
        <v>0.31521518330667825</v>
      </c>
      <c r="I196" s="303"/>
      <c r="J196" s="302">
        <v>5.7417572778954276E-2</v>
      </c>
      <c r="K196" s="302">
        <v>0.20759295026483815</v>
      </c>
      <c r="L196" s="302">
        <f>SUM(J196:K196)</f>
        <v>0.26501052304379241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0.52805715329703029</v>
      </c>
      <c r="C197" s="302">
        <v>0.38564801311881625</v>
      </c>
      <c r="D197" s="302">
        <f t="shared" ref="D197:D204" si="82">SUM(B197:C197)</f>
        <v>0.91370516641584654</v>
      </c>
      <c r="E197" s="303"/>
      <c r="F197" s="302">
        <v>0.5612449442806311</v>
      </c>
      <c r="G197" s="302">
        <v>0.42456280191387918</v>
      </c>
      <c r="H197" s="302">
        <f t="shared" ref="H197:H204" si="83">SUM(F197:G197)</f>
        <v>0.98580774619451028</v>
      </c>
      <c r="I197" s="303"/>
      <c r="J197" s="302">
        <v>0.44892239700949993</v>
      </c>
      <c r="K197" s="302">
        <v>0.35359835605548684</v>
      </c>
      <c r="L197" s="302">
        <f t="shared" ref="L197:L204" si="84">SUM(J197:K197)</f>
        <v>0.80252075306498671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0.20103816575711966</v>
      </c>
      <c r="C198" s="302">
        <v>0.1983839136624673</v>
      </c>
      <c r="D198" s="302">
        <f t="shared" si="82"/>
        <v>0.39942207941958696</v>
      </c>
      <c r="E198" s="303"/>
      <c r="F198" s="302">
        <v>0.19438606701186581</v>
      </c>
      <c r="G198" s="302">
        <v>0.23188428771888936</v>
      </c>
      <c r="H198" s="302">
        <f t="shared" si="83"/>
        <v>0.42627035473075514</v>
      </c>
      <c r="I198" s="303"/>
      <c r="J198" s="302">
        <v>0.13803549967687442</v>
      </c>
      <c r="K198" s="302">
        <v>0.18716054832929221</v>
      </c>
      <c r="L198" s="302">
        <f t="shared" si="84"/>
        <v>0.32519604800616664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7.5547698975270611E-2</v>
      </c>
      <c r="C199" s="302">
        <v>2.9236102285430936E-2</v>
      </c>
      <c r="D199" s="302">
        <f t="shared" si="82"/>
        <v>0.10478380126070155</v>
      </c>
      <c r="E199" s="303"/>
      <c r="F199" s="302">
        <v>5.9528439820343074E-2</v>
      </c>
      <c r="G199" s="302">
        <v>2.9013210718902473E-2</v>
      </c>
      <c r="H199" s="302">
        <f t="shared" si="83"/>
        <v>8.8541650539245551E-2</v>
      </c>
      <c r="I199" s="303"/>
      <c r="J199" s="302">
        <v>2.7143732539058895E-2</v>
      </c>
      <c r="K199" s="302">
        <v>2.507738151448952E-2</v>
      </c>
      <c r="L199" s="302">
        <f t="shared" si="84"/>
        <v>5.2221114053548415E-2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6.4196854893870149E-3</v>
      </c>
      <c r="C200" s="302">
        <v>9.0519891535566596E-2</v>
      </c>
      <c r="D200" s="302">
        <f t="shared" si="82"/>
        <v>9.6939577024953608E-2</v>
      </c>
      <c r="E200" s="303"/>
      <c r="F200" s="302">
        <v>5.2815339209118795E-3</v>
      </c>
      <c r="G200" s="302">
        <v>7.4822559240401182E-2</v>
      </c>
      <c r="H200" s="302">
        <f t="shared" si="83"/>
        <v>8.0104093161313061E-2</v>
      </c>
      <c r="I200" s="303"/>
      <c r="J200" s="302">
        <v>9.2030527067246074E-3</v>
      </c>
      <c r="K200" s="302">
        <v>5.5051629935509654E-2</v>
      </c>
      <c r="L200" s="302">
        <f t="shared" si="84"/>
        <v>6.4254682642234259E-2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1.775791553108727E-2</v>
      </c>
      <c r="C201" s="302">
        <v>1.7595932339939856E-2</v>
      </c>
      <c r="D201" s="302">
        <f t="shared" si="82"/>
        <v>3.5353847871027126E-2</v>
      </c>
      <c r="E201" s="303"/>
      <c r="F201" s="302">
        <v>1.2323384126529795E-2</v>
      </c>
      <c r="G201" s="302">
        <v>1.5004695093497063E-2</v>
      </c>
      <c r="H201" s="302">
        <f t="shared" si="83"/>
        <v>2.7328079220026856E-2</v>
      </c>
      <c r="I201" s="303"/>
      <c r="J201" s="302">
        <v>6.2689348487217286E-3</v>
      </c>
      <c r="K201" s="302">
        <v>1.4807196696364676E-2</v>
      </c>
      <c r="L201" s="302">
        <f t="shared" si="84"/>
        <v>2.1076131545086405E-2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2.7080479905611628E-2</v>
      </c>
      <c r="C202" s="302">
        <v>1.9440087828413128E-2</v>
      </c>
      <c r="D202" s="302">
        <f t="shared" si="82"/>
        <v>4.6520567734024756E-2</v>
      </c>
      <c r="E202" s="303"/>
      <c r="F202" s="302">
        <v>2.0872324074559721E-2</v>
      </c>
      <c r="G202" s="302">
        <v>2.2008232898732362E-2</v>
      </c>
      <c r="H202" s="302">
        <f t="shared" si="83"/>
        <v>4.2880556973292086E-2</v>
      </c>
      <c r="I202" s="303"/>
      <c r="J202" s="302">
        <v>1.4482721089850161E-2</v>
      </c>
      <c r="K202" s="302">
        <v>1.9059059689104169E-2</v>
      </c>
      <c r="L202" s="302">
        <f t="shared" si="84"/>
        <v>3.3541780778954332E-2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1.5798975446920875E-2</v>
      </c>
      <c r="C203" s="302">
        <v>7.9827764296874756E-2</v>
      </c>
      <c r="D203" s="302">
        <f t="shared" si="82"/>
        <v>9.5626739743795625E-2</v>
      </c>
      <c r="E203" s="303"/>
      <c r="F203" s="302">
        <v>1.1606055943557601E-2</v>
      </c>
      <c r="G203" s="302">
        <v>0.10221011413958019</v>
      </c>
      <c r="H203" s="302">
        <f t="shared" si="83"/>
        <v>0.11381617008313778</v>
      </c>
      <c r="I203" s="303"/>
      <c r="J203" s="302">
        <v>1.4054307941256982E-2</v>
      </c>
      <c r="K203" s="302">
        <v>7.9194931588116746E-2</v>
      </c>
      <c r="L203" s="302">
        <f t="shared" si="84"/>
        <v>9.3249239529373723E-2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8.2439310557932716E-2</v>
      </c>
      <c r="C204" s="302">
        <v>8.1422588701982254E-2</v>
      </c>
      <c r="D204" s="302">
        <f t="shared" si="82"/>
        <v>0.16386189925991496</v>
      </c>
      <c r="E204" s="303"/>
      <c r="F204" s="302">
        <v>4.1155897661840767E-2</v>
      </c>
      <c r="G204" s="302">
        <v>5.4880268138853626E-2</v>
      </c>
      <c r="H204" s="302">
        <f t="shared" si="83"/>
        <v>9.6036165800694392E-2</v>
      </c>
      <c r="I204" s="303"/>
      <c r="J204" s="302">
        <v>2.7471781412314794E-2</v>
      </c>
      <c r="K204" s="302">
        <v>4.3457945937636897E-2</v>
      </c>
      <c r="L204" s="302">
        <f t="shared" si="84"/>
        <v>7.0929727349951691E-2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32</v>
      </c>
      <c r="B206" s="311">
        <f>SUM(B196:B204)</f>
        <v>1.033999999993926</v>
      </c>
      <c r="C206" s="311">
        <f t="shared" ref="C206:D206" si="85">SUM(C196:C204)</f>
        <v>1.1069999999997593</v>
      </c>
      <c r="D206" s="311">
        <f t="shared" si="85"/>
        <v>2.1409999999936855</v>
      </c>
      <c r="E206" s="311"/>
      <c r="F206" s="311">
        <f t="shared" ref="F206:H206" si="86">SUM(F196:F204)</f>
        <v>0.98200000000389442</v>
      </c>
      <c r="G206" s="311">
        <f t="shared" si="86"/>
        <v>1.1940000000057589</v>
      </c>
      <c r="H206" s="311">
        <f t="shared" si="86"/>
        <v>2.1760000000096533</v>
      </c>
      <c r="I206" s="311"/>
      <c r="J206" s="311">
        <f t="shared" ref="J206:L206" si="87">SUM(J196:J204)</f>
        <v>0.74300000000325572</v>
      </c>
      <c r="K206" s="311">
        <f t="shared" si="87"/>
        <v>0.98500000001083876</v>
      </c>
      <c r="L206" s="311">
        <f t="shared" si="87"/>
        <v>1.7280000000140949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35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name!A15</f>
        <v>Rubber and plastic</v>
      </c>
      <c r="B210" s="372">
        <f>B$6</f>
        <v>2015</v>
      </c>
      <c r="C210" s="372"/>
      <c r="D210" s="372"/>
      <c r="E210" s="253"/>
      <c r="F210" s="372">
        <f>F193</f>
        <v>2020</v>
      </c>
      <c r="G210" s="372"/>
      <c r="H210" s="372"/>
      <c r="I210" s="253"/>
      <c r="J210" s="372">
        <f>J193</f>
        <v>2035</v>
      </c>
      <c r="K210" s="372"/>
      <c r="L210" s="372"/>
      <c r="M210" s="236"/>
      <c r="N210" s="236"/>
    </row>
    <row r="211" spans="1:14" x14ac:dyDescent="0.2">
      <c r="A211" s="254"/>
      <c r="B211" s="255" t="s">
        <v>352</v>
      </c>
      <c r="C211" s="255" t="s">
        <v>353</v>
      </c>
      <c r="D211" s="255" t="s">
        <v>32</v>
      </c>
      <c r="E211" s="255"/>
      <c r="F211" s="255" t="s">
        <v>352</v>
      </c>
      <c r="G211" s="255" t="s">
        <v>353</v>
      </c>
      <c r="H211" s="255" t="s">
        <v>32</v>
      </c>
      <c r="I211" s="255"/>
      <c r="J211" s="255" t="s">
        <v>352</v>
      </c>
      <c r="K211" s="255" t="s">
        <v>353</v>
      </c>
      <c r="L211" s="255" t="s">
        <v>32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0.28128959961507927</v>
      </c>
      <c r="C213" s="302">
        <v>0.98810738520558006</v>
      </c>
      <c r="D213" s="302">
        <f>SUM(B213:C213)</f>
        <v>1.2693969848206592</v>
      </c>
      <c r="E213" s="303"/>
      <c r="F213" s="302">
        <v>0.31453848573365062</v>
      </c>
      <c r="G213" s="302">
        <v>1.2076832941506448</v>
      </c>
      <c r="H213" s="302">
        <f>SUM(F213:G213)</f>
        <v>1.5222217798842954</v>
      </c>
      <c r="I213" s="303"/>
      <c r="J213" s="302">
        <v>0.31236085400718466</v>
      </c>
      <c r="K213" s="302">
        <v>1.2488676221789243</v>
      </c>
      <c r="L213" s="302">
        <f>SUM(J213:K213)</f>
        <v>1.561228476186109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0.34096362094049754</v>
      </c>
      <c r="C214" s="302">
        <v>0.65402372279959975</v>
      </c>
      <c r="D214" s="302">
        <f t="shared" ref="D214:D221" si="88">SUM(B214:C214)</f>
        <v>0.99498734374009734</v>
      </c>
      <c r="E214" s="303"/>
      <c r="F214" s="302">
        <v>0.47134248786004329</v>
      </c>
      <c r="G214" s="302">
        <v>0.80127938581294778</v>
      </c>
      <c r="H214" s="302">
        <f t="shared" ref="H214:H221" si="89">SUM(F214:G214)</f>
        <v>1.2726218736729911</v>
      </c>
      <c r="I214" s="303"/>
      <c r="J214" s="302">
        <v>0.5217132462533195</v>
      </c>
      <c r="K214" s="302">
        <v>0.93632566200781397</v>
      </c>
      <c r="L214" s="302">
        <f t="shared" ref="L214:L221" si="90">SUM(J214:K214)</f>
        <v>1.4580389082611336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0.33009377092483266</v>
      </c>
      <c r="C215" s="302">
        <v>0.68776679597055868</v>
      </c>
      <c r="D215" s="302">
        <f t="shared" si="88"/>
        <v>1.0178605668953913</v>
      </c>
      <c r="E215" s="303"/>
      <c r="F215" s="302">
        <v>0.34145718204345649</v>
      </c>
      <c r="G215" s="302">
        <v>0.80166428994365702</v>
      </c>
      <c r="H215" s="302">
        <f t="shared" si="89"/>
        <v>1.1431214719871134</v>
      </c>
      <c r="I215" s="303"/>
      <c r="J215" s="302">
        <v>0.33895656383472994</v>
      </c>
      <c r="K215" s="302">
        <v>0.74814402862061125</v>
      </c>
      <c r="L215" s="302">
        <f t="shared" si="90"/>
        <v>1.0871005924553412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0.71794689359198305</v>
      </c>
      <c r="C216" s="302">
        <v>0.14301034938076362</v>
      </c>
      <c r="D216" s="302">
        <f t="shared" si="88"/>
        <v>0.86095724297274667</v>
      </c>
      <c r="E216" s="303"/>
      <c r="F216" s="302">
        <v>0.48271058408525558</v>
      </c>
      <c r="G216" s="302">
        <v>0.15746208010435633</v>
      </c>
      <c r="H216" s="302">
        <f t="shared" si="89"/>
        <v>0.64017266418961194</v>
      </c>
      <c r="I216" s="303"/>
      <c r="J216" s="302">
        <v>0.31672775050131613</v>
      </c>
      <c r="K216" s="302">
        <v>0.15713918622539946</v>
      </c>
      <c r="L216" s="302">
        <f t="shared" si="90"/>
        <v>0.47386693672671559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8.0049161695869564E-2</v>
      </c>
      <c r="C217" s="302">
        <v>0.97404058536272486</v>
      </c>
      <c r="D217" s="302">
        <f t="shared" si="88"/>
        <v>1.0540897470585944</v>
      </c>
      <c r="E217" s="303"/>
      <c r="F217" s="302">
        <v>6.4101529440109731E-2</v>
      </c>
      <c r="G217" s="302">
        <v>0.72832267723384125</v>
      </c>
      <c r="H217" s="302">
        <f t="shared" si="89"/>
        <v>0.79242420667395097</v>
      </c>
      <c r="I217" s="303"/>
      <c r="J217" s="302">
        <v>7.2582754881559117E-2</v>
      </c>
      <c r="K217" s="302">
        <v>0.56475654855640611</v>
      </c>
      <c r="L217" s="302">
        <f t="shared" si="90"/>
        <v>0.63733930343796519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0.15108972319636699</v>
      </c>
      <c r="C218" s="302">
        <v>9.6871814219258445E-2</v>
      </c>
      <c r="D218" s="302">
        <f t="shared" si="88"/>
        <v>0.24796153741562543</v>
      </c>
      <c r="E218" s="303"/>
      <c r="F218" s="302">
        <v>7.7467856324430956E-2</v>
      </c>
      <c r="G218" s="302">
        <v>9.3823030908761332E-2</v>
      </c>
      <c r="H218" s="302">
        <f t="shared" si="89"/>
        <v>0.1712908872331923</v>
      </c>
      <c r="I218" s="303"/>
      <c r="J218" s="302">
        <v>6.2350447942606912E-2</v>
      </c>
      <c r="K218" s="302">
        <v>0.15480717313316747</v>
      </c>
      <c r="L218" s="302">
        <f t="shared" si="90"/>
        <v>0.21715762107577438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0.16320211403524626</v>
      </c>
      <c r="C219" s="302">
        <v>0.14843817360052089</v>
      </c>
      <c r="D219" s="302">
        <f t="shared" si="88"/>
        <v>0.31164028763576712</v>
      </c>
      <c r="E219" s="303"/>
      <c r="F219" s="302">
        <v>0.11400876188722586</v>
      </c>
      <c r="G219" s="302">
        <v>0.13385549650490192</v>
      </c>
      <c r="H219" s="302">
        <f t="shared" si="89"/>
        <v>0.24786425839212778</v>
      </c>
      <c r="I219" s="303"/>
      <c r="J219" s="302">
        <v>0.10329643422443315</v>
      </c>
      <c r="K219" s="302">
        <v>0.1431337817551539</v>
      </c>
      <c r="L219" s="302">
        <f t="shared" si="90"/>
        <v>0.24643021597958703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0.13460034033341872</v>
      </c>
      <c r="C220" s="302">
        <v>0.9947390034646646</v>
      </c>
      <c r="D220" s="302">
        <f t="shared" si="88"/>
        <v>1.1293393437980832</v>
      </c>
      <c r="E220" s="303"/>
      <c r="F220" s="302">
        <v>5.3776872594461365E-2</v>
      </c>
      <c r="G220" s="302">
        <v>0.80819334777212559</v>
      </c>
      <c r="H220" s="302">
        <f t="shared" si="89"/>
        <v>0.86197022036658699</v>
      </c>
      <c r="I220" s="303"/>
      <c r="J220" s="302">
        <v>4.8239285491500083E-2</v>
      </c>
      <c r="K220" s="302">
        <v>0.77963131070629577</v>
      </c>
      <c r="L220" s="302">
        <f t="shared" si="90"/>
        <v>0.8278705961977959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0.10676477567470448</v>
      </c>
      <c r="C221" s="302">
        <v>0.73500217008040636</v>
      </c>
      <c r="D221" s="302">
        <f t="shared" si="88"/>
        <v>0.8417669457551108</v>
      </c>
      <c r="E221" s="303"/>
      <c r="F221" s="302">
        <v>4.7596240021178036E-2</v>
      </c>
      <c r="G221" s="302">
        <v>0.52471639751424792</v>
      </c>
      <c r="H221" s="302">
        <f t="shared" si="89"/>
        <v>0.57231263753542594</v>
      </c>
      <c r="I221" s="303"/>
      <c r="J221" s="302">
        <v>3.1772662862180966E-2</v>
      </c>
      <c r="K221" s="302">
        <v>0.36119468676890792</v>
      </c>
      <c r="L221" s="302">
        <f t="shared" si="90"/>
        <v>0.39296734963108887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32</v>
      </c>
      <c r="B223" s="311">
        <f>SUM(B213:B221)</f>
        <v>2.3060000000079985</v>
      </c>
      <c r="C223" s="311">
        <f t="shared" ref="C223:D223" si="91">SUM(C213:C221)</f>
        <v>5.4220000000840773</v>
      </c>
      <c r="D223" s="311">
        <f t="shared" si="91"/>
        <v>7.7280000000920754</v>
      </c>
      <c r="E223" s="311"/>
      <c r="F223" s="311">
        <f t="shared" ref="F223:H223" si="92">SUM(F213:F221)</f>
        <v>1.9669999999898118</v>
      </c>
      <c r="G223" s="311">
        <f t="shared" si="92"/>
        <v>5.2569999999454842</v>
      </c>
      <c r="H223" s="311">
        <f t="shared" si="92"/>
        <v>7.2239999999352964</v>
      </c>
      <c r="I223" s="311"/>
      <c r="J223" s="311">
        <f t="shared" ref="J223:L223" si="93">SUM(J213:J221)</f>
        <v>1.8079999999988308</v>
      </c>
      <c r="K223" s="311">
        <f t="shared" si="93"/>
        <v>5.093999999952679</v>
      </c>
      <c r="L223" s="311">
        <f t="shared" si="93"/>
        <v>6.9019999999515118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35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name!A16</f>
        <v>Other non-metallic</v>
      </c>
      <c r="B227" s="372">
        <f>B$6</f>
        <v>2015</v>
      </c>
      <c r="C227" s="372"/>
      <c r="D227" s="372"/>
      <c r="E227" s="253"/>
      <c r="F227" s="372">
        <f>F210</f>
        <v>2020</v>
      </c>
      <c r="G227" s="372"/>
      <c r="H227" s="372"/>
      <c r="I227" s="253"/>
      <c r="J227" s="372">
        <f>J210</f>
        <v>2035</v>
      </c>
      <c r="K227" s="372"/>
      <c r="L227" s="372"/>
      <c r="M227" s="236"/>
      <c r="N227" s="236"/>
    </row>
    <row r="228" spans="1:14" x14ac:dyDescent="0.2">
      <c r="A228" s="254"/>
      <c r="B228" s="255" t="s">
        <v>352</v>
      </c>
      <c r="C228" s="255" t="s">
        <v>353</v>
      </c>
      <c r="D228" s="255" t="s">
        <v>32</v>
      </c>
      <c r="E228" s="255"/>
      <c r="F228" s="255" t="s">
        <v>352</v>
      </c>
      <c r="G228" s="255" t="s">
        <v>353</v>
      </c>
      <c r="H228" s="255" t="s">
        <v>32</v>
      </c>
      <c r="I228" s="255"/>
      <c r="J228" s="255" t="s">
        <v>352</v>
      </c>
      <c r="K228" s="255" t="s">
        <v>353</v>
      </c>
      <c r="L228" s="255" t="s">
        <v>32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0.13334332259758586</v>
      </c>
      <c r="C230" s="302">
        <v>0.62262276717982712</v>
      </c>
      <c r="D230" s="302">
        <f>SUM(B230:C230)</f>
        <v>0.75596608977741298</v>
      </c>
      <c r="E230" s="303"/>
      <c r="F230" s="302">
        <v>0.24277841553847287</v>
      </c>
      <c r="G230" s="302">
        <v>0.91860231096616118</v>
      </c>
      <c r="H230" s="302">
        <f>SUM(F230:G230)</f>
        <v>1.1613807265046341</v>
      </c>
      <c r="I230" s="303"/>
      <c r="J230" s="302">
        <v>0.23078656300919698</v>
      </c>
      <c r="K230" s="302">
        <v>0.93685636651254289</v>
      </c>
      <c r="L230" s="302">
        <f>SUM(J230:K230)</f>
        <v>1.1676429295217399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0.10677552669315626</v>
      </c>
      <c r="C231" s="302">
        <v>0.40523944614195773</v>
      </c>
      <c r="D231" s="302">
        <f t="shared" ref="D231:D238" si="94">SUM(B231:C231)</f>
        <v>0.51201497283511399</v>
      </c>
      <c r="E231" s="303"/>
      <c r="F231" s="302">
        <v>0.24047952358045149</v>
      </c>
      <c r="G231" s="302">
        <v>0.65819863773870479</v>
      </c>
      <c r="H231" s="302">
        <f t="shared" ref="H231:H238" si="95">SUM(F231:G231)</f>
        <v>0.89867816131915634</v>
      </c>
      <c r="I231" s="303"/>
      <c r="J231" s="302">
        <v>0.25367160822865292</v>
      </c>
      <c r="K231" s="302">
        <v>0.78268199149412321</v>
      </c>
      <c r="L231" s="302">
        <f t="shared" ref="L231:L238" si="96">SUM(J231:K231)</f>
        <v>1.0363535997227762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0.12753902562421515</v>
      </c>
      <c r="C232" s="302">
        <v>0.52065219937514673</v>
      </c>
      <c r="D232" s="302">
        <f t="shared" si="94"/>
        <v>0.64819122499936188</v>
      </c>
      <c r="E232" s="303"/>
      <c r="F232" s="302">
        <v>0.23503214447266982</v>
      </c>
      <c r="G232" s="302">
        <v>0.79154552929263811</v>
      </c>
      <c r="H232" s="302">
        <f t="shared" si="95"/>
        <v>1.0265776737653078</v>
      </c>
      <c r="I232" s="303"/>
      <c r="J232" s="302">
        <v>0.23023144054357209</v>
      </c>
      <c r="K232" s="302">
        <v>0.76520815183720592</v>
      </c>
      <c r="L232" s="302">
        <f t="shared" si="96"/>
        <v>0.99543959238077795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0.13675823314032753</v>
      </c>
      <c r="C233" s="302">
        <v>7.5670163979197042E-2</v>
      </c>
      <c r="D233" s="302">
        <f t="shared" si="94"/>
        <v>0.21242839711952458</v>
      </c>
      <c r="E233" s="303"/>
      <c r="F233" s="302">
        <v>0.28180448295529181</v>
      </c>
      <c r="G233" s="302">
        <v>0.11884952224054728</v>
      </c>
      <c r="H233" s="302">
        <f t="shared" si="95"/>
        <v>0.4006540051958391</v>
      </c>
      <c r="I233" s="303"/>
      <c r="J233" s="302">
        <v>0.23385301133272099</v>
      </c>
      <c r="K233" s="302">
        <v>0.11361553786881018</v>
      </c>
      <c r="L233" s="302">
        <f t="shared" si="96"/>
        <v>0.34746854920153114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4.0560103126503794E-2</v>
      </c>
      <c r="C234" s="302">
        <v>0.36173721971465483</v>
      </c>
      <c r="D234" s="302">
        <f t="shared" si="94"/>
        <v>0.4022973228411586</v>
      </c>
      <c r="E234" s="303"/>
      <c r="F234" s="302">
        <v>6.6792712929160558E-2</v>
      </c>
      <c r="G234" s="302">
        <v>0.41687094653063966</v>
      </c>
      <c r="H234" s="302">
        <f t="shared" si="95"/>
        <v>0.48366365945980022</v>
      </c>
      <c r="I234" s="303"/>
      <c r="J234" s="302">
        <v>6.6111306616107535E-2</v>
      </c>
      <c r="K234" s="302">
        <v>0.39662870991659016</v>
      </c>
      <c r="L234" s="302">
        <f t="shared" si="96"/>
        <v>0.4627400165326977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2.9082068956116383E-2</v>
      </c>
      <c r="C235" s="302">
        <v>1.5398005744949074E-2</v>
      </c>
      <c r="D235" s="302">
        <f t="shared" si="94"/>
        <v>4.4480074701065457E-2</v>
      </c>
      <c r="E235" s="303"/>
      <c r="F235" s="302">
        <v>5.6337781908639188E-2</v>
      </c>
      <c r="G235" s="302">
        <v>2.6200436806771352E-2</v>
      </c>
      <c r="H235" s="302">
        <f t="shared" si="95"/>
        <v>8.2538218715410533E-2</v>
      </c>
      <c r="I235" s="303"/>
      <c r="J235" s="302">
        <v>4.7523277683422724E-2</v>
      </c>
      <c r="K235" s="302">
        <v>4.3999564519303674E-2</v>
      </c>
      <c r="L235" s="302">
        <f t="shared" si="96"/>
        <v>9.1522842202726398E-2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6.7449633758803668E-2</v>
      </c>
      <c r="C236" s="302">
        <v>6.6721590931062169E-2</v>
      </c>
      <c r="D236" s="302">
        <f t="shared" si="94"/>
        <v>0.13417122468986584</v>
      </c>
      <c r="E236" s="303"/>
      <c r="F236" s="302">
        <v>0.12290429984355883</v>
      </c>
      <c r="G236" s="302">
        <v>9.3824507868501258E-2</v>
      </c>
      <c r="H236" s="302">
        <f t="shared" si="95"/>
        <v>0.2167288077120601</v>
      </c>
      <c r="I236" s="303"/>
      <c r="J236" s="302">
        <v>0.11607647163737506</v>
      </c>
      <c r="K236" s="302">
        <v>0.11313798509552336</v>
      </c>
      <c r="L236" s="302">
        <f t="shared" si="96"/>
        <v>0.22921445673289842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1.0260617920938452E-2</v>
      </c>
      <c r="C237" s="302">
        <v>0.36196150603335975</v>
      </c>
      <c r="D237" s="302">
        <f t="shared" si="94"/>
        <v>0.37222212395429821</v>
      </c>
      <c r="E237" s="303"/>
      <c r="F237" s="302">
        <v>1.5866125307680497E-2</v>
      </c>
      <c r="G237" s="302">
        <v>0.42365994408941571</v>
      </c>
      <c r="H237" s="302">
        <f t="shared" si="95"/>
        <v>0.43952606939709621</v>
      </c>
      <c r="I237" s="303"/>
      <c r="J237" s="302">
        <v>2.1412975018289482E-2</v>
      </c>
      <c r="K237" s="302">
        <v>0.36242972894915831</v>
      </c>
      <c r="L237" s="302">
        <f t="shared" si="96"/>
        <v>0.3838427039674478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2.3231468178983E-2</v>
      </c>
      <c r="C238" s="302">
        <v>0.12299710091017201</v>
      </c>
      <c r="D238" s="302">
        <f t="shared" si="94"/>
        <v>0.14622856908915499</v>
      </c>
      <c r="E238" s="303"/>
      <c r="F238" s="302">
        <v>8.0004513455670376E-2</v>
      </c>
      <c r="G238" s="302">
        <v>0.1302481644415979</v>
      </c>
      <c r="H238" s="302">
        <f t="shared" si="95"/>
        <v>0.21025267789726826</v>
      </c>
      <c r="I238" s="303"/>
      <c r="J238" s="302">
        <v>5.6333345926177017E-2</v>
      </c>
      <c r="K238" s="302">
        <v>7.3441963783569375E-2</v>
      </c>
      <c r="L238" s="302">
        <f t="shared" si="96"/>
        <v>0.12977530970974638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32</v>
      </c>
      <c r="B240" s="311">
        <f>SUM(B230:B238)</f>
        <v>0.67499999999663018</v>
      </c>
      <c r="C240" s="311">
        <f t="shared" ref="C240:D240" si="97">SUM(C230:C238)</f>
        <v>2.5530000000103263</v>
      </c>
      <c r="D240" s="311">
        <f t="shared" si="97"/>
        <v>3.2280000000069564</v>
      </c>
      <c r="E240" s="311"/>
      <c r="F240" s="311">
        <f t="shared" ref="F240:H240" si="98">SUM(F230:F238)</f>
        <v>1.3419999999915955</v>
      </c>
      <c r="G240" s="311">
        <f t="shared" si="98"/>
        <v>3.5779999999749772</v>
      </c>
      <c r="H240" s="311">
        <f t="shared" si="98"/>
        <v>4.9199999999665724</v>
      </c>
      <c r="I240" s="311"/>
      <c r="J240" s="311">
        <f t="shared" ref="J240:L240" si="99">SUM(J230:J238)</f>
        <v>1.2559999999955147</v>
      </c>
      <c r="K240" s="311">
        <f t="shared" si="99"/>
        <v>3.5879999999768271</v>
      </c>
      <c r="L240" s="311">
        <f t="shared" si="99"/>
        <v>4.8439999999723415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35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name!A17</f>
        <v>Basic metals</v>
      </c>
      <c r="B244" s="372">
        <f>B$6</f>
        <v>2015</v>
      </c>
      <c r="C244" s="372"/>
      <c r="D244" s="372"/>
      <c r="E244" s="253"/>
      <c r="F244" s="372">
        <f>F227</f>
        <v>2020</v>
      </c>
      <c r="G244" s="372"/>
      <c r="H244" s="372"/>
      <c r="I244" s="253"/>
      <c r="J244" s="372">
        <f>J227</f>
        <v>2035</v>
      </c>
      <c r="K244" s="372"/>
      <c r="L244" s="372"/>
      <c r="M244" s="236"/>
      <c r="N244" s="236"/>
    </row>
    <row r="245" spans="1:14" x14ac:dyDescent="0.2">
      <c r="A245" s="254"/>
      <c r="B245" s="255" t="s">
        <v>352</v>
      </c>
      <c r="C245" s="255" t="s">
        <v>353</v>
      </c>
      <c r="D245" s="255" t="s">
        <v>32</v>
      </c>
      <c r="E245" s="255"/>
      <c r="F245" s="255" t="s">
        <v>352</v>
      </c>
      <c r="G245" s="255" t="s">
        <v>353</v>
      </c>
      <c r="H245" s="255" t="s">
        <v>32</v>
      </c>
      <c r="I245" s="255"/>
      <c r="J245" s="255" t="s">
        <v>352</v>
      </c>
      <c r="K245" s="255" t="s">
        <v>353</v>
      </c>
      <c r="L245" s="255" t="s">
        <v>32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1.9308349567674382E-2</v>
      </c>
      <c r="C247" s="302">
        <v>6.2291826251316816E-2</v>
      </c>
      <c r="D247" s="302">
        <f>SUM(B247:C247)</f>
        <v>8.1600175818991205E-2</v>
      </c>
      <c r="E247" s="303"/>
      <c r="F247" s="302">
        <v>3.5645997064605556E-2</v>
      </c>
      <c r="G247" s="302">
        <v>8.7155955289933751E-2</v>
      </c>
      <c r="H247" s="302">
        <f>SUM(F247:G247)</f>
        <v>0.12280195235453931</v>
      </c>
      <c r="I247" s="303"/>
      <c r="J247" s="302">
        <v>3.3299533857846668E-2</v>
      </c>
      <c r="K247" s="302">
        <v>7.6834241143915349E-2</v>
      </c>
      <c r="L247" s="302">
        <f>SUM(J247:K247)</f>
        <v>0.11013377500176202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1.2014148520021093E-2</v>
      </c>
      <c r="C248" s="302">
        <v>6.1771464553732044E-2</v>
      </c>
      <c r="D248" s="302">
        <f t="shared" ref="D248:D255" si="100">SUM(B248:C248)</f>
        <v>7.3785613073753142E-2</v>
      </c>
      <c r="E248" s="303"/>
      <c r="F248" s="302">
        <v>2.1628659119547471E-2</v>
      </c>
      <c r="G248" s="302">
        <v>8.4710285814172281E-2</v>
      </c>
      <c r="H248" s="302">
        <f t="shared" ref="H248:H255" si="101">SUM(F248:G248)</f>
        <v>0.10633894493371976</v>
      </c>
      <c r="I248" s="303"/>
      <c r="J248" s="302">
        <v>2.0917415238876687E-2</v>
      </c>
      <c r="K248" s="302">
        <v>8.491471636805524E-2</v>
      </c>
      <c r="L248" s="302">
        <f t="shared" ref="L248:L255" si="102">SUM(J248:K248)</f>
        <v>0.10583213160693193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1.6910216084453592E-2</v>
      </c>
      <c r="C249" s="302">
        <v>4.7275340620852237E-2</v>
      </c>
      <c r="D249" s="302">
        <f t="shared" si="100"/>
        <v>6.4185556705305832E-2</v>
      </c>
      <c r="E249" s="303"/>
      <c r="F249" s="302">
        <v>2.7568375591604188E-2</v>
      </c>
      <c r="G249" s="302">
        <v>6.248836975810048E-2</v>
      </c>
      <c r="H249" s="302">
        <f t="shared" si="101"/>
        <v>9.0056745349704675E-2</v>
      </c>
      <c r="I249" s="303"/>
      <c r="J249" s="302">
        <v>2.3653992772002107E-2</v>
      </c>
      <c r="K249" s="302">
        <v>5.1331020328918661E-2</v>
      </c>
      <c r="L249" s="302">
        <f t="shared" si="102"/>
        <v>7.4985013100920761E-2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3.5936770527744785E-2</v>
      </c>
      <c r="C250" s="302">
        <v>1.1449010407162464E-2</v>
      </c>
      <c r="D250" s="302">
        <f t="shared" si="100"/>
        <v>4.7385780934907251E-2</v>
      </c>
      <c r="E250" s="303"/>
      <c r="F250" s="302">
        <v>6.0030546607149148E-2</v>
      </c>
      <c r="G250" s="302">
        <v>1.4575855649089899E-2</v>
      </c>
      <c r="H250" s="302">
        <f t="shared" si="101"/>
        <v>7.4606402256239046E-2</v>
      </c>
      <c r="I250" s="303"/>
      <c r="J250" s="302">
        <v>4.8826176700894786E-2</v>
      </c>
      <c r="K250" s="302">
        <v>1.0496460029478278E-2</v>
      </c>
      <c r="L250" s="302">
        <f t="shared" si="102"/>
        <v>5.9322636730373066E-2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2.6663958109173348E-3</v>
      </c>
      <c r="C251" s="302">
        <v>0.21213700014927289</v>
      </c>
      <c r="D251" s="302">
        <f t="shared" si="100"/>
        <v>0.21480339596019021</v>
      </c>
      <c r="E251" s="303"/>
      <c r="F251" s="302">
        <v>4.7557230099467265E-3</v>
      </c>
      <c r="G251" s="302">
        <v>0.20148882036946847</v>
      </c>
      <c r="H251" s="302">
        <f t="shared" si="101"/>
        <v>0.2062445433794152</v>
      </c>
      <c r="I251" s="303"/>
      <c r="J251" s="302">
        <v>1.0613469179053146E-2</v>
      </c>
      <c r="K251" s="302">
        <v>0.16006969306953353</v>
      </c>
      <c r="L251" s="302">
        <f t="shared" si="102"/>
        <v>0.17068316224858668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5.9558364020357983E-4</v>
      </c>
      <c r="C252" s="302">
        <v>7.3795437094459782E-3</v>
      </c>
      <c r="D252" s="302">
        <f t="shared" si="100"/>
        <v>7.9751273496495578E-3</v>
      </c>
      <c r="E252" s="303"/>
      <c r="F252" s="302">
        <v>1.1676058710057367E-3</v>
      </c>
      <c r="G252" s="302">
        <v>9.4205212121147817E-3</v>
      </c>
      <c r="H252" s="302">
        <f t="shared" si="101"/>
        <v>1.0588127083120518E-2</v>
      </c>
      <c r="I252" s="303"/>
      <c r="J252" s="302">
        <v>6.1052731399892173E-4</v>
      </c>
      <c r="K252" s="302">
        <v>9.877382664292441E-3</v>
      </c>
      <c r="L252" s="302">
        <f t="shared" si="102"/>
        <v>1.0487909978291363E-2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3.8448450708853895E-3</v>
      </c>
      <c r="C253" s="302">
        <v>4.3065341397997298E-3</v>
      </c>
      <c r="D253" s="302">
        <f t="shared" si="100"/>
        <v>8.1513792106851189E-3</v>
      </c>
      <c r="E253" s="303"/>
      <c r="F253" s="302">
        <v>6.5978566632561905E-3</v>
      </c>
      <c r="G253" s="302">
        <v>5.0323662863851855E-3</v>
      </c>
      <c r="H253" s="302">
        <f t="shared" si="101"/>
        <v>1.1630222949641375E-2</v>
      </c>
      <c r="I253" s="303"/>
      <c r="J253" s="302">
        <v>6.8471502274400266E-3</v>
      </c>
      <c r="K253" s="302">
        <v>5.0676200034687679E-3</v>
      </c>
      <c r="L253" s="302">
        <f t="shared" si="102"/>
        <v>1.1914770230908794E-2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1.585608019050745E-3</v>
      </c>
      <c r="C254" s="302">
        <v>5.4368157576145805E-2</v>
      </c>
      <c r="D254" s="302">
        <f t="shared" si="100"/>
        <v>5.5953765595196547E-2</v>
      </c>
      <c r="E254" s="303"/>
      <c r="F254" s="302">
        <v>3.6140571358502277E-3</v>
      </c>
      <c r="G254" s="302">
        <v>5.6081398200135905E-2</v>
      </c>
      <c r="H254" s="302">
        <f t="shared" si="101"/>
        <v>5.9695455335986136E-2</v>
      </c>
      <c r="I254" s="303"/>
      <c r="J254" s="302">
        <v>3.5954060324557067E-3</v>
      </c>
      <c r="K254" s="302">
        <v>4.7435167981061864E-2</v>
      </c>
      <c r="L254" s="302">
        <f t="shared" si="102"/>
        <v>5.1030574013517571E-2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2.1380827590027156E-3</v>
      </c>
      <c r="C255" s="302">
        <v>1.8021122598447192E-2</v>
      </c>
      <c r="D255" s="302">
        <f t="shared" si="100"/>
        <v>2.0159205357449906E-2</v>
      </c>
      <c r="E255" s="303"/>
      <c r="F255" s="302">
        <v>4.991178935613412E-3</v>
      </c>
      <c r="G255" s="302">
        <v>1.9046427413486316E-2</v>
      </c>
      <c r="H255" s="302">
        <f t="shared" si="101"/>
        <v>2.4037606349099728E-2</v>
      </c>
      <c r="I255" s="303"/>
      <c r="J255" s="302">
        <v>2.636328676614719E-3</v>
      </c>
      <c r="K255" s="302">
        <v>1.397369840502794E-2</v>
      </c>
      <c r="L255" s="302">
        <f t="shared" si="102"/>
        <v>1.6610027081642657E-2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32</v>
      </c>
      <c r="B257" s="311">
        <f>SUM(B247:B255)</f>
        <v>9.4999999999953635E-2</v>
      </c>
      <c r="C257" s="311">
        <f t="shared" ref="C257:D257" si="103">SUM(C247:C255)</f>
        <v>0.47900000000617521</v>
      </c>
      <c r="D257" s="311">
        <f t="shared" si="103"/>
        <v>0.57400000000612872</v>
      </c>
      <c r="E257" s="311"/>
      <c r="F257" s="311">
        <f t="shared" ref="F257:H257" si="104">SUM(F247:F255)</f>
        <v>0.16599999999857865</v>
      </c>
      <c r="G257" s="311">
        <f t="shared" si="104"/>
        <v>0.53999999999288706</v>
      </c>
      <c r="H257" s="311">
        <f t="shared" si="104"/>
        <v>0.70599999999146568</v>
      </c>
      <c r="I257" s="311"/>
      <c r="J257" s="311">
        <f t="shared" ref="J257:L257" si="105">SUM(J247:J255)</f>
        <v>0.15099999999918276</v>
      </c>
      <c r="K257" s="311">
        <f t="shared" si="105"/>
        <v>0.45999999999375207</v>
      </c>
      <c r="L257" s="311">
        <f t="shared" si="105"/>
        <v>0.61099999999293486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35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name!A18</f>
        <v>Metal products</v>
      </c>
      <c r="B261" s="372">
        <f>B$6</f>
        <v>2015</v>
      </c>
      <c r="C261" s="372"/>
      <c r="D261" s="372"/>
      <c r="E261" s="253"/>
      <c r="F261" s="372">
        <f>F244</f>
        <v>2020</v>
      </c>
      <c r="G261" s="372"/>
      <c r="H261" s="372"/>
      <c r="I261" s="253"/>
      <c r="J261" s="372">
        <f>J244</f>
        <v>2035</v>
      </c>
      <c r="K261" s="372"/>
      <c r="L261" s="372"/>
      <c r="M261" s="236"/>
      <c r="N261" s="236"/>
    </row>
    <row r="262" spans="1:14" x14ac:dyDescent="0.2">
      <c r="A262" s="254"/>
      <c r="B262" s="255" t="s">
        <v>352</v>
      </c>
      <c r="C262" s="255" t="s">
        <v>353</v>
      </c>
      <c r="D262" s="255" t="s">
        <v>32</v>
      </c>
      <c r="E262" s="255"/>
      <c r="F262" s="255" t="s">
        <v>352</v>
      </c>
      <c r="G262" s="255" t="s">
        <v>353</v>
      </c>
      <c r="H262" s="255" t="s">
        <v>32</v>
      </c>
      <c r="I262" s="255"/>
      <c r="J262" s="255" t="s">
        <v>352</v>
      </c>
      <c r="K262" s="255" t="s">
        <v>353</v>
      </c>
      <c r="L262" s="255" t="s">
        <v>32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0.21733193437509174</v>
      </c>
      <c r="C264" s="302">
        <v>1.2193088530760499</v>
      </c>
      <c r="D264" s="302">
        <f>SUM(B264:C264)</f>
        <v>1.4366407874511415</v>
      </c>
      <c r="E264" s="303"/>
      <c r="F264" s="302">
        <v>0.27491907169731311</v>
      </c>
      <c r="G264" s="302">
        <v>1.5701192225511666</v>
      </c>
      <c r="H264" s="302">
        <f>SUM(F264:G264)</f>
        <v>1.8450382942484798</v>
      </c>
      <c r="I264" s="303"/>
      <c r="J264" s="302">
        <v>0.28085899582527091</v>
      </c>
      <c r="K264" s="302">
        <v>1.3710238642575563</v>
      </c>
      <c r="L264" s="302">
        <f>SUM(J264:K264)</f>
        <v>1.6518828600828273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0.28575145030441751</v>
      </c>
      <c r="C265" s="302">
        <v>1.1813479328194481</v>
      </c>
      <c r="D265" s="302">
        <f t="shared" ref="D265:D272" si="106">SUM(B265:C265)</f>
        <v>1.4670993831238657</v>
      </c>
      <c r="E265" s="303"/>
      <c r="F265" s="302">
        <v>0.3990440842884484</v>
      </c>
      <c r="G265" s="302">
        <v>1.5055213242036682</v>
      </c>
      <c r="H265" s="302">
        <f t="shared" ref="H265:H272" si="107">SUM(F265:G265)</f>
        <v>1.9045654084921166</v>
      </c>
      <c r="I265" s="303"/>
      <c r="J265" s="302">
        <v>0.43247508277628244</v>
      </c>
      <c r="K265" s="302">
        <v>1.4963299044819567</v>
      </c>
      <c r="L265" s="302">
        <f t="shared" ref="L265:L272" si="108">SUM(J265:K265)</f>
        <v>1.9288049872582391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0.28119531937877229</v>
      </c>
      <c r="C266" s="302">
        <v>1.1476003670558586</v>
      </c>
      <c r="D266" s="302">
        <f t="shared" si="106"/>
        <v>1.428795686434631</v>
      </c>
      <c r="E266" s="303"/>
      <c r="F266" s="302">
        <v>0.32495026703814173</v>
      </c>
      <c r="G266" s="302">
        <v>1.3309687492122806</v>
      </c>
      <c r="H266" s="302">
        <f t="shared" si="107"/>
        <v>1.6559190162504223</v>
      </c>
      <c r="I266" s="303"/>
      <c r="J266" s="302">
        <v>0.31416797273475722</v>
      </c>
      <c r="K266" s="302">
        <v>1.1214923158995924</v>
      </c>
      <c r="L266" s="302">
        <f t="shared" si="108"/>
        <v>1.4356602886343497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0.59822110425051478</v>
      </c>
      <c r="C267" s="302">
        <v>0.22645796127233922</v>
      </c>
      <c r="D267" s="302">
        <f t="shared" si="106"/>
        <v>0.82467906552285397</v>
      </c>
      <c r="E267" s="303"/>
      <c r="F267" s="302">
        <v>0.4879587491375289</v>
      </c>
      <c r="G267" s="302">
        <v>0.23412969138284276</v>
      </c>
      <c r="H267" s="302">
        <f t="shared" si="107"/>
        <v>0.72208844052037169</v>
      </c>
      <c r="I267" s="303"/>
      <c r="J267" s="302">
        <v>0.32506554044467223</v>
      </c>
      <c r="K267" s="302">
        <v>0.21191477529632621</v>
      </c>
      <c r="L267" s="302">
        <f t="shared" si="108"/>
        <v>0.53698031574099847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4.8793517027855879E-2</v>
      </c>
      <c r="C268" s="302">
        <v>2.9281627291644736</v>
      </c>
      <c r="D268" s="302">
        <f t="shared" si="106"/>
        <v>2.9769562461923296</v>
      </c>
      <c r="E268" s="303"/>
      <c r="F268" s="302">
        <v>4.8365125894706443E-2</v>
      </c>
      <c r="G268" s="302">
        <v>2.5346434035970038</v>
      </c>
      <c r="H268" s="302">
        <f t="shared" si="107"/>
        <v>2.5830085294917104</v>
      </c>
      <c r="I268" s="303"/>
      <c r="J268" s="302">
        <v>0.10322429839449318</v>
      </c>
      <c r="K268" s="302">
        <v>1.7800068861802103</v>
      </c>
      <c r="L268" s="302">
        <f t="shared" si="108"/>
        <v>1.8832311845747034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6.4361647207598544E-2</v>
      </c>
      <c r="C269" s="302">
        <v>9.7242279319107255E-2</v>
      </c>
      <c r="D269" s="302">
        <f t="shared" si="106"/>
        <v>0.1616039265267058</v>
      </c>
      <c r="E269" s="303"/>
      <c r="F269" s="302">
        <v>5.7274261883803031E-2</v>
      </c>
      <c r="G269" s="302">
        <v>0.10453800028767918</v>
      </c>
      <c r="H269" s="302">
        <f t="shared" si="107"/>
        <v>0.1618122621714822</v>
      </c>
      <c r="I269" s="303"/>
      <c r="J269" s="302">
        <v>4.5887304827626173E-2</v>
      </c>
      <c r="K269" s="302">
        <v>0.13133147822635066</v>
      </c>
      <c r="L269" s="302">
        <f t="shared" si="108"/>
        <v>0.17721878305397684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7.7293072310344824E-2</v>
      </c>
      <c r="C270" s="302">
        <v>9.7426702321238789E-2</v>
      </c>
      <c r="D270" s="302">
        <f t="shared" si="106"/>
        <v>0.17471977463158361</v>
      </c>
      <c r="E270" s="303"/>
      <c r="F270" s="302">
        <v>7.1287463388660433E-2</v>
      </c>
      <c r="G270" s="302">
        <v>9.3035998285790636E-2</v>
      </c>
      <c r="H270" s="302">
        <f t="shared" si="107"/>
        <v>0.16432346167445105</v>
      </c>
      <c r="I270" s="303"/>
      <c r="J270" s="302">
        <v>7.0311689745742909E-2</v>
      </c>
      <c r="K270" s="302">
        <v>9.3783558122926478E-2</v>
      </c>
      <c r="L270" s="302">
        <f t="shared" si="108"/>
        <v>0.16409524786866939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5.496392812222916E-2</v>
      </c>
      <c r="C271" s="302">
        <v>0.42930616176084851</v>
      </c>
      <c r="D271" s="302">
        <f t="shared" si="106"/>
        <v>0.48427008988307768</v>
      </c>
      <c r="E271" s="303"/>
      <c r="F271" s="302">
        <v>4.2961378272730687E-2</v>
      </c>
      <c r="G271" s="302">
        <v>0.32238198791592348</v>
      </c>
      <c r="H271" s="302">
        <f t="shared" si="107"/>
        <v>0.36534336618865415</v>
      </c>
      <c r="I271" s="303"/>
      <c r="J271" s="302">
        <v>4.0848449192699046E-2</v>
      </c>
      <c r="K271" s="302">
        <v>0.21478701315117479</v>
      </c>
      <c r="L271" s="302">
        <f t="shared" si="108"/>
        <v>0.25563546234387385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0.16708802703081888</v>
      </c>
      <c r="C272" s="302">
        <v>0.23414701326473067</v>
      </c>
      <c r="D272" s="302">
        <f t="shared" si="106"/>
        <v>0.40123504029554957</v>
      </c>
      <c r="E272" s="303"/>
      <c r="F272" s="302">
        <v>0.10423959838615347</v>
      </c>
      <c r="G272" s="302">
        <v>0.17566162249252487</v>
      </c>
      <c r="H272" s="302">
        <f t="shared" si="107"/>
        <v>0.27990122087867836</v>
      </c>
      <c r="I272" s="303"/>
      <c r="J272" s="302">
        <v>6.7160666054529028E-2</v>
      </c>
      <c r="K272" s="302">
        <v>8.8330204358921874E-2</v>
      </c>
      <c r="L272" s="302">
        <f t="shared" si="108"/>
        <v>0.15549087041345089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32</v>
      </c>
      <c r="B274" s="311">
        <f>SUM(B264:B272)</f>
        <v>1.7950000000076438</v>
      </c>
      <c r="C274" s="311">
        <f t="shared" ref="C274:D274" si="109">SUM(C264:C272)</f>
        <v>7.5610000000540944</v>
      </c>
      <c r="D274" s="311">
        <f t="shared" si="109"/>
        <v>9.3560000000617389</v>
      </c>
      <c r="E274" s="311"/>
      <c r="F274" s="311">
        <f t="shared" ref="F274:H274" si="110">SUM(F264:F272)</f>
        <v>1.8109999999874864</v>
      </c>
      <c r="G274" s="311">
        <f t="shared" si="110"/>
        <v>7.8709999999288796</v>
      </c>
      <c r="H274" s="311">
        <f t="shared" si="110"/>
        <v>9.681999999916366</v>
      </c>
      <c r="I274" s="311"/>
      <c r="J274" s="311">
        <f t="shared" ref="J274:L274" si="111">SUM(J264:J272)</f>
        <v>1.6799999999960733</v>
      </c>
      <c r="K274" s="311">
        <f t="shared" si="111"/>
        <v>6.508999999975015</v>
      </c>
      <c r="L274" s="311">
        <f t="shared" si="111"/>
        <v>8.1889999999710881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35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name!A19</f>
        <v>Computer, etc</v>
      </c>
      <c r="B278" s="372">
        <f>B$6</f>
        <v>2015</v>
      </c>
      <c r="C278" s="372"/>
      <c r="D278" s="372"/>
      <c r="E278" s="253"/>
      <c r="F278" s="372">
        <f>F261</f>
        <v>2020</v>
      </c>
      <c r="G278" s="372"/>
      <c r="H278" s="372"/>
      <c r="I278" s="253"/>
      <c r="J278" s="372">
        <f>J261</f>
        <v>2035</v>
      </c>
      <c r="K278" s="372"/>
      <c r="L278" s="372"/>
      <c r="M278" s="236"/>
      <c r="N278" s="236"/>
    </row>
    <row r="279" spans="1:14" x14ac:dyDescent="0.2">
      <c r="A279" s="254"/>
      <c r="B279" s="255" t="s">
        <v>352</v>
      </c>
      <c r="C279" s="255" t="s">
        <v>353</v>
      </c>
      <c r="D279" s="255" t="s">
        <v>32</v>
      </c>
      <c r="E279" s="255"/>
      <c r="F279" s="255" t="s">
        <v>352</v>
      </c>
      <c r="G279" s="255" t="s">
        <v>353</v>
      </c>
      <c r="H279" s="255" t="s">
        <v>32</v>
      </c>
      <c r="I279" s="255"/>
      <c r="J279" s="255" t="s">
        <v>352</v>
      </c>
      <c r="K279" s="255" t="s">
        <v>353</v>
      </c>
      <c r="L279" s="255" t="s">
        <v>32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0.11706306999589731</v>
      </c>
      <c r="C281" s="302">
        <v>0.55063622532510803</v>
      </c>
      <c r="D281" s="302">
        <f>SUM(B281:C281)</f>
        <v>0.66769929532100536</v>
      </c>
      <c r="E281" s="303"/>
      <c r="F281" s="302">
        <v>0.32087229088287927</v>
      </c>
      <c r="G281" s="302">
        <v>1.3174576538366614</v>
      </c>
      <c r="H281" s="302">
        <f>SUM(F281:G281)</f>
        <v>1.6383299447195405</v>
      </c>
      <c r="I281" s="303"/>
      <c r="J281" s="302">
        <v>0.45551146138893239</v>
      </c>
      <c r="K281" s="302">
        <v>2.1954363010424749</v>
      </c>
      <c r="L281" s="302">
        <f>SUM(J281:K281)</f>
        <v>2.6509477624314073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0.27660435736885008</v>
      </c>
      <c r="C282" s="302">
        <v>0.74066951539119219</v>
      </c>
      <c r="D282" s="302">
        <f t="shared" ref="D282:D289" si="112">SUM(B282:C282)</f>
        <v>1.0172738727600423</v>
      </c>
      <c r="E282" s="303"/>
      <c r="F282" s="302">
        <v>0.82501562503675552</v>
      </c>
      <c r="G282" s="302">
        <v>1.8854122639474611</v>
      </c>
      <c r="H282" s="302">
        <f t="shared" ref="H282:H289" si="113">SUM(F282:G282)</f>
        <v>2.7104278889842166</v>
      </c>
      <c r="I282" s="303"/>
      <c r="J282" s="302">
        <v>1.1962416465303722</v>
      </c>
      <c r="K282" s="302">
        <v>3.3895330846983156</v>
      </c>
      <c r="L282" s="302">
        <f t="shared" ref="L282:L289" si="114">SUM(J282:K282)</f>
        <v>4.5857747312286881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0.2486039140598845</v>
      </c>
      <c r="C283" s="302">
        <v>0.46389252427505889</v>
      </c>
      <c r="D283" s="302">
        <f t="shared" si="112"/>
        <v>0.71249643833494336</v>
      </c>
      <c r="E283" s="303"/>
      <c r="F283" s="302">
        <v>0.65239894665576592</v>
      </c>
      <c r="G283" s="302">
        <v>1.1258826487955589</v>
      </c>
      <c r="H283" s="302">
        <f t="shared" si="113"/>
        <v>1.7782815954513249</v>
      </c>
      <c r="I283" s="303"/>
      <c r="J283" s="302">
        <v>0.91886059401375564</v>
      </c>
      <c r="K283" s="302">
        <v>1.7200798252508793</v>
      </c>
      <c r="L283" s="302">
        <f t="shared" si="114"/>
        <v>2.6389404192646349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0.1872363311661551</v>
      </c>
      <c r="C284" s="302">
        <v>6.6086781981320813E-2</v>
      </c>
      <c r="D284" s="302">
        <f t="shared" si="112"/>
        <v>0.25332311314747591</v>
      </c>
      <c r="E284" s="303"/>
      <c r="F284" s="302">
        <v>0.39763462259795562</v>
      </c>
      <c r="G284" s="302">
        <v>0.15093233199290845</v>
      </c>
      <c r="H284" s="302">
        <f t="shared" si="113"/>
        <v>0.54856695459086402</v>
      </c>
      <c r="I284" s="303"/>
      <c r="J284" s="302">
        <v>0.39318009343021104</v>
      </c>
      <c r="K284" s="302">
        <v>0.25657425656439714</v>
      </c>
      <c r="L284" s="302">
        <f t="shared" si="114"/>
        <v>0.64975434999460813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2.5752915304738663E-2</v>
      </c>
      <c r="C285" s="302">
        <v>0.41552792291210533</v>
      </c>
      <c r="D285" s="302">
        <f t="shared" si="112"/>
        <v>0.441280838216844</v>
      </c>
      <c r="E285" s="303"/>
      <c r="F285" s="302">
        <v>5.9209703737503616E-2</v>
      </c>
      <c r="G285" s="302">
        <v>0.72999995089664071</v>
      </c>
      <c r="H285" s="302">
        <f t="shared" si="113"/>
        <v>0.78920965463414428</v>
      </c>
      <c r="I285" s="303"/>
      <c r="J285" s="302">
        <v>9.4588970634496491E-2</v>
      </c>
      <c r="K285" s="302">
        <v>1.0099990281665137</v>
      </c>
      <c r="L285" s="302">
        <f t="shared" si="114"/>
        <v>1.1045879988010101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2.5886137422592555E-2</v>
      </c>
      <c r="C286" s="302">
        <v>1.4697832210436705E-2</v>
      </c>
      <c r="D286" s="302">
        <f t="shared" si="112"/>
        <v>4.0583969633029258E-2</v>
      </c>
      <c r="E286" s="303"/>
      <c r="F286" s="302">
        <v>4.981052156587109E-2</v>
      </c>
      <c r="G286" s="302">
        <v>3.3478690679845227E-2</v>
      </c>
      <c r="H286" s="302">
        <f t="shared" si="113"/>
        <v>8.328921224571631E-2</v>
      </c>
      <c r="I286" s="303"/>
      <c r="J286" s="302">
        <v>5.4073686483884789E-2</v>
      </c>
      <c r="K286" s="302">
        <v>8.184716817141531E-2</v>
      </c>
      <c r="L286" s="302">
        <f t="shared" si="114"/>
        <v>0.1359208546553001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5.3428081591107686E-2</v>
      </c>
      <c r="C287" s="302">
        <v>5.896829436160763E-2</v>
      </c>
      <c r="D287" s="302">
        <f t="shared" si="112"/>
        <v>0.11239637595271532</v>
      </c>
      <c r="E287" s="303"/>
      <c r="F287" s="302">
        <v>0.11551368700193282</v>
      </c>
      <c r="G287" s="302">
        <v>0.11959033002717312</v>
      </c>
      <c r="H287" s="302">
        <f t="shared" si="113"/>
        <v>0.23510401702910594</v>
      </c>
      <c r="I287" s="303"/>
      <c r="J287" s="302">
        <v>0.1513602076301635</v>
      </c>
      <c r="K287" s="302">
        <v>0.24824970615466055</v>
      </c>
      <c r="L287" s="302">
        <f t="shared" si="114"/>
        <v>0.39960991378482402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4.3246717682844549E-2</v>
      </c>
      <c r="C288" s="302">
        <v>9.9200233086415374E-2</v>
      </c>
      <c r="D288" s="302">
        <f t="shared" si="112"/>
        <v>0.14244695076925992</v>
      </c>
      <c r="E288" s="303"/>
      <c r="F288" s="302">
        <v>0.10372243806506701</v>
      </c>
      <c r="G288" s="302">
        <v>0.21718787496774491</v>
      </c>
      <c r="H288" s="302">
        <f t="shared" si="113"/>
        <v>0.32091031303281192</v>
      </c>
      <c r="I288" s="303"/>
      <c r="J288" s="302">
        <v>0.16821905737614729</v>
      </c>
      <c r="K288" s="302">
        <v>0.35857221386802801</v>
      </c>
      <c r="L288" s="302">
        <f t="shared" si="114"/>
        <v>0.52679127124417535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2.417847540404466E-2</v>
      </c>
      <c r="C289" s="302">
        <v>4.5320670450610237E-2</v>
      </c>
      <c r="D289" s="302">
        <f t="shared" si="112"/>
        <v>6.9499145854654901E-2</v>
      </c>
      <c r="E289" s="303"/>
      <c r="F289" s="302">
        <v>4.4822164451486395E-2</v>
      </c>
      <c r="G289" s="302">
        <v>8.3058254849920507E-2</v>
      </c>
      <c r="H289" s="302">
        <f t="shared" si="113"/>
        <v>0.12788041930140689</v>
      </c>
      <c r="I289" s="303"/>
      <c r="J289" s="302">
        <v>5.0964282510381341E-2</v>
      </c>
      <c r="K289" s="302">
        <v>8.9708416081862113E-2</v>
      </c>
      <c r="L289" s="302">
        <f t="shared" si="114"/>
        <v>0.14067269859224346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32</v>
      </c>
      <c r="B291" s="311">
        <f>SUM(B281:B289)</f>
        <v>1.0019999999961151</v>
      </c>
      <c r="C291" s="311">
        <f t="shared" ref="C291:D291" si="115">SUM(C281:C289)</f>
        <v>2.4549999999938552</v>
      </c>
      <c r="D291" s="311">
        <f t="shared" si="115"/>
        <v>3.4569999999899697</v>
      </c>
      <c r="E291" s="311"/>
      <c r="F291" s="311">
        <f t="shared" ref="F291:H291" si="116">SUM(F281:F289)</f>
        <v>2.5689999999952176</v>
      </c>
      <c r="G291" s="311">
        <f t="shared" si="116"/>
        <v>5.6629999999939136</v>
      </c>
      <c r="H291" s="311">
        <f t="shared" si="116"/>
        <v>8.2319999999891333</v>
      </c>
      <c r="I291" s="311"/>
      <c r="J291" s="311">
        <f t="shared" ref="J291:L291" si="117">SUM(J281:J289)</f>
        <v>3.4829999999983454</v>
      </c>
      <c r="K291" s="311">
        <f t="shared" si="117"/>
        <v>9.3499999999985484</v>
      </c>
      <c r="L291" s="311">
        <f t="shared" si="117"/>
        <v>12.83299999999689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35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name!A20</f>
        <v>Electrical equipment</v>
      </c>
      <c r="B295" s="372">
        <f>B$6</f>
        <v>2015</v>
      </c>
      <c r="C295" s="372"/>
      <c r="D295" s="372"/>
      <c r="E295" s="253"/>
      <c r="F295" s="372">
        <f>F278</f>
        <v>2020</v>
      </c>
      <c r="G295" s="372"/>
      <c r="H295" s="372"/>
      <c r="I295" s="253"/>
      <c r="J295" s="372">
        <f>J278</f>
        <v>2035</v>
      </c>
      <c r="K295" s="372"/>
      <c r="L295" s="372"/>
      <c r="M295" s="236"/>
      <c r="N295" s="236"/>
    </row>
    <row r="296" spans="1:14" x14ac:dyDescent="0.2">
      <c r="A296" s="254"/>
      <c r="B296" s="255" t="s">
        <v>352</v>
      </c>
      <c r="C296" s="255" t="s">
        <v>353</v>
      </c>
      <c r="D296" s="255" t="s">
        <v>32</v>
      </c>
      <c r="E296" s="255"/>
      <c r="F296" s="255" t="s">
        <v>352</v>
      </c>
      <c r="G296" s="255" t="s">
        <v>353</v>
      </c>
      <c r="H296" s="255" t="s">
        <v>32</v>
      </c>
      <c r="I296" s="255"/>
      <c r="J296" s="255" t="s">
        <v>352</v>
      </c>
      <c r="K296" s="255" t="s">
        <v>353</v>
      </c>
      <c r="L296" s="255" t="s">
        <v>32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4.8425141933040948E-2</v>
      </c>
      <c r="C298" s="302">
        <v>0.27011677447048626</v>
      </c>
      <c r="D298" s="302">
        <f>SUM(B298:C298)</f>
        <v>0.31854191640352719</v>
      </c>
      <c r="E298" s="303"/>
      <c r="F298" s="302">
        <v>0.14068516956450289</v>
      </c>
      <c r="G298" s="302">
        <v>0.46881909498448665</v>
      </c>
      <c r="H298" s="302">
        <f>SUM(F298:G298)</f>
        <v>0.60950426454898954</v>
      </c>
      <c r="I298" s="303"/>
      <c r="J298" s="302">
        <v>0.16527777581526223</v>
      </c>
      <c r="K298" s="302">
        <v>0.45913849140351121</v>
      </c>
      <c r="L298" s="302">
        <f>SUM(J298:K298)</f>
        <v>0.62441626721877341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8.7312321835357892E-2</v>
      </c>
      <c r="C299" s="302">
        <v>0.27099458098147011</v>
      </c>
      <c r="D299" s="302">
        <f t="shared" ref="D299:D306" si="118">SUM(B299:C299)</f>
        <v>0.35830690281682798</v>
      </c>
      <c r="E299" s="303"/>
      <c r="F299" s="302">
        <v>0.27302864094655876</v>
      </c>
      <c r="G299" s="302">
        <v>0.5281818355814929</v>
      </c>
      <c r="H299" s="302">
        <f t="shared" ref="H299:H306" si="119">SUM(F299:G299)</f>
        <v>0.80121047652805166</v>
      </c>
      <c r="I299" s="303"/>
      <c r="J299" s="302">
        <v>0.31302836808597151</v>
      </c>
      <c r="K299" s="302">
        <v>0.56897331590859057</v>
      </c>
      <c r="L299" s="302">
        <f t="shared" ref="L299:L306" si="120">SUM(J299:K299)</f>
        <v>0.88200168399456214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8.5061326285607544E-2</v>
      </c>
      <c r="C300" s="302">
        <v>0.20507849077158119</v>
      </c>
      <c r="D300" s="302">
        <f t="shared" si="118"/>
        <v>0.29013981705718872</v>
      </c>
      <c r="E300" s="303"/>
      <c r="F300" s="302">
        <v>0.16472917892347849</v>
      </c>
      <c r="G300" s="302">
        <v>0.36886247449214193</v>
      </c>
      <c r="H300" s="302">
        <f t="shared" si="119"/>
        <v>0.53359165341562043</v>
      </c>
      <c r="I300" s="303"/>
      <c r="J300" s="302">
        <v>0.17510380959085953</v>
      </c>
      <c r="K300" s="302">
        <v>0.32418577403857951</v>
      </c>
      <c r="L300" s="302">
        <f t="shared" si="120"/>
        <v>0.49928958362943904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0.13874375609504239</v>
      </c>
      <c r="C301" s="302">
        <v>4.078240888314328E-2</v>
      </c>
      <c r="D301" s="302">
        <f t="shared" si="118"/>
        <v>0.17952616497818566</v>
      </c>
      <c r="E301" s="303"/>
      <c r="F301" s="302">
        <v>0.18185522335005988</v>
      </c>
      <c r="G301" s="302">
        <v>5.8329601952477293E-2</v>
      </c>
      <c r="H301" s="302">
        <f t="shared" si="119"/>
        <v>0.24018482530253718</v>
      </c>
      <c r="I301" s="303"/>
      <c r="J301" s="302">
        <v>0.14119812468007947</v>
      </c>
      <c r="K301" s="302">
        <v>5.740470995909823E-2</v>
      </c>
      <c r="L301" s="302">
        <f t="shared" si="120"/>
        <v>0.19860283463917772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1.0327129607053733E-2</v>
      </c>
      <c r="C302" s="302">
        <v>0.34898607254168296</v>
      </c>
      <c r="D302" s="302">
        <f t="shared" si="118"/>
        <v>0.35931320214873669</v>
      </c>
      <c r="E302" s="303"/>
      <c r="F302" s="302">
        <v>2.5739638866034767E-2</v>
      </c>
      <c r="G302" s="302">
        <v>0.39889229310314805</v>
      </c>
      <c r="H302" s="302">
        <f t="shared" si="119"/>
        <v>0.42463193196918281</v>
      </c>
      <c r="I302" s="303"/>
      <c r="J302" s="302">
        <v>4.4149991503543942E-2</v>
      </c>
      <c r="K302" s="302">
        <v>0.33587921604948379</v>
      </c>
      <c r="L302" s="302">
        <f t="shared" si="120"/>
        <v>0.38002920755302771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6.9453222136752715E-2</v>
      </c>
      <c r="C303" s="302">
        <v>1.0818577075453273E-2</v>
      </c>
      <c r="D303" s="302">
        <f t="shared" si="118"/>
        <v>8.0271799212205994E-2</v>
      </c>
      <c r="E303" s="303"/>
      <c r="F303" s="302">
        <v>8.4079331543518321E-2</v>
      </c>
      <c r="G303" s="302">
        <v>1.6156054203788666E-2</v>
      </c>
      <c r="H303" s="302">
        <f t="shared" si="119"/>
        <v>0.10023538574730699</v>
      </c>
      <c r="I303" s="303"/>
      <c r="J303" s="302">
        <v>8.4048583317632306E-2</v>
      </c>
      <c r="K303" s="302">
        <v>2.1439776921964197E-2</v>
      </c>
      <c r="L303" s="302">
        <f t="shared" si="120"/>
        <v>0.1054883602395965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2.7556597781149279E-2</v>
      </c>
      <c r="C304" s="302">
        <v>4.8727574243193787E-2</v>
      </c>
      <c r="D304" s="302">
        <f t="shared" si="118"/>
        <v>7.6284172024343067E-2</v>
      </c>
      <c r="E304" s="303"/>
      <c r="F304" s="302">
        <v>4.5685246546525768E-2</v>
      </c>
      <c r="G304" s="302">
        <v>4.3847357840220071E-2</v>
      </c>
      <c r="H304" s="302">
        <f t="shared" si="119"/>
        <v>8.9532604386745845E-2</v>
      </c>
      <c r="I304" s="303"/>
      <c r="J304" s="302">
        <v>5.3993981070200141E-2</v>
      </c>
      <c r="K304" s="302">
        <v>4.49233302315242E-2</v>
      </c>
      <c r="L304" s="302">
        <f t="shared" si="120"/>
        <v>9.8917311301724348E-2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1.8713313410553448E-2</v>
      </c>
      <c r="C305" s="302">
        <v>8.865787506259068E-2</v>
      </c>
      <c r="D305" s="302">
        <f t="shared" si="118"/>
        <v>0.10737118847314413</v>
      </c>
      <c r="E305" s="303"/>
      <c r="F305" s="302">
        <v>2.4515390356746245E-2</v>
      </c>
      <c r="G305" s="302">
        <v>9.5303779217122409E-2</v>
      </c>
      <c r="H305" s="302">
        <f t="shared" si="119"/>
        <v>0.11981916957386865</v>
      </c>
      <c r="I305" s="303"/>
      <c r="J305" s="302">
        <v>2.0328075669160835E-2</v>
      </c>
      <c r="K305" s="302">
        <v>9.431893762551688E-2</v>
      </c>
      <c r="L305" s="302">
        <f t="shared" si="120"/>
        <v>0.11464701329467772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2.2407190915684119E-2</v>
      </c>
      <c r="C306" s="302">
        <v>5.6837645972850799E-2</v>
      </c>
      <c r="D306" s="302">
        <f t="shared" si="118"/>
        <v>7.9244836888534925E-2</v>
      </c>
      <c r="E306" s="303"/>
      <c r="F306" s="302">
        <v>2.4682179905388825E-2</v>
      </c>
      <c r="G306" s="302">
        <v>5.4607508614942235E-2</v>
      </c>
      <c r="H306" s="302">
        <f t="shared" si="119"/>
        <v>7.9289688520331053E-2</v>
      </c>
      <c r="I306" s="303"/>
      <c r="J306" s="302">
        <v>1.9871290264211822E-2</v>
      </c>
      <c r="K306" s="302">
        <v>3.1736447853491827E-2</v>
      </c>
      <c r="L306" s="302">
        <f t="shared" si="120"/>
        <v>5.1607738117703653E-2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32</v>
      </c>
      <c r="B308" s="311">
        <f>SUM(B298:B306)</f>
        <v>0.50800000000024204</v>
      </c>
      <c r="C308" s="311">
        <f t="shared" ref="C308:D308" si="121">SUM(C298:C306)</f>
        <v>1.3410000000024525</v>
      </c>
      <c r="D308" s="311">
        <f t="shared" si="121"/>
        <v>1.8490000000026943</v>
      </c>
      <c r="E308" s="311"/>
      <c r="F308" s="311">
        <f t="shared" ref="F308:H308" si="122">SUM(F298:F306)</f>
        <v>0.96500000000281394</v>
      </c>
      <c r="G308" s="311">
        <f t="shared" si="122"/>
        <v>2.0329999999898201</v>
      </c>
      <c r="H308" s="311">
        <f t="shared" si="122"/>
        <v>2.9979999999926346</v>
      </c>
      <c r="I308" s="311"/>
      <c r="J308" s="311">
        <f t="shared" ref="J308:L308" si="123">SUM(J298:J306)</f>
        <v>1.0169999999969217</v>
      </c>
      <c r="K308" s="311">
        <f t="shared" si="123"/>
        <v>1.9379999999917608</v>
      </c>
      <c r="L308" s="311">
        <f t="shared" si="123"/>
        <v>2.954999999988682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35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name!A21</f>
        <v>Machinery n.e.c.</v>
      </c>
      <c r="B312" s="372">
        <f>B$6</f>
        <v>2015</v>
      </c>
      <c r="C312" s="372"/>
      <c r="D312" s="372"/>
      <c r="E312" s="253"/>
      <c r="F312" s="372">
        <f>F295</f>
        <v>2020</v>
      </c>
      <c r="G312" s="372"/>
      <c r="H312" s="372"/>
      <c r="I312" s="253"/>
      <c r="J312" s="372">
        <f>J295</f>
        <v>2035</v>
      </c>
      <c r="K312" s="372"/>
      <c r="L312" s="372"/>
      <c r="M312" s="236"/>
      <c r="N312" s="236"/>
    </row>
    <row r="313" spans="1:14" x14ac:dyDescent="0.2">
      <c r="A313" s="254"/>
      <c r="B313" s="255" t="s">
        <v>352</v>
      </c>
      <c r="C313" s="255" t="s">
        <v>353</v>
      </c>
      <c r="D313" s="255" t="s">
        <v>32</v>
      </c>
      <c r="E313" s="255"/>
      <c r="F313" s="255" t="s">
        <v>352</v>
      </c>
      <c r="G313" s="255" t="s">
        <v>353</v>
      </c>
      <c r="H313" s="255" t="s">
        <v>32</v>
      </c>
      <c r="I313" s="255"/>
      <c r="J313" s="255" t="s">
        <v>352</v>
      </c>
      <c r="K313" s="255" t="s">
        <v>353</v>
      </c>
      <c r="L313" s="255" t="s">
        <v>32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0.10052712262570898</v>
      </c>
      <c r="C315" s="302">
        <v>0.68547600275363429</v>
      </c>
      <c r="D315" s="302">
        <f>SUM(B315:C315)</f>
        <v>0.78600312537934325</v>
      </c>
      <c r="E315" s="303"/>
      <c r="F315" s="302">
        <v>6.4182704111750269E-2</v>
      </c>
      <c r="G315" s="302">
        <v>0.43323352286880695</v>
      </c>
      <c r="H315" s="302">
        <f>SUM(F315:G315)</f>
        <v>0.49741622698055721</v>
      </c>
      <c r="I315" s="303"/>
      <c r="J315" s="302">
        <v>6.4959029157803605E-2</v>
      </c>
      <c r="K315" s="302">
        <v>0.48799498421627346</v>
      </c>
      <c r="L315" s="302">
        <f>SUM(J315:K315)</f>
        <v>0.55295401337407712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0.13958917032015536</v>
      </c>
      <c r="C316" s="302">
        <v>0.72546271562199605</v>
      </c>
      <c r="D316" s="302">
        <f t="shared" ref="D316:D323" si="124">SUM(B316:C316)</f>
        <v>0.86505188594215143</v>
      </c>
      <c r="E316" s="303"/>
      <c r="F316" s="302">
        <v>0.11353137083702371</v>
      </c>
      <c r="G316" s="302">
        <v>0.50141135106888213</v>
      </c>
      <c r="H316" s="302">
        <f t="shared" ref="H316:H323" si="125">SUM(F316:G316)</f>
        <v>0.61494272190590582</v>
      </c>
      <c r="I316" s="303"/>
      <c r="J316" s="302">
        <v>0.12860623618899275</v>
      </c>
      <c r="K316" s="302">
        <v>0.62033867932989395</v>
      </c>
      <c r="L316" s="302">
        <f t="shared" ref="L316:L323" si="126">SUM(J316:K316)</f>
        <v>0.74894491551888676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0.15158895032400144</v>
      </c>
      <c r="C317" s="302">
        <v>0.50383925850982914</v>
      </c>
      <c r="D317" s="302">
        <f t="shared" si="124"/>
        <v>0.65542820883383057</v>
      </c>
      <c r="E317" s="303"/>
      <c r="F317" s="302">
        <v>0.10179704485023222</v>
      </c>
      <c r="G317" s="302">
        <v>0.3237099093346561</v>
      </c>
      <c r="H317" s="302">
        <f t="shared" si="125"/>
        <v>0.42550695418488832</v>
      </c>
      <c r="I317" s="303"/>
      <c r="J317" s="302">
        <v>0.1123993080393688</v>
      </c>
      <c r="K317" s="302">
        <v>0.33886531851242263</v>
      </c>
      <c r="L317" s="302">
        <f t="shared" si="126"/>
        <v>0.45126462655179145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0.29240585615906406</v>
      </c>
      <c r="C318" s="302">
        <v>0.12427038557280677</v>
      </c>
      <c r="D318" s="302">
        <f t="shared" si="124"/>
        <v>0.41667624173187084</v>
      </c>
      <c r="E318" s="303"/>
      <c r="F318" s="302">
        <v>0.10903536183386765</v>
      </c>
      <c r="G318" s="302">
        <v>6.6043549931419643E-2</v>
      </c>
      <c r="H318" s="302">
        <f t="shared" si="125"/>
        <v>0.17507891176528728</v>
      </c>
      <c r="I318" s="303"/>
      <c r="J318" s="302">
        <v>8.3341519141213127E-2</v>
      </c>
      <c r="K318" s="302">
        <v>7.9632378293418321E-2</v>
      </c>
      <c r="L318" s="302">
        <f t="shared" si="126"/>
        <v>0.16297389743463145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1.6361323823081021E-2</v>
      </c>
      <c r="C319" s="302">
        <v>0.9349590841525306</v>
      </c>
      <c r="D319" s="302">
        <f t="shared" si="124"/>
        <v>0.95132040797561157</v>
      </c>
      <c r="E319" s="303"/>
      <c r="F319" s="302">
        <v>1.0986376856801634E-2</v>
      </c>
      <c r="G319" s="302">
        <v>0.43216384855414797</v>
      </c>
      <c r="H319" s="302">
        <f t="shared" si="125"/>
        <v>0.44315022541094962</v>
      </c>
      <c r="I319" s="303"/>
      <c r="J319" s="302">
        <v>2.1418503524219673E-2</v>
      </c>
      <c r="K319" s="302">
        <v>0.38801857495781245</v>
      </c>
      <c r="L319" s="302">
        <f t="shared" si="126"/>
        <v>0.40943707848203215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0.13615978039445442</v>
      </c>
      <c r="C320" s="302">
        <v>1.0382001335815991E-2</v>
      </c>
      <c r="D320" s="302">
        <f t="shared" si="124"/>
        <v>0.14654178173027041</v>
      </c>
      <c r="E320" s="303"/>
      <c r="F320" s="302">
        <v>4.7898979237598033E-2</v>
      </c>
      <c r="G320" s="302">
        <v>6.1404051601618029E-3</v>
      </c>
      <c r="H320" s="302">
        <f t="shared" si="125"/>
        <v>5.4039384397759835E-2</v>
      </c>
      <c r="I320" s="303"/>
      <c r="J320" s="302">
        <v>4.5877227174127441E-2</v>
      </c>
      <c r="K320" s="302">
        <v>1.0719987455041701E-2</v>
      </c>
      <c r="L320" s="302">
        <f t="shared" si="126"/>
        <v>5.659721462916914E-2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6.327526113394065E-2</v>
      </c>
      <c r="C321" s="302">
        <v>0.10135408884721371</v>
      </c>
      <c r="D321" s="302">
        <f t="shared" si="124"/>
        <v>0.16462934998115436</v>
      </c>
      <c r="E321" s="303"/>
      <c r="F321" s="302">
        <v>3.0026797607791672E-2</v>
      </c>
      <c r="G321" s="302">
        <v>4.5363472385088942E-2</v>
      </c>
      <c r="H321" s="302">
        <f t="shared" si="125"/>
        <v>7.5390269992880621E-2</v>
      </c>
      <c r="I321" s="303"/>
      <c r="J321" s="302">
        <v>2.8353383498658204E-2</v>
      </c>
      <c r="K321" s="302">
        <v>5.330663068864587E-2</v>
      </c>
      <c r="L321" s="302">
        <f t="shared" si="126"/>
        <v>8.1660014187304078E-2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4.3144245567026611E-2</v>
      </c>
      <c r="C322" s="302">
        <v>0.21567233994678411</v>
      </c>
      <c r="D322" s="302">
        <f t="shared" si="124"/>
        <v>0.2588165855138107</v>
      </c>
      <c r="E322" s="303"/>
      <c r="F322" s="302">
        <v>2.3974492991038644E-2</v>
      </c>
      <c r="G322" s="302">
        <v>0.10865242386342827</v>
      </c>
      <c r="H322" s="302">
        <f t="shared" si="125"/>
        <v>0.13262691685446693</v>
      </c>
      <c r="I322" s="303"/>
      <c r="J322" s="302">
        <v>4.9563356018999326E-2</v>
      </c>
      <c r="K322" s="302">
        <v>0.13433576394268834</v>
      </c>
      <c r="L322" s="302">
        <f t="shared" si="126"/>
        <v>0.18389911996168767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4.8948289657092248E-2</v>
      </c>
      <c r="C323" s="302">
        <v>0.15158412326323684</v>
      </c>
      <c r="D323" s="302">
        <f t="shared" si="124"/>
        <v>0.20053241292032908</v>
      </c>
      <c r="E323" s="303"/>
      <c r="F323" s="302">
        <v>1.7566871671080866E-2</v>
      </c>
      <c r="G323" s="302">
        <v>5.7281516821303682E-2</v>
      </c>
      <c r="H323" s="302">
        <f t="shared" si="125"/>
        <v>7.4848388492384552E-2</v>
      </c>
      <c r="I323" s="303"/>
      <c r="J323" s="302">
        <v>1.5481437255892015E-2</v>
      </c>
      <c r="K323" s="302">
        <v>4.3787682593255994E-2</v>
      </c>
      <c r="L323" s="302">
        <f t="shared" si="126"/>
        <v>5.9269119849148011E-2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32</v>
      </c>
      <c r="B325" s="311">
        <f>SUM(B315:B323)</f>
        <v>0.99200000000452482</v>
      </c>
      <c r="C325" s="311">
        <f t="shared" ref="C325:D325" si="127">SUM(C315:C323)</f>
        <v>3.453000000003847</v>
      </c>
      <c r="D325" s="311">
        <f t="shared" si="127"/>
        <v>4.4450000000083714</v>
      </c>
      <c r="E325" s="311"/>
      <c r="F325" s="311">
        <f t="shared" ref="F325:H325" si="128">SUM(F315:F323)</f>
        <v>0.51899999999718471</v>
      </c>
      <c r="G325" s="311">
        <f t="shared" si="128"/>
        <v>1.9739999999878954</v>
      </c>
      <c r="H325" s="311">
        <f t="shared" si="128"/>
        <v>2.4929999999850803</v>
      </c>
      <c r="I325" s="311"/>
      <c r="J325" s="311">
        <f t="shared" ref="J325:L325" si="129">SUM(J315:J323)</f>
        <v>0.54999999999927496</v>
      </c>
      <c r="K325" s="311">
        <f t="shared" si="129"/>
        <v>2.1569999999894529</v>
      </c>
      <c r="L325" s="311">
        <f t="shared" si="129"/>
        <v>2.7069999999887275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35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name!A22</f>
        <v>Motor vehicles, etc</v>
      </c>
      <c r="B329" s="372">
        <f>B$6</f>
        <v>2015</v>
      </c>
      <c r="C329" s="372"/>
      <c r="D329" s="372"/>
      <c r="E329" s="253"/>
      <c r="F329" s="372">
        <f>F312</f>
        <v>2020</v>
      </c>
      <c r="G329" s="372"/>
      <c r="H329" s="372"/>
      <c r="I329" s="253"/>
      <c r="J329" s="372">
        <f>J312</f>
        <v>2035</v>
      </c>
      <c r="K329" s="372"/>
      <c r="L329" s="372"/>
      <c r="M329" s="236"/>
      <c r="N329" s="236"/>
    </row>
    <row r="330" spans="1:14" x14ac:dyDescent="0.2">
      <c r="A330" s="254"/>
      <c r="B330" s="255" t="s">
        <v>352</v>
      </c>
      <c r="C330" s="255" t="s">
        <v>353</v>
      </c>
      <c r="D330" s="255" t="s">
        <v>32</v>
      </c>
      <c r="E330" s="255"/>
      <c r="F330" s="255" t="s">
        <v>352</v>
      </c>
      <c r="G330" s="255" t="s">
        <v>353</v>
      </c>
      <c r="H330" s="255" t="s">
        <v>32</v>
      </c>
      <c r="I330" s="255"/>
      <c r="J330" s="255" t="s">
        <v>352</v>
      </c>
      <c r="K330" s="255" t="s">
        <v>353</v>
      </c>
      <c r="L330" s="255" t="s">
        <v>32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2.6558136483189786E-2</v>
      </c>
      <c r="C332" s="302">
        <v>0.40177374900184132</v>
      </c>
      <c r="D332" s="302">
        <f>SUM(B332:C332)</f>
        <v>0.42833188548503109</v>
      </c>
      <c r="E332" s="303"/>
      <c r="F332" s="302">
        <v>3.0282152994212896E-2</v>
      </c>
      <c r="G332" s="302">
        <v>0.41138724731790466</v>
      </c>
      <c r="H332" s="302">
        <f>SUM(F332:G332)</f>
        <v>0.44166940031211754</v>
      </c>
      <c r="I332" s="303"/>
      <c r="J332" s="302">
        <v>1.8229668001208791E-2</v>
      </c>
      <c r="K332" s="302">
        <v>0.25176543291644382</v>
      </c>
      <c r="L332" s="302">
        <f>SUM(J332:K332)</f>
        <v>0.26999510091765261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6.7672474355542175E-2</v>
      </c>
      <c r="C333" s="302">
        <v>0.7335392557764856</v>
      </c>
      <c r="D333" s="302">
        <f t="shared" ref="D333:D340" si="130">SUM(B333:C333)</f>
        <v>0.80121173013202773</v>
      </c>
      <c r="E333" s="303"/>
      <c r="F333" s="302">
        <v>7.8728912742993748E-2</v>
      </c>
      <c r="G333" s="302">
        <v>0.73288720418468645</v>
      </c>
      <c r="H333" s="302">
        <f t="shared" ref="H333:H340" si="131">SUM(F333:G333)</f>
        <v>0.81161611692768021</v>
      </c>
      <c r="I333" s="303"/>
      <c r="J333" s="302">
        <v>5.0760786102073144E-2</v>
      </c>
      <c r="K333" s="302">
        <v>0.50236967491439788</v>
      </c>
      <c r="L333" s="302">
        <f t="shared" ref="L333:L340" si="132">SUM(J333:K333)</f>
        <v>0.55313046101647101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7.4450892455363016E-2</v>
      </c>
      <c r="C334" s="302">
        <v>0.32383674712202432</v>
      </c>
      <c r="D334" s="302">
        <f t="shared" si="130"/>
        <v>0.39828763957738733</v>
      </c>
      <c r="E334" s="303"/>
      <c r="F334" s="302">
        <v>7.5183420980826976E-2</v>
      </c>
      <c r="G334" s="302">
        <v>0.32413670548107371</v>
      </c>
      <c r="H334" s="302">
        <f t="shared" si="131"/>
        <v>0.39932012646190068</v>
      </c>
      <c r="I334" s="303"/>
      <c r="J334" s="302">
        <v>4.7098574339990304E-2</v>
      </c>
      <c r="K334" s="302">
        <v>0.17810751195555216</v>
      </c>
      <c r="L334" s="302">
        <f t="shared" si="132"/>
        <v>0.22520608629554245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0.17076653392262822</v>
      </c>
      <c r="C335" s="302">
        <v>0.18631433714238926</v>
      </c>
      <c r="D335" s="302">
        <f t="shared" si="130"/>
        <v>0.35708087106501751</v>
      </c>
      <c r="E335" s="303"/>
      <c r="F335" s="302">
        <v>0.13757625110964231</v>
      </c>
      <c r="G335" s="302">
        <v>0.16685585838427777</v>
      </c>
      <c r="H335" s="302">
        <f t="shared" si="131"/>
        <v>0.30443210949392008</v>
      </c>
      <c r="I335" s="303"/>
      <c r="J335" s="302">
        <v>7.4170347919275806E-2</v>
      </c>
      <c r="K335" s="302">
        <v>9.7285674457390309E-2</v>
      </c>
      <c r="L335" s="302">
        <f t="shared" si="132"/>
        <v>0.17145602237666613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1.4529697024583317E-2</v>
      </c>
      <c r="C336" s="302">
        <v>1.0238871417946274</v>
      </c>
      <c r="D336" s="302">
        <f t="shared" si="130"/>
        <v>1.0384168388192108</v>
      </c>
      <c r="E336" s="303"/>
      <c r="F336" s="302">
        <v>1.4702064371117988E-2</v>
      </c>
      <c r="G336" s="302">
        <v>0.74454893449594794</v>
      </c>
      <c r="H336" s="302">
        <f t="shared" si="131"/>
        <v>0.75925099886706593</v>
      </c>
      <c r="I336" s="303"/>
      <c r="J336" s="302">
        <v>2.5406670650598245E-2</v>
      </c>
      <c r="K336" s="302">
        <v>0.40089156652167973</v>
      </c>
      <c r="L336" s="302">
        <f t="shared" si="132"/>
        <v>0.42629823717227799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7.0755501705249468E-2</v>
      </c>
      <c r="C337" s="302">
        <v>6.9337933057296061E-2</v>
      </c>
      <c r="D337" s="302">
        <f t="shared" si="130"/>
        <v>0.14009343476254554</v>
      </c>
      <c r="E337" s="303"/>
      <c r="F337" s="302">
        <v>5.2867677149297139E-2</v>
      </c>
      <c r="G337" s="302">
        <v>6.9759764816471351E-2</v>
      </c>
      <c r="H337" s="302">
        <f t="shared" si="131"/>
        <v>0.1226274419657685</v>
      </c>
      <c r="I337" s="303"/>
      <c r="J337" s="302">
        <v>3.1581148537987415E-2</v>
      </c>
      <c r="K337" s="302">
        <v>6.3590174476823996E-2</v>
      </c>
      <c r="L337" s="302">
        <f t="shared" si="132"/>
        <v>9.5171323014811404E-2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2.7468731369623519E-2</v>
      </c>
      <c r="C338" s="302">
        <v>0.1115183458905506</v>
      </c>
      <c r="D338" s="302">
        <f t="shared" si="130"/>
        <v>0.13898707726017412</v>
      </c>
      <c r="E338" s="303"/>
      <c r="F338" s="302">
        <v>2.2721626525581351E-2</v>
      </c>
      <c r="G338" s="302">
        <v>9.7988611947305349E-2</v>
      </c>
      <c r="H338" s="302">
        <f t="shared" si="131"/>
        <v>0.1207102384728867</v>
      </c>
      <c r="I338" s="303"/>
      <c r="J338" s="302">
        <v>1.5514353408547418E-2</v>
      </c>
      <c r="K338" s="302">
        <v>7.2004851788582624E-2</v>
      </c>
      <c r="L338" s="302">
        <f t="shared" si="132"/>
        <v>8.7519205197130037E-2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1.3555711110134473E-2</v>
      </c>
      <c r="C339" s="302">
        <v>0.42445446649899166</v>
      </c>
      <c r="D339" s="302">
        <f t="shared" si="130"/>
        <v>0.43801017760912614</v>
      </c>
      <c r="E339" s="303"/>
      <c r="F339" s="302">
        <v>8.8362729410481847E-3</v>
      </c>
      <c r="G339" s="302">
        <v>0.37264130657637862</v>
      </c>
      <c r="H339" s="302">
        <f t="shared" si="131"/>
        <v>0.38147757951742678</v>
      </c>
      <c r="I339" s="303"/>
      <c r="J339" s="302">
        <v>4.7329598655733909E-3</v>
      </c>
      <c r="K339" s="302">
        <v>0.23149894968833618</v>
      </c>
      <c r="L339" s="302">
        <f t="shared" si="132"/>
        <v>0.23623190955390957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4.9242321577955168E-2</v>
      </c>
      <c r="C340" s="302">
        <v>0.22733802375334317</v>
      </c>
      <c r="D340" s="302">
        <f t="shared" si="130"/>
        <v>0.27658034533129833</v>
      </c>
      <c r="E340" s="303"/>
      <c r="F340" s="302">
        <v>3.1101621181491738E-2</v>
      </c>
      <c r="G340" s="302">
        <v>0.1547943667623877</v>
      </c>
      <c r="H340" s="302">
        <f t="shared" si="131"/>
        <v>0.18589598794387943</v>
      </c>
      <c r="I340" s="303"/>
      <c r="J340" s="302">
        <v>1.3505491173309651E-2</v>
      </c>
      <c r="K340" s="302">
        <v>6.2486163259552571E-2</v>
      </c>
      <c r="L340" s="302">
        <f t="shared" si="132"/>
        <v>7.5991654432862224E-2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32</v>
      </c>
      <c r="B342" s="311">
        <f>SUM(B332:B340)</f>
        <v>0.51500000000426926</v>
      </c>
      <c r="C342" s="311">
        <f t="shared" ref="C342:D342" si="133">SUM(C332:C340)</f>
        <v>3.5020000000375493</v>
      </c>
      <c r="D342" s="311">
        <f t="shared" si="133"/>
        <v>4.0170000000418185</v>
      </c>
      <c r="E342" s="311"/>
      <c r="F342" s="311">
        <f t="shared" ref="F342:H342" si="134">SUM(F332:F340)</f>
        <v>0.45199999999621232</v>
      </c>
      <c r="G342" s="311">
        <f t="shared" si="134"/>
        <v>3.0749999999664337</v>
      </c>
      <c r="H342" s="311">
        <f t="shared" si="134"/>
        <v>3.526999999962646</v>
      </c>
      <c r="I342" s="311"/>
      <c r="J342" s="311">
        <f t="shared" ref="J342:L342" si="135">SUM(J332:J340)</f>
        <v>0.28099999999856407</v>
      </c>
      <c r="K342" s="311">
        <f t="shared" si="135"/>
        <v>1.8599999999787593</v>
      </c>
      <c r="L342" s="311">
        <f t="shared" si="135"/>
        <v>2.1409999999773235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35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name!A23</f>
        <v>Other transport equipment</v>
      </c>
      <c r="B346" s="372">
        <f>B$6</f>
        <v>2015</v>
      </c>
      <c r="C346" s="372"/>
      <c r="D346" s="372"/>
      <c r="E346" s="253"/>
      <c r="F346" s="372">
        <f>F329</f>
        <v>2020</v>
      </c>
      <c r="G346" s="372"/>
      <c r="H346" s="372"/>
      <c r="I346" s="253"/>
      <c r="J346" s="372">
        <f>J329</f>
        <v>2035</v>
      </c>
      <c r="K346" s="372"/>
      <c r="L346" s="372"/>
      <c r="M346" s="236"/>
      <c r="N346" s="236"/>
    </row>
    <row r="347" spans="1:14" x14ac:dyDescent="0.2">
      <c r="A347" s="254"/>
      <c r="B347" s="255" t="s">
        <v>352</v>
      </c>
      <c r="C347" s="255" t="s">
        <v>353</v>
      </c>
      <c r="D347" s="255" t="s">
        <v>32</v>
      </c>
      <c r="E347" s="255"/>
      <c r="F347" s="255" t="s">
        <v>352</v>
      </c>
      <c r="G347" s="255" t="s">
        <v>353</v>
      </c>
      <c r="H347" s="255" t="s">
        <v>32</v>
      </c>
      <c r="I347" s="255"/>
      <c r="J347" s="255" t="s">
        <v>352</v>
      </c>
      <c r="K347" s="255" t="s">
        <v>353</v>
      </c>
      <c r="L347" s="255" t="s">
        <v>32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9.2415404881291945E-3</v>
      </c>
      <c r="C349" s="302">
        <v>9.2395009575155548E-2</v>
      </c>
      <c r="D349" s="302">
        <f>SUM(B349:C349)</f>
        <v>0.10163655006328474</v>
      </c>
      <c r="E349" s="303"/>
      <c r="F349" s="302">
        <v>2.6227931763682311E-2</v>
      </c>
      <c r="G349" s="302">
        <v>0.19282106516394595</v>
      </c>
      <c r="H349" s="302">
        <f>SUM(F349:G349)</f>
        <v>0.21904899692762828</v>
      </c>
      <c r="I349" s="303"/>
      <c r="J349" s="302">
        <v>1.9159667144342515E-2</v>
      </c>
      <c r="K349" s="302">
        <v>0.11476278649573192</v>
      </c>
      <c r="L349" s="302">
        <f>SUM(J349:K349)</f>
        <v>0.13392245364007443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2.8555219533089739E-2</v>
      </c>
      <c r="C350" s="302">
        <v>0.18826739707916795</v>
      </c>
      <c r="D350" s="302">
        <f t="shared" ref="D350:D357" si="136">SUM(B350:C350)</f>
        <v>0.21682261661225768</v>
      </c>
      <c r="E350" s="303"/>
      <c r="F350" s="302">
        <v>8.8071724722329062E-2</v>
      </c>
      <c r="G350" s="302">
        <v>0.41617620718027493</v>
      </c>
      <c r="H350" s="302">
        <f t="shared" ref="H350:H357" si="137">SUM(F350:G350)</f>
        <v>0.50424793190260397</v>
      </c>
      <c r="I350" s="303"/>
      <c r="J350" s="302">
        <v>7.0255049690662416E-2</v>
      </c>
      <c r="K350" s="302">
        <v>0.2953206885596571</v>
      </c>
      <c r="L350" s="302">
        <f t="shared" ref="L350:L357" si="138">SUM(J350:K350)</f>
        <v>0.36557573825031953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2.6715148803317733E-2</v>
      </c>
      <c r="C351" s="302">
        <v>0.10023247523169346</v>
      </c>
      <c r="D351" s="302">
        <f t="shared" si="136"/>
        <v>0.1269476240350112</v>
      </c>
      <c r="E351" s="303"/>
      <c r="F351" s="302">
        <v>6.9789381869120842E-2</v>
      </c>
      <c r="G351" s="302">
        <v>0.21099701071794502</v>
      </c>
      <c r="H351" s="302">
        <f t="shared" si="137"/>
        <v>0.28078639258706584</v>
      </c>
      <c r="I351" s="303"/>
      <c r="J351" s="302">
        <v>5.1345379950568919E-2</v>
      </c>
      <c r="K351" s="302">
        <v>0.12480518125841555</v>
      </c>
      <c r="L351" s="302">
        <f t="shared" si="138"/>
        <v>0.17615056120898448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3.741074287832858E-2</v>
      </c>
      <c r="C352" s="302">
        <v>2.6825449441668755E-2</v>
      </c>
      <c r="D352" s="302">
        <f t="shared" si="136"/>
        <v>6.4236192319997332E-2</v>
      </c>
      <c r="E352" s="303"/>
      <c r="F352" s="302">
        <v>8.0112792485071291E-2</v>
      </c>
      <c r="G352" s="302">
        <v>5.233250961404104E-2</v>
      </c>
      <c r="H352" s="302">
        <f t="shared" si="137"/>
        <v>0.13244530209911232</v>
      </c>
      <c r="I352" s="303"/>
      <c r="J352" s="302">
        <v>3.9878983108659886E-2</v>
      </c>
      <c r="K352" s="302">
        <v>2.9498837811101398E-2</v>
      </c>
      <c r="L352" s="302">
        <f t="shared" si="138"/>
        <v>6.9377820919761288E-2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6.7602244466096395E-3</v>
      </c>
      <c r="C353" s="302">
        <v>0.30897666355923648</v>
      </c>
      <c r="D353" s="302">
        <f t="shared" si="136"/>
        <v>0.31573688800584609</v>
      </c>
      <c r="E353" s="303"/>
      <c r="F353" s="302">
        <v>1.4716902240393681E-2</v>
      </c>
      <c r="G353" s="302">
        <v>0.63185885848010359</v>
      </c>
      <c r="H353" s="302">
        <f t="shared" si="137"/>
        <v>0.64657576072049727</v>
      </c>
      <c r="I353" s="303"/>
      <c r="J353" s="302">
        <v>1.6838258865560479E-2</v>
      </c>
      <c r="K353" s="302">
        <v>0.30603933031424657</v>
      </c>
      <c r="L353" s="302">
        <f t="shared" si="138"/>
        <v>0.32287758917980702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2.7359059224298394E-3</v>
      </c>
      <c r="C354" s="302">
        <v>1.9892714668580192E-3</v>
      </c>
      <c r="D354" s="302">
        <f t="shared" si="136"/>
        <v>4.7251773892878586E-3</v>
      </c>
      <c r="E354" s="303"/>
      <c r="F354" s="302">
        <v>5.8419932532177248E-3</v>
      </c>
      <c r="G354" s="302">
        <v>4.7748291075114281E-3</v>
      </c>
      <c r="H354" s="302">
        <f t="shared" si="137"/>
        <v>1.0616822360729153E-2</v>
      </c>
      <c r="I354" s="303"/>
      <c r="J354" s="302">
        <v>3.7657240385249092E-3</v>
      </c>
      <c r="K354" s="302">
        <v>3.7987201531734503E-3</v>
      </c>
      <c r="L354" s="302">
        <f t="shared" si="138"/>
        <v>7.5644441916983595E-3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4.3932022862921321E-3</v>
      </c>
      <c r="C355" s="302">
        <v>7.9591046499659802E-3</v>
      </c>
      <c r="D355" s="302">
        <f t="shared" si="136"/>
        <v>1.2352306936258113E-2</v>
      </c>
      <c r="E355" s="303"/>
      <c r="F355" s="302">
        <v>1.0660732391402472E-2</v>
      </c>
      <c r="G355" s="302">
        <v>1.5373642640402115E-2</v>
      </c>
      <c r="H355" s="302">
        <f t="shared" si="137"/>
        <v>2.6034375031804585E-2</v>
      </c>
      <c r="I355" s="303"/>
      <c r="J355" s="302">
        <v>7.8075593038728535E-3</v>
      </c>
      <c r="K355" s="302">
        <v>1.181619004984996E-2</v>
      </c>
      <c r="L355" s="302">
        <f t="shared" si="138"/>
        <v>1.9623749353722814E-2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2.418331588952374E-3</v>
      </c>
      <c r="C356" s="302">
        <v>3.7115260570761095E-2</v>
      </c>
      <c r="D356" s="302">
        <f t="shared" si="136"/>
        <v>3.9533592159713471E-2</v>
      </c>
      <c r="E356" s="303"/>
      <c r="F356" s="302">
        <v>4.1948280647465391E-3</v>
      </c>
      <c r="G356" s="302">
        <v>0.11437774179625768</v>
      </c>
      <c r="H356" s="302">
        <f t="shared" si="137"/>
        <v>0.11857256986100422</v>
      </c>
      <c r="I356" s="303"/>
      <c r="J356" s="302">
        <v>3.2333799051934061E-3</v>
      </c>
      <c r="K356" s="302">
        <v>8.7851700892533358E-2</v>
      </c>
      <c r="L356" s="302">
        <f t="shared" si="138"/>
        <v>9.1085080797726758E-2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2.7696840523239166E-3</v>
      </c>
      <c r="C357" s="302">
        <v>2.3239368428675616E-2</v>
      </c>
      <c r="D357" s="302">
        <f t="shared" si="136"/>
        <v>2.6009052480999533E-2</v>
      </c>
      <c r="E357" s="303"/>
      <c r="F357" s="302">
        <v>8.3837132086563085E-3</v>
      </c>
      <c r="G357" s="302">
        <v>6.7288135274180386E-2</v>
      </c>
      <c r="H357" s="302">
        <f t="shared" si="137"/>
        <v>7.5671848482836701E-2</v>
      </c>
      <c r="I357" s="303"/>
      <c r="J357" s="302">
        <v>3.7159979927493571E-3</v>
      </c>
      <c r="K357" s="302">
        <v>4.3106564449285491E-2</v>
      </c>
      <c r="L357" s="302">
        <f t="shared" si="138"/>
        <v>4.6822562442034851E-2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32</v>
      </c>
      <c r="B359" s="311">
        <f>SUM(B349:B357)</f>
        <v>0.12099999999947313</v>
      </c>
      <c r="C359" s="311">
        <f t="shared" ref="C359:D359" si="139">SUM(C349:C357)</f>
        <v>0.78700000000318282</v>
      </c>
      <c r="D359" s="311">
        <f t="shared" si="139"/>
        <v>0.90800000000265602</v>
      </c>
      <c r="E359" s="311"/>
      <c r="F359" s="311">
        <f t="shared" ref="F359:H359" si="140">SUM(F349:F357)</f>
        <v>0.30799999999862021</v>
      </c>
      <c r="G359" s="311">
        <f t="shared" si="140"/>
        <v>1.7059999999746618</v>
      </c>
      <c r="H359" s="311">
        <f t="shared" si="140"/>
        <v>2.0139999999732829</v>
      </c>
      <c r="I359" s="311"/>
      <c r="J359" s="311">
        <f t="shared" ref="J359:L359" si="141">SUM(J349:J357)</f>
        <v>0.21600000000013475</v>
      </c>
      <c r="K359" s="311">
        <f t="shared" si="141"/>
        <v>1.0169999999839947</v>
      </c>
      <c r="L359" s="311">
        <f t="shared" si="141"/>
        <v>1.2329999999841297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35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name!A24</f>
        <v>Furniture</v>
      </c>
      <c r="B363" s="372">
        <f>B$6</f>
        <v>2015</v>
      </c>
      <c r="C363" s="372"/>
      <c r="D363" s="372"/>
      <c r="E363" s="253"/>
      <c r="F363" s="372">
        <f>F346</f>
        <v>2020</v>
      </c>
      <c r="G363" s="372"/>
      <c r="H363" s="372"/>
      <c r="I363" s="253"/>
      <c r="J363" s="372">
        <f>J346</f>
        <v>2035</v>
      </c>
      <c r="K363" s="372"/>
      <c r="L363" s="372"/>
      <c r="M363" s="236"/>
      <c r="N363" s="236"/>
    </row>
    <row r="364" spans="1:14" x14ac:dyDescent="0.2">
      <c r="A364" s="254"/>
      <c r="B364" s="255" t="s">
        <v>352</v>
      </c>
      <c r="C364" s="255" t="s">
        <v>353</v>
      </c>
      <c r="D364" s="255" t="s">
        <v>32</v>
      </c>
      <c r="E364" s="255"/>
      <c r="F364" s="255" t="s">
        <v>352</v>
      </c>
      <c r="G364" s="255" t="s">
        <v>353</v>
      </c>
      <c r="H364" s="255" t="s">
        <v>32</v>
      </c>
      <c r="I364" s="255"/>
      <c r="J364" s="255" t="s">
        <v>352</v>
      </c>
      <c r="K364" s="255" t="s">
        <v>353</v>
      </c>
      <c r="L364" s="255" t="s">
        <v>32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9.4200082387624978E-2</v>
      </c>
      <c r="C366" s="302">
        <v>0.68915967428211611</v>
      </c>
      <c r="D366" s="302">
        <f>SUM(B366:C366)</f>
        <v>0.78335975666974111</v>
      </c>
      <c r="E366" s="303"/>
      <c r="F366" s="302">
        <v>0.12918374313029535</v>
      </c>
      <c r="G366" s="302">
        <v>0.52935535329325445</v>
      </c>
      <c r="H366" s="302">
        <f>SUM(F366:G366)</f>
        <v>0.6585390964235498</v>
      </c>
      <c r="I366" s="303"/>
      <c r="J366" s="302">
        <v>9.4295702120055974E-2</v>
      </c>
      <c r="K366" s="302">
        <v>0.38121592575607183</v>
      </c>
      <c r="L366" s="302">
        <f>SUM(J366:K366)</f>
        <v>0.47551162787612777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0.14415887386766549</v>
      </c>
      <c r="C367" s="302">
        <v>0.52686988082592545</v>
      </c>
      <c r="D367" s="302">
        <f t="shared" ref="D367:D374" si="142">SUM(B367:C367)</f>
        <v>0.67102875469359091</v>
      </c>
      <c r="E367" s="303"/>
      <c r="F367" s="302">
        <v>0.18832871310822855</v>
      </c>
      <c r="G367" s="302">
        <v>0.47478079294338349</v>
      </c>
      <c r="H367" s="302">
        <f t="shared" ref="H367:H374" si="143">SUM(F367:G367)</f>
        <v>0.66310950605161201</v>
      </c>
      <c r="I367" s="303"/>
      <c r="J367" s="302">
        <v>0.13652618977325154</v>
      </c>
      <c r="K367" s="302">
        <v>0.40332102287804844</v>
      </c>
      <c r="L367" s="302">
        <f t="shared" ref="L367:L374" si="144">SUM(J367:K367)</f>
        <v>0.53984721265129998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0.17666265514850674</v>
      </c>
      <c r="C368" s="302">
        <v>0.54317439417958469</v>
      </c>
      <c r="D368" s="302">
        <f t="shared" si="142"/>
        <v>0.71983704932809145</v>
      </c>
      <c r="E368" s="303"/>
      <c r="F368" s="302">
        <v>0.19903205828548504</v>
      </c>
      <c r="G368" s="302">
        <v>0.43970838299086507</v>
      </c>
      <c r="H368" s="302">
        <f t="shared" si="143"/>
        <v>0.6387404412763501</v>
      </c>
      <c r="I368" s="303"/>
      <c r="J368" s="302">
        <v>0.14931038332965141</v>
      </c>
      <c r="K368" s="302">
        <v>0.31912074904056803</v>
      </c>
      <c r="L368" s="302">
        <f t="shared" si="144"/>
        <v>0.46843113237021944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0.18985929231531334</v>
      </c>
      <c r="C369" s="302">
        <v>0.16888918055778201</v>
      </c>
      <c r="D369" s="302">
        <f t="shared" si="142"/>
        <v>0.35874847287309536</v>
      </c>
      <c r="E369" s="303"/>
      <c r="F369" s="302">
        <v>0.22748082026910738</v>
      </c>
      <c r="G369" s="302">
        <v>0.13697909811267148</v>
      </c>
      <c r="H369" s="302">
        <f t="shared" si="143"/>
        <v>0.36445991838177882</v>
      </c>
      <c r="I369" s="303"/>
      <c r="J369" s="302">
        <v>0.11019209697894618</v>
      </c>
      <c r="K369" s="302">
        <v>8.6638278426602391E-2</v>
      </c>
      <c r="L369" s="302">
        <f t="shared" si="144"/>
        <v>0.19683037540554857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0.12203809822100839</v>
      </c>
      <c r="C370" s="302">
        <v>1.3331245141014019</v>
      </c>
      <c r="D370" s="302">
        <f t="shared" si="142"/>
        <v>1.4551626123224102</v>
      </c>
      <c r="E370" s="303"/>
      <c r="F370" s="302">
        <v>0.12825597446257456</v>
      </c>
      <c r="G370" s="302">
        <v>0.77874892167493459</v>
      </c>
      <c r="H370" s="302">
        <f t="shared" si="143"/>
        <v>0.90700489613750912</v>
      </c>
      <c r="I370" s="303"/>
      <c r="J370" s="302">
        <v>9.0984740420591556E-2</v>
      </c>
      <c r="K370" s="302">
        <v>0.46876369137285939</v>
      </c>
      <c r="L370" s="302">
        <f t="shared" si="144"/>
        <v>0.55974843179345091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2.3795305842252541E-2</v>
      </c>
      <c r="C371" s="302">
        <v>2.7840833354617758E-2</v>
      </c>
      <c r="D371" s="302">
        <f t="shared" si="142"/>
        <v>5.1636139196870295E-2</v>
      </c>
      <c r="E371" s="303"/>
      <c r="F371" s="302">
        <v>2.6399136476741671E-2</v>
      </c>
      <c r="G371" s="302">
        <v>3.881389750137873E-2</v>
      </c>
      <c r="H371" s="302">
        <f t="shared" si="143"/>
        <v>6.5213033978120394E-2</v>
      </c>
      <c r="I371" s="303"/>
      <c r="J371" s="302">
        <v>1.3668771965599907E-2</v>
      </c>
      <c r="K371" s="302">
        <v>3.5588398016785726E-2</v>
      </c>
      <c r="L371" s="302">
        <f t="shared" si="144"/>
        <v>4.9257169982385635E-2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4.9653139608281507E-2</v>
      </c>
      <c r="C372" s="302">
        <v>0.15295034581170791</v>
      </c>
      <c r="D372" s="302">
        <f t="shared" si="142"/>
        <v>0.2026034854199894</v>
      </c>
      <c r="E372" s="303"/>
      <c r="F372" s="302">
        <v>5.8509943369348859E-2</v>
      </c>
      <c r="G372" s="302">
        <v>0.13642106929124098</v>
      </c>
      <c r="H372" s="302">
        <f t="shared" si="143"/>
        <v>0.19493101266058985</v>
      </c>
      <c r="I372" s="303"/>
      <c r="J372" s="302">
        <v>3.7485235406732306E-2</v>
      </c>
      <c r="K372" s="302">
        <v>0.11956441918315605</v>
      </c>
      <c r="L372" s="302">
        <f t="shared" si="144"/>
        <v>0.15704965458988834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7.7302427555955025E-2</v>
      </c>
      <c r="C373" s="302">
        <v>0.2726131866296217</v>
      </c>
      <c r="D373" s="302">
        <f t="shared" si="142"/>
        <v>0.34991561418557671</v>
      </c>
      <c r="E373" s="303"/>
      <c r="F373" s="302">
        <v>7.846193623630407E-2</v>
      </c>
      <c r="G373" s="302">
        <v>0.17934549429982857</v>
      </c>
      <c r="H373" s="302">
        <f t="shared" si="143"/>
        <v>0.25780743053613264</v>
      </c>
      <c r="I373" s="303"/>
      <c r="J373" s="302">
        <v>9.9791425266028827E-2</v>
      </c>
      <c r="K373" s="302">
        <v>0.12078983645351271</v>
      </c>
      <c r="L373" s="302">
        <f t="shared" si="144"/>
        <v>0.22058126171954154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3.6330125057740865E-2</v>
      </c>
      <c r="C374" s="302">
        <v>0.19737799028498718</v>
      </c>
      <c r="D374" s="302">
        <f t="shared" si="142"/>
        <v>0.23370811534272803</v>
      </c>
      <c r="E374" s="303"/>
      <c r="F374" s="302">
        <v>4.034767466063028E-2</v>
      </c>
      <c r="G374" s="302">
        <v>0.15984698986671997</v>
      </c>
      <c r="H374" s="302">
        <f t="shared" si="143"/>
        <v>0.20019466452735024</v>
      </c>
      <c r="I374" s="303"/>
      <c r="J374" s="302">
        <v>1.6745454736162881E-2</v>
      </c>
      <c r="K374" s="302">
        <v>9.1997678855556472E-2</v>
      </c>
      <c r="L374" s="302">
        <f t="shared" si="144"/>
        <v>0.10874313359171936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32</v>
      </c>
      <c r="B376" s="311">
        <f>SUM(B366:B374)</f>
        <v>0.914000000004349</v>
      </c>
      <c r="C376" s="311">
        <f t="shared" ref="C376:D376" si="145">SUM(C366:C374)</f>
        <v>3.9120000000277444</v>
      </c>
      <c r="D376" s="311">
        <f t="shared" si="145"/>
        <v>4.8260000000320931</v>
      </c>
      <c r="E376" s="311"/>
      <c r="F376" s="311">
        <f t="shared" ref="F376:H376" si="146">SUM(F366:F374)</f>
        <v>1.0759999999987158</v>
      </c>
      <c r="G376" s="311">
        <f t="shared" si="146"/>
        <v>2.8739999999742776</v>
      </c>
      <c r="H376" s="311">
        <f t="shared" si="146"/>
        <v>3.9499999999729929</v>
      </c>
      <c r="I376" s="311"/>
      <c r="J376" s="311">
        <f t="shared" ref="J376:L376" si="147">SUM(J366:J374)</f>
        <v>0.74899999999702049</v>
      </c>
      <c r="K376" s="311">
        <f t="shared" si="147"/>
        <v>2.0269999999831612</v>
      </c>
      <c r="L376" s="311">
        <f t="shared" si="147"/>
        <v>2.7759999999801819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35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name!A25</f>
        <v>Other manufacturing</v>
      </c>
      <c r="B380" s="372">
        <f>B$6</f>
        <v>2015</v>
      </c>
      <c r="C380" s="372"/>
      <c r="D380" s="372"/>
      <c r="E380" s="253"/>
      <c r="F380" s="372">
        <f>F363</f>
        <v>2020</v>
      </c>
      <c r="G380" s="372"/>
      <c r="H380" s="372"/>
      <c r="I380" s="253"/>
      <c r="J380" s="372">
        <f>J363</f>
        <v>2035</v>
      </c>
      <c r="K380" s="372"/>
      <c r="L380" s="372"/>
      <c r="M380" s="236"/>
      <c r="N380" s="236"/>
    </row>
    <row r="381" spans="1:14" x14ac:dyDescent="0.2">
      <c r="A381" s="254"/>
      <c r="B381" s="255" t="s">
        <v>352</v>
      </c>
      <c r="C381" s="255" t="s">
        <v>353</v>
      </c>
      <c r="D381" s="255" t="s">
        <v>32</v>
      </c>
      <c r="E381" s="255"/>
      <c r="F381" s="255" t="s">
        <v>352</v>
      </c>
      <c r="G381" s="255" t="s">
        <v>353</v>
      </c>
      <c r="H381" s="255" t="s">
        <v>32</v>
      </c>
      <c r="I381" s="255"/>
      <c r="J381" s="255" t="s">
        <v>352</v>
      </c>
      <c r="K381" s="255" t="s">
        <v>353</v>
      </c>
      <c r="L381" s="255" t="s">
        <v>32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0.38484265900977815</v>
      </c>
      <c r="C383" s="302">
        <v>0.58338912306643576</v>
      </c>
      <c r="D383" s="302">
        <f>SUM(B383:C383)</f>
        <v>0.96823178207621385</v>
      </c>
      <c r="E383" s="303"/>
      <c r="F383" s="302">
        <v>0.65987297473832285</v>
      </c>
      <c r="G383" s="302">
        <v>1.0758009936452526</v>
      </c>
      <c r="H383" s="302">
        <f>SUM(F383:G383)</f>
        <v>1.7356739683835753</v>
      </c>
      <c r="I383" s="303"/>
      <c r="J383" s="302">
        <v>0.49079820942765012</v>
      </c>
      <c r="K383" s="302">
        <v>0.76222744260445663</v>
      </c>
      <c r="L383" s="302">
        <f>SUM(J383:K383)</f>
        <v>1.2530256520321068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0.57727728701590031</v>
      </c>
      <c r="C384" s="302">
        <v>0.46934890551829378</v>
      </c>
      <c r="D384" s="302">
        <f t="shared" ref="D384:D391" si="148">SUM(B384:C384)</f>
        <v>1.0466261925341942</v>
      </c>
      <c r="E384" s="303"/>
      <c r="F384" s="302">
        <v>1.1370597002834766</v>
      </c>
      <c r="G384" s="302">
        <v>0.99401621256605854</v>
      </c>
      <c r="H384" s="302">
        <f t="shared" ref="H384:H391" si="149">SUM(F384:G384)</f>
        <v>2.1310759128495351</v>
      </c>
      <c r="I384" s="303"/>
      <c r="J384" s="302">
        <v>0.88748861580554872</v>
      </c>
      <c r="K384" s="302">
        <v>0.87808784984381372</v>
      </c>
      <c r="L384" s="302">
        <f t="shared" ref="L384:L391" si="150">SUM(J384:K384)</f>
        <v>1.7655764656493624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0.6017014316210223</v>
      </c>
      <c r="C385" s="302">
        <v>0.45630099075743386</v>
      </c>
      <c r="D385" s="302">
        <f t="shared" si="148"/>
        <v>1.0580024223784561</v>
      </c>
      <c r="E385" s="303"/>
      <c r="F385" s="302">
        <v>0.98897582282142749</v>
      </c>
      <c r="G385" s="302">
        <v>0.84523512035253456</v>
      </c>
      <c r="H385" s="302">
        <f t="shared" si="149"/>
        <v>1.8342109431739622</v>
      </c>
      <c r="I385" s="303"/>
      <c r="J385" s="302">
        <v>0.72866997497142816</v>
      </c>
      <c r="K385" s="302">
        <v>0.60263486938708732</v>
      </c>
      <c r="L385" s="302">
        <f t="shared" si="150"/>
        <v>1.3313048443585154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0.58444077042513864</v>
      </c>
      <c r="C386" s="302">
        <v>0.13766788986869177</v>
      </c>
      <c r="D386" s="302">
        <f t="shared" si="148"/>
        <v>0.72210866029383047</v>
      </c>
      <c r="E386" s="303"/>
      <c r="F386" s="302">
        <v>0.68962120601880517</v>
      </c>
      <c r="G386" s="302">
        <v>0.19539765194512004</v>
      </c>
      <c r="H386" s="302">
        <f t="shared" si="149"/>
        <v>0.88501885796392521</v>
      </c>
      <c r="I386" s="303"/>
      <c r="J386" s="302">
        <v>0.3251279062944738</v>
      </c>
      <c r="K386" s="302">
        <v>0.11009108380415163</v>
      </c>
      <c r="L386" s="302">
        <f t="shared" si="150"/>
        <v>0.43521899009862541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0.2970420289815206</v>
      </c>
      <c r="C387" s="302">
        <v>1.0521534882180872</v>
      </c>
      <c r="D387" s="302">
        <f t="shared" si="148"/>
        <v>1.3491955171996077</v>
      </c>
      <c r="E387" s="303"/>
      <c r="F387" s="302">
        <v>0.37824988456995068</v>
      </c>
      <c r="G387" s="302">
        <v>1.5874860753588638</v>
      </c>
      <c r="H387" s="302">
        <f t="shared" si="149"/>
        <v>1.9657359599288144</v>
      </c>
      <c r="I387" s="303"/>
      <c r="J387" s="302">
        <v>0.32331819014829011</v>
      </c>
      <c r="K387" s="302">
        <v>0.89435478804675062</v>
      </c>
      <c r="L387" s="302">
        <f t="shared" si="150"/>
        <v>1.2176729781950408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6.674612571329315E-2</v>
      </c>
      <c r="C388" s="302">
        <v>3.2065441568579801E-2</v>
      </c>
      <c r="D388" s="302">
        <f t="shared" si="148"/>
        <v>9.8811567281872958E-2</v>
      </c>
      <c r="E388" s="303"/>
      <c r="F388" s="302">
        <v>6.781082971777265E-2</v>
      </c>
      <c r="G388" s="302">
        <v>3.6955613717155091E-2</v>
      </c>
      <c r="H388" s="302">
        <f t="shared" si="149"/>
        <v>0.10476644343492775</v>
      </c>
      <c r="I388" s="303"/>
      <c r="J388" s="302">
        <v>4.0076268564663869E-2</v>
      </c>
      <c r="K388" s="302">
        <v>3.3599158695300647E-2</v>
      </c>
      <c r="L388" s="302">
        <f t="shared" si="150"/>
        <v>7.367542725996451E-2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0.15814359776297454</v>
      </c>
      <c r="C389" s="302">
        <v>0.13675867948233986</v>
      </c>
      <c r="D389" s="302">
        <f t="shared" si="148"/>
        <v>0.29490227724531437</v>
      </c>
      <c r="E389" s="303"/>
      <c r="F389" s="302">
        <v>0.18953789746402616</v>
      </c>
      <c r="G389" s="302">
        <v>0.14676345792639509</v>
      </c>
      <c r="H389" s="302">
        <f t="shared" si="149"/>
        <v>0.33630135539042127</v>
      </c>
      <c r="I389" s="303"/>
      <c r="J389" s="302">
        <v>0.12581097957260218</v>
      </c>
      <c r="K389" s="302">
        <v>9.4168669509272773E-2</v>
      </c>
      <c r="L389" s="302">
        <f t="shared" si="150"/>
        <v>0.21997964908187495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0.22936643846283045</v>
      </c>
      <c r="C390" s="302">
        <v>0.24733297931308118</v>
      </c>
      <c r="D390" s="302">
        <f t="shared" si="148"/>
        <v>0.47669941777591163</v>
      </c>
      <c r="E390" s="303"/>
      <c r="F390" s="302">
        <v>0.20742795127422389</v>
      </c>
      <c r="G390" s="302">
        <v>0.33743197340495262</v>
      </c>
      <c r="H390" s="302">
        <f t="shared" si="149"/>
        <v>0.54485992467917654</v>
      </c>
      <c r="I390" s="303"/>
      <c r="J390" s="302">
        <v>0.1323138815937828</v>
      </c>
      <c r="K390" s="302">
        <v>0.2132900159224434</v>
      </c>
      <c r="L390" s="302">
        <f t="shared" si="150"/>
        <v>0.34560389751622622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7.5439661002598649E-2</v>
      </c>
      <c r="C391" s="302">
        <v>0.18698250223310128</v>
      </c>
      <c r="D391" s="302">
        <f t="shared" si="148"/>
        <v>0.26242216323569995</v>
      </c>
      <c r="E391" s="303"/>
      <c r="F391" s="302">
        <v>5.144373310877718E-2</v>
      </c>
      <c r="G391" s="302">
        <v>0.14791290104543367</v>
      </c>
      <c r="H391" s="302">
        <f t="shared" si="149"/>
        <v>0.19935663415421084</v>
      </c>
      <c r="I391" s="303"/>
      <c r="J391" s="302">
        <v>2.239597363010452E-2</v>
      </c>
      <c r="K391" s="302">
        <v>5.3546122175313571E-2</v>
      </c>
      <c r="L391" s="302">
        <f t="shared" si="150"/>
        <v>7.5942095805418094E-2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32</v>
      </c>
      <c r="B393" s="311">
        <f>SUM(B383:B391)</f>
        <v>2.9749999999950569</v>
      </c>
      <c r="C393" s="311">
        <f t="shared" ref="C393:D393" si="151">SUM(C383:C391)</f>
        <v>3.3020000000260441</v>
      </c>
      <c r="D393" s="311">
        <f t="shared" si="151"/>
        <v>6.2770000000211006</v>
      </c>
      <c r="E393" s="311"/>
      <c r="F393" s="311">
        <f t="shared" ref="F393:H393" si="152">SUM(F383:F391)</f>
        <v>4.3699999999967822</v>
      </c>
      <c r="G393" s="311">
        <f t="shared" si="152"/>
        <v>5.3669999999617666</v>
      </c>
      <c r="H393" s="311">
        <f t="shared" si="152"/>
        <v>9.7369999999585506</v>
      </c>
      <c r="I393" s="311"/>
      <c r="J393" s="311">
        <f t="shared" ref="J393:L393" si="153">SUM(J383:J391)</f>
        <v>3.0760000000085439</v>
      </c>
      <c r="K393" s="311">
        <f t="shared" si="153"/>
        <v>3.6419999999885908</v>
      </c>
      <c r="L393" s="311">
        <f t="shared" si="153"/>
        <v>6.7179999999971347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  <row r="395" spans="1:14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56" t="s">
        <v>35</v>
      </c>
      <c r="M395" s="236"/>
      <c r="N395" s="236"/>
    </row>
    <row r="396" spans="1:14" x14ac:dyDescent="0.2">
      <c r="A396" s="242"/>
      <c r="B396" s="250"/>
      <c r="C396" s="250"/>
      <c r="D396" s="250"/>
      <c r="E396" s="250"/>
      <c r="F396" s="250"/>
      <c r="G396" s="250"/>
      <c r="H396" s="250"/>
      <c r="I396" s="250"/>
      <c r="J396" s="250"/>
      <c r="K396" s="250"/>
      <c r="L396" s="236"/>
      <c r="M396" s="236"/>
      <c r="N396" s="236"/>
    </row>
    <row r="397" spans="1:14" x14ac:dyDescent="0.2">
      <c r="A397" s="241" t="str">
        <f>name!A26</f>
        <v>Repair and installation</v>
      </c>
      <c r="B397" s="372">
        <f>B$6</f>
        <v>2015</v>
      </c>
      <c r="C397" s="372"/>
      <c r="D397" s="372"/>
      <c r="E397" s="253"/>
      <c r="F397" s="372">
        <f>F380</f>
        <v>2020</v>
      </c>
      <c r="G397" s="372"/>
      <c r="H397" s="372"/>
      <c r="I397" s="253"/>
      <c r="J397" s="372">
        <f>J380</f>
        <v>2035</v>
      </c>
      <c r="K397" s="372"/>
      <c r="L397" s="372"/>
      <c r="M397" s="236"/>
      <c r="N397" s="236"/>
    </row>
    <row r="398" spans="1:14" x14ac:dyDescent="0.2">
      <c r="A398" s="254"/>
      <c r="B398" s="255" t="s">
        <v>352</v>
      </c>
      <c r="C398" s="255" t="s">
        <v>353</v>
      </c>
      <c r="D398" s="255" t="s">
        <v>32</v>
      </c>
      <c r="E398" s="255"/>
      <c r="F398" s="255" t="s">
        <v>352</v>
      </c>
      <c r="G398" s="255" t="s">
        <v>353</v>
      </c>
      <c r="H398" s="255" t="s">
        <v>32</v>
      </c>
      <c r="I398" s="255"/>
      <c r="J398" s="255" t="s">
        <v>352</v>
      </c>
      <c r="K398" s="255" t="s">
        <v>353</v>
      </c>
      <c r="L398" s="255" t="s">
        <v>32</v>
      </c>
      <c r="M398" s="236"/>
      <c r="N398" s="236"/>
    </row>
    <row r="399" spans="1:14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  <c r="N399" s="236"/>
    </row>
    <row r="400" spans="1:14" x14ac:dyDescent="0.2">
      <c r="A400" s="237" t="str">
        <f>name!E$4</f>
        <v>Managers, directors and senior officials</v>
      </c>
      <c r="B400" s="302">
        <v>7.8684889844901976E-2</v>
      </c>
      <c r="C400" s="302">
        <v>1.1171730819664225</v>
      </c>
      <c r="D400" s="302">
        <f>SUM(B400:C400)</f>
        <v>1.1958579718113245</v>
      </c>
      <c r="E400" s="303"/>
      <c r="F400" s="302">
        <v>0.17552925389893997</v>
      </c>
      <c r="G400" s="302">
        <v>2.5946836667041326</v>
      </c>
      <c r="H400" s="302">
        <f>SUM(F400:G400)</f>
        <v>2.7702129206030728</v>
      </c>
      <c r="I400" s="303"/>
      <c r="J400" s="302">
        <v>0.11577515045376939</v>
      </c>
      <c r="K400" s="302">
        <v>2.0133019712558551</v>
      </c>
      <c r="L400" s="302">
        <f>SUM(J400:K400)</f>
        <v>2.1290771217096243</v>
      </c>
      <c r="M400" s="236"/>
      <c r="N400" s="236"/>
    </row>
    <row r="401" spans="1:14" x14ac:dyDescent="0.2">
      <c r="A401" s="237" t="str">
        <f>name!E$5</f>
        <v>Professional occupations</v>
      </c>
      <c r="B401" s="302">
        <v>0.12986896543288309</v>
      </c>
      <c r="C401" s="302">
        <v>1.3946330717477176</v>
      </c>
      <c r="D401" s="302">
        <f t="shared" ref="D401:D408" si="154">SUM(B401:C401)</f>
        <v>1.5245020371806006</v>
      </c>
      <c r="E401" s="303"/>
      <c r="F401" s="302">
        <v>0.28589511161732734</v>
      </c>
      <c r="G401" s="302">
        <v>2.8783142362341669</v>
      </c>
      <c r="H401" s="302">
        <f t="shared" ref="H401:H408" si="155">SUM(F401:G401)</f>
        <v>3.1642093478514943</v>
      </c>
      <c r="I401" s="303"/>
      <c r="J401" s="302">
        <v>0.2078067319545337</v>
      </c>
      <c r="K401" s="302">
        <v>2.2362300361626586</v>
      </c>
      <c r="L401" s="302">
        <f t="shared" ref="L401:L408" si="156">SUM(J401:K401)</f>
        <v>2.4440367681171922</v>
      </c>
      <c r="M401" s="236"/>
      <c r="N401" s="236"/>
    </row>
    <row r="402" spans="1:14" x14ac:dyDescent="0.2">
      <c r="A402" s="237" t="str">
        <f>name!E$6</f>
        <v>Associate professional occupations</v>
      </c>
      <c r="B402" s="302">
        <v>0.10060447254703048</v>
      </c>
      <c r="C402" s="302">
        <v>0.81657214215291474</v>
      </c>
      <c r="D402" s="302">
        <f t="shared" si="154"/>
        <v>0.91717661469994516</v>
      </c>
      <c r="E402" s="303"/>
      <c r="F402" s="302">
        <v>0.19267903112352552</v>
      </c>
      <c r="G402" s="302">
        <v>1.6651787811516015</v>
      </c>
      <c r="H402" s="302">
        <f t="shared" si="155"/>
        <v>1.857857812275127</v>
      </c>
      <c r="I402" s="303"/>
      <c r="J402" s="302">
        <v>0.14289248537705396</v>
      </c>
      <c r="K402" s="302">
        <v>1.1881799086459457</v>
      </c>
      <c r="L402" s="302">
        <f t="shared" si="156"/>
        <v>1.3310723940229996</v>
      </c>
      <c r="M402" s="236"/>
      <c r="N402" s="236"/>
    </row>
    <row r="403" spans="1:14" x14ac:dyDescent="0.2">
      <c r="A403" s="237" t="str">
        <f>name!E$7</f>
        <v>Administrative and secretarial occupations</v>
      </c>
      <c r="B403" s="302">
        <v>0.13161368731430551</v>
      </c>
      <c r="C403" s="302">
        <v>0.24300674436439945</v>
      </c>
      <c r="D403" s="302">
        <f t="shared" si="154"/>
        <v>0.37462043167870496</v>
      </c>
      <c r="E403" s="303"/>
      <c r="F403" s="302">
        <v>0.26117755568748646</v>
      </c>
      <c r="G403" s="302">
        <v>0.43174697576202897</v>
      </c>
      <c r="H403" s="302">
        <f t="shared" si="155"/>
        <v>0.69292453144951538</v>
      </c>
      <c r="I403" s="303"/>
      <c r="J403" s="302">
        <v>0.14786331909311679</v>
      </c>
      <c r="K403" s="302">
        <v>0.3188091185624724</v>
      </c>
      <c r="L403" s="302">
        <f t="shared" si="156"/>
        <v>0.46667243765558919</v>
      </c>
      <c r="M403" s="236"/>
      <c r="N403" s="236"/>
    </row>
    <row r="404" spans="1:14" x14ac:dyDescent="0.2">
      <c r="A404" s="237" t="str">
        <f>name!E$8</f>
        <v>Skilled trades occupations</v>
      </c>
      <c r="B404" s="302">
        <v>1.6050700647875196E-2</v>
      </c>
      <c r="C404" s="302">
        <v>1.7259183848881885</v>
      </c>
      <c r="D404" s="302">
        <f t="shared" si="154"/>
        <v>1.7419690855360637</v>
      </c>
      <c r="E404" s="303"/>
      <c r="F404" s="302">
        <v>2.8368842271352099E-2</v>
      </c>
      <c r="G404" s="302">
        <v>2.7281630580247631</v>
      </c>
      <c r="H404" s="302">
        <f t="shared" si="155"/>
        <v>2.7565319002961153</v>
      </c>
      <c r="I404" s="303"/>
      <c r="J404" s="302">
        <v>4.0856097160156847E-2</v>
      </c>
      <c r="K404" s="302">
        <v>1.8298265333793762</v>
      </c>
      <c r="L404" s="302">
        <f t="shared" si="156"/>
        <v>1.870682630539533</v>
      </c>
      <c r="M404" s="236"/>
      <c r="N404" s="236"/>
    </row>
    <row r="405" spans="1:14" x14ac:dyDescent="0.2">
      <c r="A405" s="237" t="str">
        <f>name!E$9</f>
        <v>Caring, leisure and other service occupations</v>
      </c>
      <c r="B405" s="302">
        <v>6.0985923766341259E-2</v>
      </c>
      <c r="C405" s="302">
        <v>6.9510676538436525E-2</v>
      </c>
      <c r="D405" s="302">
        <f t="shared" si="154"/>
        <v>0.13049660030477778</v>
      </c>
      <c r="E405" s="303"/>
      <c r="F405" s="302">
        <v>0.1021118964398436</v>
      </c>
      <c r="G405" s="302">
        <v>0.13980369207101431</v>
      </c>
      <c r="H405" s="302">
        <f t="shared" si="155"/>
        <v>0.24191558851085793</v>
      </c>
      <c r="I405" s="303"/>
      <c r="J405" s="302">
        <v>5.6752848451179727E-2</v>
      </c>
      <c r="K405" s="302">
        <v>0.17804162320088185</v>
      </c>
      <c r="L405" s="302">
        <f t="shared" si="156"/>
        <v>0.23479447165206158</v>
      </c>
      <c r="M405" s="236"/>
      <c r="N405" s="236"/>
    </row>
    <row r="406" spans="1:14" x14ac:dyDescent="0.2">
      <c r="A406" s="237" t="str">
        <f>name!E$10</f>
        <v>Sales and customer service occupations</v>
      </c>
      <c r="B406" s="302">
        <v>3.0549079346133545E-2</v>
      </c>
      <c r="C406" s="302">
        <v>0.17030883399774899</v>
      </c>
      <c r="D406" s="302">
        <f t="shared" si="154"/>
        <v>0.20085791334388253</v>
      </c>
      <c r="E406" s="303"/>
      <c r="F406" s="302">
        <v>6.0625692674286018E-2</v>
      </c>
      <c r="G406" s="302">
        <v>0.29206448675319396</v>
      </c>
      <c r="H406" s="302">
        <f t="shared" si="155"/>
        <v>0.35269017942747999</v>
      </c>
      <c r="I406" s="303"/>
      <c r="J406" s="302">
        <v>4.8481225583859415E-2</v>
      </c>
      <c r="K406" s="302">
        <v>0.23253092906870718</v>
      </c>
      <c r="L406" s="302">
        <f t="shared" si="156"/>
        <v>0.28101215465256657</v>
      </c>
      <c r="M406" s="236"/>
      <c r="N406" s="236"/>
    </row>
    <row r="407" spans="1:14" x14ac:dyDescent="0.2">
      <c r="A407" s="237" t="str">
        <f>name!E$11</f>
        <v>Process, plant and machine operatives</v>
      </c>
      <c r="B407" s="302">
        <v>3.3826760000921614E-2</v>
      </c>
      <c r="C407" s="302">
        <v>0.54653216158082363</v>
      </c>
      <c r="D407" s="302">
        <f t="shared" si="154"/>
        <v>0.58035892158174529</v>
      </c>
      <c r="E407" s="303"/>
      <c r="F407" s="302">
        <v>5.9720775050003241E-2</v>
      </c>
      <c r="G407" s="302">
        <v>1.0572710948639801</v>
      </c>
      <c r="H407" s="302">
        <f t="shared" si="155"/>
        <v>1.1169918699139834</v>
      </c>
      <c r="I407" s="303"/>
      <c r="J407" s="302">
        <v>5.9185467071152568E-2</v>
      </c>
      <c r="K407" s="302">
        <v>0.92519304511410272</v>
      </c>
      <c r="L407" s="302">
        <f t="shared" si="156"/>
        <v>0.98437851218525529</v>
      </c>
      <c r="M407" s="236"/>
      <c r="N407" s="236"/>
    </row>
    <row r="408" spans="1:14" x14ac:dyDescent="0.2">
      <c r="A408" s="237" t="str">
        <f>name!E$12</f>
        <v>Elementary occupations</v>
      </c>
      <c r="B408" s="302">
        <v>3.5815521098836414E-2</v>
      </c>
      <c r="C408" s="302">
        <v>0.27634490279770707</v>
      </c>
      <c r="D408" s="302">
        <f t="shared" si="154"/>
        <v>0.31216042389654347</v>
      </c>
      <c r="E408" s="303"/>
      <c r="F408" s="302">
        <v>5.6891841235136721E-2</v>
      </c>
      <c r="G408" s="302">
        <v>0.38877400837370496</v>
      </c>
      <c r="H408" s="302">
        <f t="shared" si="155"/>
        <v>0.4456658496088417</v>
      </c>
      <c r="I408" s="303"/>
      <c r="J408" s="302">
        <v>2.8386674851654508E-2</v>
      </c>
      <c r="K408" s="302">
        <v>0.24288683460662935</v>
      </c>
      <c r="L408" s="302">
        <f t="shared" si="156"/>
        <v>0.27127350945828388</v>
      </c>
      <c r="M408" s="236"/>
      <c r="N408" s="236"/>
    </row>
    <row r="409" spans="1:14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  <c r="N409" s="236"/>
    </row>
    <row r="410" spans="1:14" x14ac:dyDescent="0.2">
      <c r="A410" s="244" t="s">
        <v>32</v>
      </c>
      <c r="B410" s="311">
        <f>SUM(B400:B408)</f>
        <v>0.61799999999922917</v>
      </c>
      <c r="C410" s="311">
        <f t="shared" ref="C410:D410" si="157">SUM(C400:C408)</f>
        <v>6.3600000000343568</v>
      </c>
      <c r="D410" s="311">
        <f t="shared" si="157"/>
        <v>6.9780000000335871</v>
      </c>
      <c r="E410" s="311"/>
      <c r="F410" s="311">
        <f t="shared" ref="F410:H410" si="158">SUM(F400:F408)</f>
        <v>1.2229999999979011</v>
      </c>
      <c r="G410" s="311">
        <f t="shared" si="158"/>
        <v>12.175999999938586</v>
      </c>
      <c r="H410" s="311">
        <f t="shared" si="158"/>
        <v>13.398999999936489</v>
      </c>
      <c r="I410" s="311"/>
      <c r="J410" s="311">
        <f t="shared" ref="J410:L410" si="159">SUM(J400:J408)</f>
        <v>0.84799999999647668</v>
      </c>
      <c r="K410" s="311">
        <f t="shared" si="159"/>
        <v>9.1649999999966294</v>
      </c>
      <c r="L410" s="311">
        <f t="shared" si="159"/>
        <v>10.012999999993106</v>
      </c>
      <c r="M410" s="236"/>
      <c r="N410" s="236"/>
    </row>
    <row r="411" spans="1:14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  <c r="N411" s="236"/>
    </row>
    <row r="412" spans="1:14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56" t="s">
        <v>35</v>
      </c>
      <c r="M412" s="236"/>
      <c r="N412" s="236"/>
    </row>
    <row r="413" spans="1:14" x14ac:dyDescent="0.2">
      <c r="A413" s="242"/>
      <c r="B413" s="250"/>
      <c r="C413" s="250"/>
      <c r="D413" s="250"/>
      <c r="E413" s="250"/>
      <c r="F413" s="250"/>
      <c r="G413" s="250"/>
      <c r="H413" s="250"/>
      <c r="I413" s="250"/>
      <c r="J413" s="250"/>
      <c r="K413" s="250"/>
      <c r="L413" s="236"/>
      <c r="M413" s="236"/>
      <c r="N413" s="236"/>
    </row>
    <row r="414" spans="1:14" x14ac:dyDescent="0.2">
      <c r="A414" s="241" t="str">
        <f>name!A27</f>
        <v>Electricity, gas, etc</v>
      </c>
      <c r="B414" s="372">
        <f>B$6</f>
        <v>2015</v>
      </c>
      <c r="C414" s="372"/>
      <c r="D414" s="372"/>
      <c r="E414" s="253"/>
      <c r="F414" s="372">
        <f>F397</f>
        <v>2020</v>
      </c>
      <c r="G414" s="372"/>
      <c r="H414" s="372"/>
      <c r="I414" s="253"/>
      <c r="J414" s="372">
        <f>J397</f>
        <v>2035</v>
      </c>
      <c r="K414" s="372"/>
      <c r="L414" s="372"/>
      <c r="M414" s="236"/>
      <c r="N414" s="236"/>
    </row>
    <row r="415" spans="1:14" x14ac:dyDescent="0.2">
      <c r="A415" s="254"/>
      <c r="B415" s="255" t="s">
        <v>352</v>
      </c>
      <c r="C415" s="255" t="s">
        <v>353</v>
      </c>
      <c r="D415" s="255" t="s">
        <v>32</v>
      </c>
      <c r="E415" s="255"/>
      <c r="F415" s="255" t="s">
        <v>352</v>
      </c>
      <c r="G415" s="255" t="s">
        <v>353</v>
      </c>
      <c r="H415" s="255" t="s">
        <v>32</v>
      </c>
      <c r="I415" s="255"/>
      <c r="J415" s="255" t="s">
        <v>352</v>
      </c>
      <c r="K415" s="255" t="s">
        <v>353</v>
      </c>
      <c r="L415" s="255" t="s">
        <v>32</v>
      </c>
      <c r="M415" s="236"/>
      <c r="N415" s="236"/>
    </row>
    <row r="416" spans="1:14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  <c r="N416" s="236"/>
    </row>
    <row r="417" spans="1:14" x14ac:dyDescent="0.2">
      <c r="A417" s="237" t="str">
        <f>name!E$4</f>
        <v>Managers, directors and senior officials</v>
      </c>
      <c r="B417" s="302">
        <v>0.22681615942628702</v>
      </c>
      <c r="C417" s="302">
        <v>1.2066036177428181</v>
      </c>
      <c r="D417" s="302">
        <f>SUM(B417:C417)</f>
        <v>1.4334197771691051</v>
      </c>
      <c r="E417" s="303"/>
      <c r="F417" s="302">
        <v>0.26758840779164716</v>
      </c>
      <c r="G417" s="302">
        <v>1.6432524308119822</v>
      </c>
      <c r="H417" s="302">
        <f>SUM(F417:G417)</f>
        <v>1.9108408386036295</v>
      </c>
      <c r="I417" s="303"/>
      <c r="J417" s="302">
        <v>0.28550507900505689</v>
      </c>
      <c r="K417" s="302">
        <v>1.8476844406202293</v>
      </c>
      <c r="L417" s="302">
        <f>SUM(J417:K417)</f>
        <v>2.1331895196252861</v>
      </c>
      <c r="M417" s="236"/>
      <c r="N417" s="236"/>
    </row>
    <row r="418" spans="1:14" x14ac:dyDescent="0.2">
      <c r="A418" s="237" t="str">
        <f>name!E$5</f>
        <v>Professional occupations</v>
      </c>
      <c r="B418" s="302">
        <v>0.73656313650234162</v>
      </c>
      <c r="C418" s="302">
        <v>1.9967514543916898</v>
      </c>
      <c r="D418" s="302">
        <f t="shared" ref="D418:D425" si="160">SUM(B418:C418)</f>
        <v>2.7333145908940315</v>
      </c>
      <c r="E418" s="303"/>
      <c r="F418" s="302">
        <v>0.98344140690590376</v>
      </c>
      <c r="G418" s="302">
        <v>2.7894187368022489</v>
      </c>
      <c r="H418" s="302">
        <f t="shared" ref="H418:H425" si="161">SUM(F418:G418)</f>
        <v>3.7728601437081526</v>
      </c>
      <c r="I418" s="303"/>
      <c r="J418" s="302">
        <v>1.2084373418477818</v>
      </c>
      <c r="K418" s="302">
        <v>3.058254105505962</v>
      </c>
      <c r="L418" s="302">
        <f t="shared" ref="L418:L425" si="162">SUM(J418:K418)</f>
        <v>4.2666914473537441</v>
      </c>
      <c r="M418" s="236"/>
      <c r="N418" s="236"/>
    </row>
    <row r="419" spans="1:14" x14ac:dyDescent="0.2">
      <c r="A419" s="237" t="str">
        <f>name!E$6</f>
        <v>Associate professional occupations</v>
      </c>
      <c r="B419" s="302">
        <v>0.33447695513144665</v>
      </c>
      <c r="C419" s="302">
        <v>1.3053350402049595</v>
      </c>
      <c r="D419" s="302">
        <f t="shared" si="160"/>
        <v>1.6398119953364061</v>
      </c>
      <c r="E419" s="303"/>
      <c r="F419" s="302">
        <v>0.38779226253200932</v>
      </c>
      <c r="G419" s="302">
        <v>1.7626083543129578</v>
      </c>
      <c r="H419" s="302">
        <f t="shared" si="161"/>
        <v>2.150400616844967</v>
      </c>
      <c r="I419" s="303"/>
      <c r="J419" s="302">
        <v>0.38286266880258091</v>
      </c>
      <c r="K419" s="302">
        <v>1.6824080733609486</v>
      </c>
      <c r="L419" s="302">
        <f t="shared" si="162"/>
        <v>2.0652707421635297</v>
      </c>
      <c r="M419" s="236"/>
      <c r="N419" s="236"/>
    </row>
    <row r="420" spans="1:14" x14ac:dyDescent="0.2">
      <c r="A420" s="237" t="str">
        <f>name!E$7</f>
        <v>Administrative and secretarial occupations</v>
      </c>
      <c r="B420" s="302">
        <v>0.44534941883836648</v>
      </c>
      <c r="C420" s="302">
        <v>0.19545411499445925</v>
      </c>
      <c r="D420" s="302">
        <f t="shared" si="160"/>
        <v>0.64080353383282573</v>
      </c>
      <c r="E420" s="303"/>
      <c r="F420" s="302">
        <v>0.42509545008401645</v>
      </c>
      <c r="G420" s="302">
        <v>0.27578801018684806</v>
      </c>
      <c r="H420" s="302">
        <f t="shared" si="161"/>
        <v>0.70088346027086446</v>
      </c>
      <c r="I420" s="303"/>
      <c r="J420" s="302">
        <v>0.19724236528031511</v>
      </c>
      <c r="K420" s="302">
        <v>0.21811832403410733</v>
      </c>
      <c r="L420" s="302">
        <f t="shared" si="162"/>
        <v>0.41536068931442244</v>
      </c>
      <c r="M420" s="236"/>
      <c r="N420" s="236"/>
    </row>
    <row r="421" spans="1:14" x14ac:dyDescent="0.2">
      <c r="A421" s="237" t="str">
        <f>name!E$8</f>
        <v>Skilled trades occupations</v>
      </c>
      <c r="B421" s="302">
        <v>6.6138776182510919E-2</v>
      </c>
      <c r="C421" s="302">
        <v>2.4372346371170255</v>
      </c>
      <c r="D421" s="302">
        <f t="shared" si="160"/>
        <v>2.5033734132995362</v>
      </c>
      <c r="E421" s="303"/>
      <c r="F421" s="302">
        <v>7.3000869510313746E-2</v>
      </c>
      <c r="G421" s="302">
        <v>2.2717846645936333</v>
      </c>
      <c r="H421" s="302">
        <f t="shared" si="161"/>
        <v>2.3447855341039472</v>
      </c>
      <c r="I421" s="303"/>
      <c r="J421" s="302">
        <v>0.15087481825701612</v>
      </c>
      <c r="K421" s="302">
        <v>1.9646193564578647</v>
      </c>
      <c r="L421" s="302">
        <f t="shared" si="162"/>
        <v>2.1154941747148808</v>
      </c>
      <c r="M421" s="236"/>
      <c r="N421" s="236"/>
    </row>
    <row r="422" spans="1:14" x14ac:dyDescent="0.2">
      <c r="A422" s="237" t="str">
        <f>name!E$9</f>
        <v>Caring, leisure and other service occupations</v>
      </c>
      <c r="B422" s="302">
        <v>8.1894627841205089E-2</v>
      </c>
      <c r="C422" s="302">
        <v>6.3220335929394564E-2</v>
      </c>
      <c r="D422" s="302">
        <f t="shared" si="160"/>
        <v>0.14511496377059965</v>
      </c>
      <c r="E422" s="303"/>
      <c r="F422" s="302">
        <v>7.2739570829019023E-2</v>
      </c>
      <c r="G422" s="302">
        <v>7.7928244801384605E-2</v>
      </c>
      <c r="H422" s="302">
        <f t="shared" si="161"/>
        <v>0.15066781563040363</v>
      </c>
      <c r="I422" s="303"/>
      <c r="J422" s="302">
        <v>6.7420447423174532E-2</v>
      </c>
      <c r="K422" s="302">
        <v>0.10135467661148247</v>
      </c>
      <c r="L422" s="302">
        <f t="shared" si="162"/>
        <v>0.168775124034657</v>
      </c>
      <c r="M422" s="236"/>
      <c r="N422" s="236"/>
    </row>
    <row r="423" spans="1:14" x14ac:dyDescent="0.2">
      <c r="A423" s="237" t="str">
        <f>name!E$10</f>
        <v>Sales and customer service occupations</v>
      </c>
      <c r="B423" s="302">
        <v>0.38890642714586987</v>
      </c>
      <c r="C423" s="302">
        <v>0.28671627973992719</v>
      </c>
      <c r="D423" s="302">
        <f t="shared" si="160"/>
        <v>0.67562270688579706</v>
      </c>
      <c r="E423" s="303"/>
      <c r="F423" s="302">
        <v>0.40655800413191084</v>
      </c>
      <c r="G423" s="302">
        <v>0.35363418471032237</v>
      </c>
      <c r="H423" s="302">
        <f t="shared" si="161"/>
        <v>0.76019218884223316</v>
      </c>
      <c r="I423" s="303"/>
      <c r="J423" s="302">
        <v>0.41363196566281546</v>
      </c>
      <c r="K423" s="302">
        <v>0.34625066507173813</v>
      </c>
      <c r="L423" s="302">
        <f t="shared" si="162"/>
        <v>0.75988263073455364</v>
      </c>
      <c r="M423" s="236"/>
      <c r="N423" s="236"/>
    </row>
    <row r="424" spans="1:14" x14ac:dyDescent="0.2">
      <c r="A424" s="237" t="str">
        <f>name!E$11</f>
        <v>Process, plant and machine operatives</v>
      </c>
      <c r="B424" s="302">
        <v>1.2274875200694323E-2</v>
      </c>
      <c r="C424" s="302">
        <v>0.35422722764087233</v>
      </c>
      <c r="D424" s="302">
        <f t="shared" si="160"/>
        <v>0.36650210284156665</v>
      </c>
      <c r="E424" s="303"/>
      <c r="F424" s="302">
        <v>9.786634926101127E-3</v>
      </c>
      <c r="G424" s="302">
        <v>0.46192996992322383</v>
      </c>
      <c r="H424" s="302">
        <f t="shared" si="161"/>
        <v>0.47171660484932493</v>
      </c>
      <c r="I424" s="303"/>
      <c r="J424" s="302">
        <v>1.3808193855778503E-2</v>
      </c>
      <c r="K424" s="302">
        <v>0.42129714731137058</v>
      </c>
      <c r="L424" s="302">
        <f t="shared" si="162"/>
        <v>0.43510534116714911</v>
      </c>
      <c r="M424" s="236"/>
      <c r="N424" s="236"/>
    </row>
    <row r="425" spans="1:14" x14ac:dyDescent="0.2">
      <c r="A425" s="237" t="str">
        <f>name!E$12</f>
        <v>Elementary occupations</v>
      </c>
      <c r="B425" s="302">
        <v>4.4579623741328234E-2</v>
      </c>
      <c r="C425" s="302">
        <v>0.11045729218159243</v>
      </c>
      <c r="D425" s="302">
        <f t="shared" si="160"/>
        <v>0.15503691592292068</v>
      </c>
      <c r="E425" s="303"/>
      <c r="F425" s="302">
        <v>3.7997393262146462E-2</v>
      </c>
      <c r="G425" s="302">
        <v>0.12265540387886338</v>
      </c>
      <c r="H425" s="302">
        <f t="shared" si="161"/>
        <v>0.16065279714100983</v>
      </c>
      <c r="I425" s="303"/>
      <c r="J425" s="302">
        <v>1.9217119835704972E-2</v>
      </c>
      <c r="K425" s="302">
        <v>7.0013211112007992E-2</v>
      </c>
      <c r="L425" s="302">
        <f t="shared" si="162"/>
        <v>8.923033094771296E-2</v>
      </c>
      <c r="M425" s="236"/>
      <c r="N425" s="236"/>
    </row>
    <row r="426" spans="1:14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  <c r="N426" s="236"/>
    </row>
    <row r="427" spans="1:14" x14ac:dyDescent="0.2">
      <c r="A427" s="244" t="s">
        <v>32</v>
      </c>
      <c r="B427" s="311">
        <f>SUM(B417:B425)</f>
        <v>2.3370000000100499</v>
      </c>
      <c r="C427" s="311">
        <f t="shared" ref="C427:D427" si="163">SUM(C417:C425)</f>
        <v>7.9559999999427378</v>
      </c>
      <c r="D427" s="311">
        <f t="shared" si="163"/>
        <v>10.292999999952787</v>
      </c>
      <c r="E427" s="311"/>
      <c r="F427" s="311">
        <f t="shared" ref="F427:H427" si="164">SUM(F417:F425)</f>
        <v>2.6639999999730684</v>
      </c>
      <c r="G427" s="311">
        <f t="shared" si="164"/>
        <v>9.7590000000214641</v>
      </c>
      <c r="H427" s="311">
        <f t="shared" si="164"/>
        <v>12.422999999994532</v>
      </c>
      <c r="I427" s="311"/>
      <c r="J427" s="311">
        <f t="shared" ref="J427:L427" si="165">SUM(J417:J425)</f>
        <v>2.7389999999702246</v>
      </c>
      <c r="K427" s="311">
        <f t="shared" si="165"/>
        <v>9.7100000000857101</v>
      </c>
      <c r="L427" s="311">
        <f t="shared" si="165"/>
        <v>12.449000000055936</v>
      </c>
      <c r="M427" s="236"/>
      <c r="N427" s="236"/>
    </row>
    <row r="428" spans="1:14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  <c r="N428" s="236"/>
    </row>
    <row r="429" spans="1:14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56" t="s">
        <v>35</v>
      </c>
      <c r="M429" s="236"/>
      <c r="N429" s="236"/>
    </row>
    <row r="430" spans="1:14" x14ac:dyDescent="0.2">
      <c r="A430" s="242"/>
      <c r="B430" s="250"/>
      <c r="C430" s="250"/>
      <c r="D430" s="250"/>
      <c r="E430" s="250"/>
      <c r="F430" s="250"/>
      <c r="G430" s="250"/>
      <c r="H430" s="250"/>
      <c r="I430" s="250"/>
      <c r="J430" s="250"/>
      <c r="K430" s="250"/>
      <c r="L430" s="236"/>
      <c r="M430" s="236"/>
      <c r="N430" s="236"/>
    </row>
    <row r="431" spans="1:14" x14ac:dyDescent="0.2">
      <c r="A431" s="241" t="str">
        <f>name!A28</f>
        <v>Water</v>
      </c>
      <c r="B431" s="372">
        <f>B$6</f>
        <v>2015</v>
      </c>
      <c r="C431" s="372"/>
      <c r="D431" s="372"/>
      <c r="E431" s="253"/>
      <c r="F431" s="372">
        <f>F414</f>
        <v>2020</v>
      </c>
      <c r="G431" s="372"/>
      <c r="H431" s="372"/>
      <c r="I431" s="253"/>
      <c r="J431" s="372">
        <f>J414</f>
        <v>2035</v>
      </c>
      <c r="K431" s="372"/>
      <c r="L431" s="372"/>
      <c r="M431" s="236"/>
      <c r="N431" s="236"/>
    </row>
    <row r="432" spans="1:14" x14ac:dyDescent="0.2">
      <c r="A432" s="254"/>
      <c r="B432" s="255" t="s">
        <v>352</v>
      </c>
      <c r="C432" s="255" t="s">
        <v>353</v>
      </c>
      <c r="D432" s="255" t="s">
        <v>32</v>
      </c>
      <c r="E432" s="255"/>
      <c r="F432" s="255" t="s">
        <v>352</v>
      </c>
      <c r="G432" s="255" t="s">
        <v>353</v>
      </c>
      <c r="H432" s="255" t="s">
        <v>32</v>
      </c>
      <c r="I432" s="255"/>
      <c r="J432" s="255" t="s">
        <v>352</v>
      </c>
      <c r="K432" s="255" t="s">
        <v>353</v>
      </c>
      <c r="L432" s="255" t="s">
        <v>32</v>
      </c>
      <c r="M432" s="236"/>
      <c r="N432" s="236"/>
    </row>
    <row r="433" spans="1:14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  <c r="N433" s="236"/>
    </row>
    <row r="434" spans="1:14" x14ac:dyDescent="0.2">
      <c r="A434" s="237" t="str">
        <f>name!E$4</f>
        <v>Managers, directors and senior officials</v>
      </c>
      <c r="B434" s="302">
        <v>2.2710951203701733E-2</v>
      </c>
      <c r="C434" s="302">
        <v>0.11878860798294411</v>
      </c>
      <c r="D434" s="302">
        <f>SUM(B434:C434)</f>
        <v>0.14149955918664583</v>
      </c>
      <c r="E434" s="303"/>
      <c r="F434" s="302">
        <v>2.7002277179396916E-3</v>
      </c>
      <c r="G434" s="302">
        <v>0.13250017764443134</v>
      </c>
      <c r="H434" s="302">
        <f>SUM(F434:G434)</f>
        <v>0.13520040536237102</v>
      </c>
      <c r="I434" s="303"/>
      <c r="J434" s="302">
        <v>3.1492530788509217E-3</v>
      </c>
      <c r="K434" s="302">
        <v>0.15750732670309348</v>
      </c>
      <c r="L434" s="302">
        <f>SUM(J434:K434)</f>
        <v>0.16065657978194439</v>
      </c>
      <c r="M434" s="236"/>
      <c r="N434" s="236"/>
    </row>
    <row r="435" spans="1:14" x14ac:dyDescent="0.2">
      <c r="A435" s="237" t="str">
        <f>name!E$5</f>
        <v>Professional occupations</v>
      </c>
      <c r="B435" s="302">
        <v>8.6417776008826594E-2</v>
      </c>
      <c r="C435" s="302">
        <v>0.13333851417195947</v>
      </c>
      <c r="D435" s="302">
        <f t="shared" ref="D435:D442" si="166">SUM(B435:C435)</f>
        <v>0.21975629018078607</v>
      </c>
      <c r="E435" s="303"/>
      <c r="F435" s="302">
        <v>1.074516607230613E-2</v>
      </c>
      <c r="G435" s="302">
        <v>0.17112539470548124</v>
      </c>
      <c r="H435" s="302">
        <f t="shared" ref="H435:H442" si="167">SUM(F435:G435)</f>
        <v>0.18187056077778738</v>
      </c>
      <c r="I435" s="303"/>
      <c r="J435" s="302">
        <v>1.6467626872268524E-2</v>
      </c>
      <c r="K435" s="302">
        <v>0.23141115094525169</v>
      </c>
      <c r="L435" s="302">
        <f t="shared" ref="L435:L442" si="168">SUM(J435:K435)</f>
        <v>0.24787877781752021</v>
      </c>
      <c r="M435" s="236"/>
      <c r="N435" s="236"/>
    </row>
    <row r="436" spans="1:14" x14ac:dyDescent="0.2">
      <c r="A436" s="237" t="str">
        <f>name!E$6</f>
        <v>Associate professional occupations</v>
      </c>
      <c r="B436" s="302">
        <v>6.0277248185682496E-2</v>
      </c>
      <c r="C436" s="302">
        <v>0.11855747055750913</v>
      </c>
      <c r="D436" s="302">
        <f t="shared" si="166"/>
        <v>0.17883471874319162</v>
      </c>
      <c r="E436" s="303"/>
      <c r="F436" s="302">
        <v>5.455610206477079E-3</v>
      </c>
      <c r="G436" s="302">
        <v>0.11600911914593519</v>
      </c>
      <c r="H436" s="302">
        <f t="shared" si="167"/>
        <v>0.12146472935241227</v>
      </c>
      <c r="I436" s="303"/>
      <c r="J436" s="302">
        <v>6.4333964604800457E-3</v>
      </c>
      <c r="K436" s="302">
        <v>0.13215991373447139</v>
      </c>
      <c r="L436" s="302">
        <f t="shared" si="168"/>
        <v>0.13859331019495144</v>
      </c>
      <c r="M436" s="236"/>
      <c r="N436" s="236"/>
    </row>
    <row r="437" spans="1:14" x14ac:dyDescent="0.2">
      <c r="A437" s="237" t="str">
        <f>name!E$7</f>
        <v>Administrative and secretarial occupations</v>
      </c>
      <c r="B437" s="302">
        <v>3.87645474203928E-2</v>
      </c>
      <c r="C437" s="302">
        <v>1.5579860782794025E-2</v>
      </c>
      <c r="D437" s="302">
        <f t="shared" si="166"/>
        <v>5.4344408203186825E-2</v>
      </c>
      <c r="E437" s="303"/>
      <c r="F437" s="302">
        <v>2.1844472174518846E-3</v>
      </c>
      <c r="G437" s="302">
        <v>1.1340269597870076E-2</v>
      </c>
      <c r="H437" s="302">
        <f t="shared" si="167"/>
        <v>1.3524716815321962E-2</v>
      </c>
      <c r="I437" s="303"/>
      <c r="J437" s="302">
        <v>2.687330859295207E-3</v>
      </c>
      <c r="K437" s="302">
        <v>1.5852241969410787E-2</v>
      </c>
      <c r="L437" s="302">
        <f t="shared" si="168"/>
        <v>1.8539572828705993E-2</v>
      </c>
      <c r="M437" s="236"/>
      <c r="N437" s="236"/>
    </row>
    <row r="438" spans="1:14" x14ac:dyDescent="0.2">
      <c r="A438" s="237" t="str">
        <f>name!E$8</f>
        <v>Skilled trades occupations</v>
      </c>
      <c r="B438" s="302">
        <v>4.5227340059123275E-3</v>
      </c>
      <c r="C438" s="302">
        <v>0.11272376920692284</v>
      </c>
      <c r="D438" s="302">
        <f t="shared" si="166"/>
        <v>0.11724650321283517</v>
      </c>
      <c r="E438" s="303"/>
      <c r="F438" s="302">
        <v>1.3096612688671089E-3</v>
      </c>
      <c r="G438" s="302">
        <v>9.6117375034876815E-2</v>
      </c>
      <c r="H438" s="302">
        <f t="shared" si="167"/>
        <v>9.7427036303743927E-2</v>
      </c>
      <c r="I438" s="303"/>
      <c r="J438" s="302">
        <v>2.2444238452909628E-3</v>
      </c>
      <c r="K438" s="302">
        <v>0.11554288113787235</v>
      </c>
      <c r="L438" s="302">
        <f t="shared" si="168"/>
        <v>0.11778730498316331</v>
      </c>
      <c r="M438" s="236"/>
      <c r="N438" s="236"/>
    </row>
    <row r="439" spans="1:14" x14ac:dyDescent="0.2">
      <c r="A439" s="237" t="str">
        <f>name!E$9</f>
        <v>Caring, leisure and other service occupations</v>
      </c>
      <c r="B439" s="302">
        <v>6.0206224924680618E-3</v>
      </c>
      <c r="C439" s="302">
        <v>2.4246015283144644E-3</v>
      </c>
      <c r="D439" s="302">
        <f t="shared" si="166"/>
        <v>8.4452240207825262E-3</v>
      </c>
      <c r="E439" s="303"/>
      <c r="F439" s="302">
        <v>9.9346445277990656E-4</v>
      </c>
      <c r="G439" s="302">
        <v>2.1520187183531633E-3</v>
      </c>
      <c r="H439" s="302">
        <f t="shared" si="167"/>
        <v>3.1454831711330697E-3</v>
      </c>
      <c r="I439" s="303"/>
      <c r="J439" s="302">
        <v>1.101092949373406E-3</v>
      </c>
      <c r="K439" s="302">
        <v>3.5953830595738096E-3</v>
      </c>
      <c r="L439" s="302">
        <f t="shared" si="168"/>
        <v>4.696476008947216E-3</v>
      </c>
      <c r="M439" s="236"/>
      <c r="N439" s="236"/>
    </row>
    <row r="440" spans="1:14" x14ac:dyDescent="0.2">
      <c r="A440" s="237" t="str">
        <f>name!E$10</f>
        <v>Sales and customer service occupations</v>
      </c>
      <c r="B440" s="302">
        <v>3.5627817964025761E-2</v>
      </c>
      <c r="C440" s="302">
        <v>1.660974140093828E-2</v>
      </c>
      <c r="D440" s="302">
        <f t="shared" si="166"/>
        <v>5.2237559364964041E-2</v>
      </c>
      <c r="E440" s="303"/>
      <c r="F440" s="302">
        <v>1.6800929171510502E-3</v>
      </c>
      <c r="G440" s="302">
        <v>1.270951390282745E-2</v>
      </c>
      <c r="H440" s="302">
        <f t="shared" si="167"/>
        <v>1.4389606819978501E-2</v>
      </c>
      <c r="I440" s="303"/>
      <c r="J440" s="302">
        <v>1.7605302055040126E-3</v>
      </c>
      <c r="K440" s="302">
        <v>1.6199660583539645E-2</v>
      </c>
      <c r="L440" s="302">
        <f t="shared" si="168"/>
        <v>1.7960190789043658E-2</v>
      </c>
      <c r="M440" s="236"/>
      <c r="N440" s="236"/>
    </row>
    <row r="441" spans="1:14" x14ac:dyDescent="0.2">
      <c r="A441" s="237" t="str">
        <f>name!E$11</f>
        <v>Process, plant and machine operatives</v>
      </c>
      <c r="B441" s="302">
        <v>2.1739523334749098E-3</v>
      </c>
      <c r="C441" s="302">
        <v>5.7178425067669771E-2</v>
      </c>
      <c r="D441" s="302">
        <f t="shared" si="166"/>
        <v>5.9352377401144678E-2</v>
      </c>
      <c r="E441" s="303"/>
      <c r="F441" s="302">
        <v>2.0931803663932594E-4</v>
      </c>
      <c r="G441" s="302">
        <v>3.1585752760244064E-2</v>
      </c>
      <c r="H441" s="302">
        <f t="shared" si="167"/>
        <v>3.1795070796883387E-2</v>
      </c>
      <c r="I441" s="303"/>
      <c r="J441" s="302">
        <v>2.7764580605615875E-4</v>
      </c>
      <c r="K441" s="302">
        <v>3.5232305532413265E-2</v>
      </c>
      <c r="L441" s="302">
        <f t="shared" si="168"/>
        <v>3.5509951338469424E-2</v>
      </c>
      <c r="M441" s="236"/>
      <c r="N441" s="236"/>
    </row>
    <row r="442" spans="1:14" x14ac:dyDescent="0.2">
      <c r="A442" s="237" t="str">
        <f>name!E$12</f>
        <v>Elementary occupations</v>
      </c>
      <c r="B442" s="302">
        <v>8.4843503843794812E-3</v>
      </c>
      <c r="C442" s="302">
        <v>1.4799009299317781E-2</v>
      </c>
      <c r="D442" s="302">
        <f t="shared" si="166"/>
        <v>2.3283359683697262E-2</v>
      </c>
      <c r="E442" s="303"/>
      <c r="F442" s="302">
        <v>7.2201211021805014E-4</v>
      </c>
      <c r="G442" s="302">
        <v>1.4460378489304062E-2</v>
      </c>
      <c r="H442" s="302">
        <f t="shared" si="167"/>
        <v>1.5182390599522113E-2</v>
      </c>
      <c r="I442" s="303"/>
      <c r="J442" s="302">
        <v>8.7869992291451893E-4</v>
      </c>
      <c r="K442" s="302">
        <v>1.4499136334544695E-2</v>
      </c>
      <c r="L442" s="302">
        <f t="shared" si="168"/>
        <v>1.5377836257459214E-2</v>
      </c>
      <c r="M442" s="236"/>
      <c r="N442" s="236"/>
    </row>
    <row r="443" spans="1:14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  <c r="N443" s="236"/>
    </row>
    <row r="444" spans="1:14" x14ac:dyDescent="0.2">
      <c r="A444" s="244" t="s">
        <v>32</v>
      </c>
      <c r="B444" s="311">
        <f>SUM(B434:B442)</f>
        <v>0.26499999999886414</v>
      </c>
      <c r="C444" s="311">
        <f t="shared" ref="C444:D444" si="169">SUM(C434:C442)</f>
        <v>0.58999999999836994</v>
      </c>
      <c r="D444" s="311">
        <f t="shared" si="169"/>
        <v>0.85499999999723397</v>
      </c>
      <c r="E444" s="311"/>
      <c r="F444" s="311">
        <f t="shared" ref="F444:H444" si="170">SUM(F434:F442)</f>
        <v>2.5999999999830232E-2</v>
      </c>
      <c r="G444" s="311">
        <f t="shared" si="170"/>
        <v>0.58799999999932351</v>
      </c>
      <c r="H444" s="311">
        <f t="shared" si="170"/>
        <v>0.61399999999915356</v>
      </c>
      <c r="I444" s="311"/>
      <c r="J444" s="311">
        <f t="shared" ref="J444:L444" si="171">SUM(J434:J442)</f>
        <v>3.5000000000033754E-2</v>
      </c>
      <c r="K444" s="311">
        <f t="shared" si="171"/>
        <v>0.72200000000017117</v>
      </c>
      <c r="L444" s="311">
        <f t="shared" si="171"/>
        <v>0.75700000000020495</v>
      </c>
      <c r="M444" s="236"/>
      <c r="N444" s="236"/>
    </row>
    <row r="445" spans="1:14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  <c r="N445" s="236"/>
    </row>
    <row r="446" spans="1:14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56" t="s">
        <v>35</v>
      </c>
      <c r="M446" s="236"/>
      <c r="N446" s="236"/>
    </row>
    <row r="447" spans="1:14" x14ac:dyDescent="0.2">
      <c r="A447" s="242"/>
      <c r="B447" s="250"/>
      <c r="C447" s="250"/>
      <c r="D447" s="250"/>
      <c r="E447" s="250"/>
      <c r="F447" s="250"/>
      <c r="G447" s="250"/>
      <c r="H447" s="250"/>
      <c r="I447" s="250"/>
      <c r="J447" s="250"/>
      <c r="K447" s="250"/>
      <c r="L447" s="236"/>
      <c r="M447" s="236"/>
      <c r="N447" s="236"/>
    </row>
    <row r="448" spans="1:14" x14ac:dyDescent="0.2">
      <c r="A448" s="241" t="str">
        <f>name!A29</f>
        <v>Sewerage</v>
      </c>
      <c r="B448" s="372">
        <f>B$6</f>
        <v>2015</v>
      </c>
      <c r="C448" s="372"/>
      <c r="D448" s="372"/>
      <c r="E448" s="253"/>
      <c r="F448" s="372">
        <f>F431</f>
        <v>2020</v>
      </c>
      <c r="G448" s="372"/>
      <c r="H448" s="372"/>
      <c r="I448" s="253"/>
      <c r="J448" s="372">
        <f>J431</f>
        <v>2035</v>
      </c>
      <c r="K448" s="372"/>
      <c r="L448" s="372"/>
      <c r="M448" s="236"/>
      <c r="N448" s="236"/>
    </row>
    <row r="449" spans="1:14" x14ac:dyDescent="0.2">
      <c r="A449" s="254"/>
      <c r="B449" s="255" t="s">
        <v>352</v>
      </c>
      <c r="C449" s="255" t="s">
        <v>353</v>
      </c>
      <c r="D449" s="255" t="s">
        <v>32</v>
      </c>
      <c r="E449" s="255"/>
      <c r="F449" s="255" t="s">
        <v>352</v>
      </c>
      <c r="G449" s="255" t="s">
        <v>353</v>
      </c>
      <c r="H449" s="255" t="s">
        <v>32</v>
      </c>
      <c r="I449" s="255"/>
      <c r="J449" s="255" t="s">
        <v>352</v>
      </c>
      <c r="K449" s="255" t="s">
        <v>353</v>
      </c>
      <c r="L449" s="255" t="s">
        <v>32</v>
      </c>
      <c r="M449" s="236"/>
      <c r="N449" s="236"/>
    </row>
    <row r="450" spans="1:14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  <c r="N450" s="236"/>
    </row>
    <row r="451" spans="1:14" x14ac:dyDescent="0.2">
      <c r="A451" s="237" t="str">
        <f>name!E$4</f>
        <v>Managers, directors and senior officials</v>
      </c>
      <c r="B451" s="302">
        <v>6.9921159010827891E-2</v>
      </c>
      <c r="C451" s="302">
        <v>0.30260979176229397</v>
      </c>
      <c r="D451" s="302">
        <f>SUM(B451:C451)</f>
        <v>0.37253095077312187</v>
      </c>
      <c r="E451" s="303"/>
      <c r="F451" s="302">
        <v>3.5319432906558146E-2</v>
      </c>
      <c r="G451" s="302">
        <v>0.15762984053768622</v>
      </c>
      <c r="H451" s="302">
        <f>SUM(F451:G451)</f>
        <v>0.19294927344424437</v>
      </c>
      <c r="I451" s="303"/>
      <c r="J451" s="302">
        <v>4.7886196580134509E-2</v>
      </c>
      <c r="K451" s="302">
        <v>0.18451278251104394</v>
      </c>
      <c r="L451" s="302">
        <f>SUM(J451:K451)</f>
        <v>0.23239897909117846</v>
      </c>
      <c r="M451" s="236"/>
      <c r="N451" s="236"/>
    </row>
    <row r="452" spans="1:14" x14ac:dyDescent="0.2">
      <c r="A452" s="237" t="str">
        <f>name!E$5</f>
        <v>Professional occupations</v>
      </c>
      <c r="B452" s="302">
        <v>0.15593408045116869</v>
      </c>
      <c r="C452" s="302">
        <v>0.32978002832726094</v>
      </c>
      <c r="D452" s="302">
        <f t="shared" ref="D452:D459" si="172">SUM(B452:C452)</f>
        <v>0.48571410877842963</v>
      </c>
      <c r="E452" s="303"/>
      <c r="F452" s="302">
        <v>7.928473798012646E-2</v>
      </c>
      <c r="G452" s="302">
        <v>0.19885888313510941</v>
      </c>
      <c r="H452" s="302">
        <f t="shared" ref="H452:H459" si="173">SUM(F452:G452)</f>
        <v>0.27814362111523588</v>
      </c>
      <c r="I452" s="303"/>
      <c r="J452" s="302">
        <v>0.11447883032405343</v>
      </c>
      <c r="K452" s="302">
        <v>0.27061274209555553</v>
      </c>
      <c r="L452" s="302">
        <f t="shared" ref="L452:L459" si="174">SUM(J452:K452)</f>
        <v>0.38509157241960895</v>
      </c>
      <c r="M452" s="236"/>
      <c r="N452" s="236"/>
    </row>
    <row r="453" spans="1:14" x14ac:dyDescent="0.2">
      <c r="A453" s="237" t="str">
        <f>name!E$6</f>
        <v>Associate professional occupations</v>
      </c>
      <c r="B453" s="302">
        <v>0.30351625702936813</v>
      </c>
      <c r="C453" s="302">
        <v>0.30249480351986258</v>
      </c>
      <c r="D453" s="302">
        <f t="shared" si="172"/>
        <v>0.60601106054923071</v>
      </c>
      <c r="E453" s="303"/>
      <c r="F453" s="302">
        <v>0.13705667468700536</v>
      </c>
      <c r="G453" s="302">
        <v>0.15795868675920724</v>
      </c>
      <c r="H453" s="302">
        <f t="shared" si="173"/>
        <v>0.2950153614462126</v>
      </c>
      <c r="I453" s="303"/>
      <c r="J453" s="302">
        <v>0.22139664735770193</v>
      </c>
      <c r="K453" s="302">
        <v>0.17924387406446968</v>
      </c>
      <c r="L453" s="302">
        <f t="shared" si="174"/>
        <v>0.4006405214221716</v>
      </c>
      <c r="M453" s="236"/>
      <c r="N453" s="236"/>
    </row>
    <row r="454" spans="1:14" x14ac:dyDescent="0.2">
      <c r="A454" s="237" t="str">
        <f>name!E$7</f>
        <v>Administrative and secretarial occupations</v>
      </c>
      <c r="B454" s="302">
        <v>0.22679671717689581</v>
      </c>
      <c r="C454" s="302">
        <v>8.1695589549919095E-2</v>
      </c>
      <c r="D454" s="302">
        <f t="shared" si="172"/>
        <v>0.30849230672681494</v>
      </c>
      <c r="E454" s="303"/>
      <c r="F454" s="302">
        <v>8.4352415941369829E-2</v>
      </c>
      <c r="G454" s="302">
        <v>4.1591546905770917E-2</v>
      </c>
      <c r="H454" s="302">
        <f t="shared" si="173"/>
        <v>0.12594396284714074</v>
      </c>
      <c r="I454" s="303"/>
      <c r="J454" s="302">
        <v>7.573220116333941E-2</v>
      </c>
      <c r="K454" s="302">
        <v>4.8016194748822273E-2</v>
      </c>
      <c r="L454" s="302">
        <f t="shared" si="174"/>
        <v>0.12374839591216169</v>
      </c>
      <c r="M454" s="236"/>
      <c r="N454" s="236"/>
    </row>
    <row r="455" spans="1:14" x14ac:dyDescent="0.2">
      <c r="A455" s="237" t="str">
        <f>name!E$8</f>
        <v>Skilled trades occupations</v>
      </c>
      <c r="B455" s="302">
        <v>1.0391178974420878E-2</v>
      </c>
      <c r="C455" s="302">
        <v>0.14015943937354269</v>
      </c>
      <c r="D455" s="302">
        <f t="shared" si="172"/>
        <v>0.15055061834796357</v>
      </c>
      <c r="E455" s="303"/>
      <c r="F455" s="302">
        <v>7.2297147290685208E-3</v>
      </c>
      <c r="G455" s="302">
        <v>6.5444151893804606E-2</v>
      </c>
      <c r="H455" s="302">
        <f t="shared" si="173"/>
        <v>7.2673866622873132E-2</v>
      </c>
      <c r="I455" s="303"/>
      <c r="J455" s="302">
        <v>1.5772314431193785E-2</v>
      </c>
      <c r="K455" s="302">
        <v>7.9823064991141932E-2</v>
      </c>
      <c r="L455" s="302">
        <f t="shared" si="174"/>
        <v>9.5595379422335716E-2</v>
      </c>
      <c r="M455" s="236"/>
      <c r="N455" s="236"/>
    </row>
    <row r="456" spans="1:14" x14ac:dyDescent="0.2">
      <c r="A456" s="237" t="str">
        <f>name!E$9</f>
        <v>Caring, leisure and other service occupations</v>
      </c>
      <c r="B456" s="302">
        <v>3.3055036199735453E-2</v>
      </c>
      <c r="C456" s="302">
        <v>6.0919734766500644E-2</v>
      </c>
      <c r="D456" s="302">
        <f t="shared" si="172"/>
        <v>9.3974770966236104E-2</v>
      </c>
      <c r="E456" s="303"/>
      <c r="F456" s="302">
        <v>1.4790708993443882E-2</v>
      </c>
      <c r="G456" s="302">
        <v>3.3106618281102125E-2</v>
      </c>
      <c r="H456" s="302">
        <f t="shared" si="173"/>
        <v>4.7897327274546007E-2</v>
      </c>
      <c r="I456" s="303"/>
      <c r="J456" s="302">
        <v>1.9030658741854448E-2</v>
      </c>
      <c r="K456" s="302">
        <v>4.6865736178024538E-2</v>
      </c>
      <c r="L456" s="302">
        <f t="shared" si="174"/>
        <v>6.5896394919878989E-2</v>
      </c>
      <c r="M456" s="236"/>
      <c r="N456" s="236"/>
    </row>
    <row r="457" spans="1:14" x14ac:dyDescent="0.2">
      <c r="A457" s="237" t="str">
        <f>name!E$10</f>
        <v>Sales and customer service occupations</v>
      </c>
      <c r="B457" s="302">
        <v>3.3845826300279505E-2</v>
      </c>
      <c r="C457" s="302">
        <v>8.5546385822650201E-2</v>
      </c>
      <c r="D457" s="302">
        <f t="shared" si="172"/>
        <v>0.11939221212292971</v>
      </c>
      <c r="E457" s="303"/>
      <c r="F457" s="302">
        <v>1.3552673440975464E-2</v>
      </c>
      <c r="G457" s="302">
        <v>4.1417497253369122E-2</v>
      </c>
      <c r="H457" s="302">
        <f t="shared" si="173"/>
        <v>5.4970170694344588E-2</v>
      </c>
      <c r="I457" s="303"/>
      <c r="J457" s="302">
        <v>1.7625258923687572E-2</v>
      </c>
      <c r="K457" s="302">
        <v>4.8710242182310411E-2</v>
      </c>
      <c r="L457" s="302">
        <f t="shared" si="174"/>
        <v>6.6335501105997979E-2</v>
      </c>
      <c r="M457" s="236"/>
      <c r="N457" s="236"/>
    </row>
    <row r="458" spans="1:14" x14ac:dyDescent="0.2">
      <c r="A458" s="237" t="str">
        <f>name!E$11</f>
        <v>Process, plant and machine operatives</v>
      </c>
      <c r="B458" s="302">
        <v>2.9475486126828408E-2</v>
      </c>
      <c r="C458" s="302">
        <v>0.55078281934945583</v>
      </c>
      <c r="D458" s="302">
        <f t="shared" si="172"/>
        <v>0.58025830547628421</v>
      </c>
      <c r="E458" s="303"/>
      <c r="F458" s="302">
        <v>8.6915240758710429E-3</v>
      </c>
      <c r="G458" s="302">
        <v>0.22901646968245518</v>
      </c>
      <c r="H458" s="302">
        <f t="shared" si="173"/>
        <v>0.23770799375832621</v>
      </c>
      <c r="I458" s="303"/>
      <c r="J458" s="302">
        <v>1.7451741868749954E-2</v>
      </c>
      <c r="K458" s="302">
        <v>0.29216079806436385</v>
      </c>
      <c r="L458" s="302">
        <f t="shared" si="174"/>
        <v>0.30961253993311377</v>
      </c>
      <c r="M458" s="236"/>
      <c r="N458" s="236"/>
    </row>
    <row r="459" spans="1:14" x14ac:dyDescent="0.2">
      <c r="A459" s="237" t="str">
        <f>name!E$12</f>
        <v>Elementary occupations</v>
      </c>
      <c r="B459" s="302">
        <v>0.19106425873452018</v>
      </c>
      <c r="C459" s="302">
        <v>0.71501140759025683</v>
      </c>
      <c r="D459" s="302">
        <f t="shared" si="172"/>
        <v>0.90607566632477698</v>
      </c>
      <c r="E459" s="303"/>
      <c r="F459" s="302">
        <v>6.6722117245164719E-2</v>
      </c>
      <c r="G459" s="302">
        <v>0.32297630553188139</v>
      </c>
      <c r="H459" s="302">
        <f t="shared" si="173"/>
        <v>0.38969842277704614</v>
      </c>
      <c r="I459" s="303"/>
      <c r="J459" s="302">
        <v>6.8626150608464859E-2</v>
      </c>
      <c r="K459" s="302">
        <v>0.38805456511453512</v>
      </c>
      <c r="L459" s="302">
        <f t="shared" si="174"/>
        <v>0.45668071572299995</v>
      </c>
      <c r="M459" s="236"/>
      <c r="N459" s="236"/>
    </row>
    <row r="460" spans="1:14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  <c r="N460" s="236"/>
    </row>
    <row r="461" spans="1:14" x14ac:dyDescent="0.2">
      <c r="A461" s="244" t="s">
        <v>32</v>
      </c>
      <c r="B461" s="311">
        <f>SUM(B451:B459)</f>
        <v>1.054000000004045</v>
      </c>
      <c r="C461" s="311">
        <f t="shared" ref="C461:D461" si="175">SUM(C451:C459)</f>
        <v>2.5690000000617426</v>
      </c>
      <c r="D461" s="311">
        <f t="shared" si="175"/>
        <v>3.6230000000657876</v>
      </c>
      <c r="E461" s="311"/>
      <c r="F461" s="311">
        <f t="shared" ref="F461:H461" si="176">SUM(F451:F459)</f>
        <v>0.4469999999995834</v>
      </c>
      <c r="G461" s="311">
        <f t="shared" si="176"/>
        <v>1.2479999999803861</v>
      </c>
      <c r="H461" s="311">
        <f t="shared" si="176"/>
        <v>1.6949999999799696</v>
      </c>
      <c r="I461" s="311"/>
      <c r="J461" s="311">
        <f t="shared" ref="J461:L461" si="177">SUM(J451:J459)</f>
        <v>0.59799999999917997</v>
      </c>
      <c r="K461" s="311">
        <f t="shared" si="177"/>
        <v>1.5379999999502674</v>
      </c>
      <c r="L461" s="311">
        <f t="shared" si="177"/>
        <v>2.1359999999494468</v>
      </c>
      <c r="M461" s="236"/>
      <c r="N461" s="236"/>
    </row>
    <row r="462" spans="1:14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  <c r="N462" s="236"/>
    </row>
    <row r="463" spans="1:14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56" t="s">
        <v>35</v>
      </c>
      <c r="M463" s="236"/>
      <c r="N463" s="236"/>
    </row>
    <row r="464" spans="1:14" x14ac:dyDescent="0.2">
      <c r="A464" s="242"/>
      <c r="B464" s="250"/>
      <c r="C464" s="250"/>
      <c r="D464" s="250"/>
      <c r="E464" s="250"/>
      <c r="F464" s="250"/>
      <c r="G464" s="250"/>
      <c r="H464" s="250"/>
      <c r="I464" s="250"/>
      <c r="J464" s="250"/>
      <c r="K464" s="250"/>
      <c r="L464" s="236"/>
      <c r="M464" s="236"/>
      <c r="N464" s="236"/>
    </row>
    <row r="465" spans="1:14" x14ac:dyDescent="0.2">
      <c r="A465" s="241" t="str">
        <f>name!A30</f>
        <v>Waste management</v>
      </c>
      <c r="B465" s="372">
        <f>B$6</f>
        <v>2015</v>
      </c>
      <c r="C465" s="372"/>
      <c r="D465" s="372"/>
      <c r="E465" s="253"/>
      <c r="F465" s="372">
        <f>F448</f>
        <v>2020</v>
      </c>
      <c r="G465" s="372"/>
      <c r="H465" s="372"/>
      <c r="I465" s="253"/>
      <c r="J465" s="372">
        <f>J448</f>
        <v>2035</v>
      </c>
      <c r="K465" s="372"/>
      <c r="L465" s="372"/>
      <c r="M465" s="236"/>
      <c r="N465" s="236"/>
    </row>
    <row r="466" spans="1:14" x14ac:dyDescent="0.2">
      <c r="A466" s="254"/>
      <c r="B466" s="255" t="s">
        <v>352</v>
      </c>
      <c r="C466" s="255" t="s">
        <v>353</v>
      </c>
      <c r="D466" s="255" t="s">
        <v>32</v>
      </c>
      <c r="E466" s="255"/>
      <c r="F466" s="255" t="s">
        <v>352</v>
      </c>
      <c r="G466" s="255" t="s">
        <v>353</v>
      </c>
      <c r="H466" s="255" t="s">
        <v>32</v>
      </c>
      <c r="I466" s="255"/>
      <c r="J466" s="255" t="s">
        <v>352</v>
      </c>
      <c r="K466" s="255" t="s">
        <v>353</v>
      </c>
      <c r="L466" s="255" t="s">
        <v>32</v>
      </c>
      <c r="M466" s="236"/>
      <c r="N466" s="236"/>
    </row>
    <row r="467" spans="1:14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  <c r="N467" s="236"/>
    </row>
    <row r="468" spans="1:14" x14ac:dyDescent="0.2">
      <c r="A468" s="237" t="str">
        <f>name!E$4</f>
        <v>Managers, directors and senior officials</v>
      </c>
      <c r="B468" s="302">
        <v>0.41465845544160734</v>
      </c>
      <c r="C468" s="302">
        <v>1.1501344430594227</v>
      </c>
      <c r="D468" s="302">
        <f>SUM(B468:C468)</f>
        <v>1.56479289850103</v>
      </c>
      <c r="E468" s="303"/>
      <c r="F468" s="302">
        <v>0.33961979702721412</v>
      </c>
      <c r="G468" s="302">
        <v>2.0311119859138245</v>
      </c>
      <c r="H468" s="302">
        <f>SUM(F468:G468)</f>
        <v>2.3707317829410384</v>
      </c>
      <c r="I468" s="303"/>
      <c r="J468" s="302">
        <v>0.477019837217177</v>
      </c>
      <c r="K468" s="302">
        <v>2.5662886719304199</v>
      </c>
      <c r="L468" s="302">
        <f>SUM(J468:K468)</f>
        <v>3.0433085091475967</v>
      </c>
      <c r="M468" s="236"/>
      <c r="N468" s="236"/>
    </row>
    <row r="469" spans="1:14" x14ac:dyDescent="0.2">
      <c r="A469" s="237" t="str">
        <f>name!E$5</f>
        <v>Professional occupations</v>
      </c>
      <c r="B469" s="302">
        <v>0.80078895387211335</v>
      </c>
      <c r="C469" s="302">
        <v>0.96273127457478425</v>
      </c>
      <c r="D469" s="302">
        <f t="shared" ref="D469:D476" si="178">SUM(B469:C469)</f>
        <v>1.7635202284468976</v>
      </c>
      <c r="E469" s="303"/>
      <c r="F469" s="302">
        <v>0.75306665166488729</v>
      </c>
      <c r="G469" s="302">
        <v>1.6006811139358137</v>
      </c>
      <c r="H469" s="302">
        <f t="shared" ref="H469:H476" si="179">SUM(F469:G469)</f>
        <v>2.3537477656007009</v>
      </c>
      <c r="I469" s="303"/>
      <c r="J469" s="302">
        <v>1.1494200512312136</v>
      </c>
      <c r="K469" s="302">
        <v>2.1235527975482209</v>
      </c>
      <c r="L469" s="302">
        <f t="shared" ref="L469:L476" si="180">SUM(J469:K469)</f>
        <v>3.2729728487794345</v>
      </c>
      <c r="M469" s="236"/>
      <c r="N469" s="236"/>
    </row>
    <row r="470" spans="1:14" x14ac:dyDescent="0.2">
      <c r="A470" s="237" t="str">
        <f>name!E$6</f>
        <v>Associate professional occupations</v>
      </c>
      <c r="B470" s="302">
        <v>0.96001472144724853</v>
      </c>
      <c r="C470" s="302">
        <v>0.9378617637029899</v>
      </c>
      <c r="D470" s="302">
        <f t="shared" si="178"/>
        <v>1.8978764851502383</v>
      </c>
      <c r="E470" s="303"/>
      <c r="F470" s="302">
        <v>0.76196391506398686</v>
      </c>
      <c r="G470" s="302">
        <v>1.3950014344754227</v>
      </c>
      <c r="H470" s="302">
        <f t="shared" si="179"/>
        <v>2.1569653495394094</v>
      </c>
      <c r="I470" s="303"/>
      <c r="J470" s="302">
        <v>1.1736168320054017</v>
      </c>
      <c r="K470" s="302">
        <v>1.7543361761865679</v>
      </c>
      <c r="L470" s="302">
        <f t="shared" si="180"/>
        <v>2.9279530081919694</v>
      </c>
      <c r="M470" s="236"/>
      <c r="N470" s="236"/>
    </row>
    <row r="471" spans="1:14" x14ac:dyDescent="0.2">
      <c r="A471" s="237" t="str">
        <f>name!E$7</f>
        <v>Administrative and secretarial occupations</v>
      </c>
      <c r="B471" s="302">
        <v>0.72996725934317908</v>
      </c>
      <c r="C471" s="302">
        <v>0.21557190637581322</v>
      </c>
      <c r="D471" s="302">
        <f t="shared" si="178"/>
        <v>0.94553916571899232</v>
      </c>
      <c r="E471" s="303"/>
      <c r="F471" s="302">
        <v>0.50403545115956605</v>
      </c>
      <c r="G471" s="302">
        <v>0.35427027666742833</v>
      </c>
      <c r="H471" s="302">
        <f t="shared" si="179"/>
        <v>0.85830572782699432</v>
      </c>
      <c r="I471" s="303"/>
      <c r="J471" s="302">
        <v>0.39206678191261318</v>
      </c>
      <c r="K471" s="302">
        <v>0.39479019013747829</v>
      </c>
      <c r="L471" s="302">
        <f t="shared" si="180"/>
        <v>0.78685697205009153</v>
      </c>
      <c r="M471" s="236"/>
      <c r="N471" s="236"/>
    </row>
    <row r="472" spans="1:14" x14ac:dyDescent="0.2">
      <c r="A472" s="237" t="str">
        <f>name!E$8</f>
        <v>Skilled trades occupations</v>
      </c>
      <c r="B472" s="302">
        <v>0.15246893393321373</v>
      </c>
      <c r="C472" s="302">
        <v>0.51851226802023764</v>
      </c>
      <c r="D472" s="302">
        <f t="shared" si="178"/>
        <v>0.67098120195345134</v>
      </c>
      <c r="E472" s="303"/>
      <c r="F472" s="302">
        <v>0.16963695773460832</v>
      </c>
      <c r="G472" s="302">
        <v>1.1406271357607956</v>
      </c>
      <c r="H472" s="302">
        <f t="shared" si="179"/>
        <v>1.310264093495404</v>
      </c>
      <c r="I472" s="303"/>
      <c r="J472" s="302">
        <v>0.36887153657186972</v>
      </c>
      <c r="K472" s="302">
        <v>1.2401372520870599</v>
      </c>
      <c r="L472" s="302">
        <f t="shared" si="180"/>
        <v>1.6090087886589297</v>
      </c>
      <c r="M472" s="236"/>
      <c r="N472" s="236"/>
    </row>
    <row r="473" spans="1:14" x14ac:dyDescent="0.2">
      <c r="A473" s="237" t="str">
        <f>name!E$9</f>
        <v>Caring, leisure and other service occupations</v>
      </c>
      <c r="B473" s="302">
        <v>0.17767808019585807</v>
      </c>
      <c r="C473" s="302">
        <v>0.16786898975691952</v>
      </c>
      <c r="D473" s="302">
        <f t="shared" si="178"/>
        <v>0.34554706995277762</v>
      </c>
      <c r="E473" s="303"/>
      <c r="F473" s="302">
        <v>0.13777369599548647</v>
      </c>
      <c r="G473" s="302">
        <v>0.26190355634725065</v>
      </c>
      <c r="H473" s="302">
        <f t="shared" si="179"/>
        <v>0.3996772523427371</v>
      </c>
      <c r="I473" s="303"/>
      <c r="J473" s="302">
        <v>0.18453066165698334</v>
      </c>
      <c r="K473" s="302">
        <v>0.50814452539810662</v>
      </c>
      <c r="L473" s="302">
        <f t="shared" si="180"/>
        <v>0.69267518705509001</v>
      </c>
      <c r="M473" s="236"/>
      <c r="N473" s="236"/>
    </row>
    <row r="474" spans="1:14" x14ac:dyDescent="0.2">
      <c r="A474" s="237" t="str">
        <f>name!E$10</f>
        <v>Sales and customer service occupations</v>
      </c>
      <c r="B474" s="302">
        <v>0.14799510690964413</v>
      </c>
      <c r="C474" s="302">
        <v>0.14672791605259461</v>
      </c>
      <c r="D474" s="302">
        <f t="shared" si="178"/>
        <v>0.29472302296223873</v>
      </c>
      <c r="E474" s="303"/>
      <c r="F474" s="302">
        <v>0.10637505793129667</v>
      </c>
      <c r="G474" s="302">
        <v>0.2733082583100338</v>
      </c>
      <c r="H474" s="302">
        <f t="shared" si="179"/>
        <v>0.37968331624133045</v>
      </c>
      <c r="I474" s="303"/>
      <c r="J474" s="302">
        <v>0.12815826952555237</v>
      </c>
      <c r="K474" s="302">
        <v>0.38288254306136893</v>
      </c>
      <c r="L474" s="302">
        <f t="shared" si="180"/>
        <v>0.51104081258692124</v>
      </c>
      <c r="M474" s="236"/>
      <c r="N474" s="236"/>
    </row>
    <row r="475" spans="1:14" x14ac:dyDescent="0.2">
      <c r="A475" s="237" t="str">
        <f>name!E$11</f>
        <v>Process, plant and machine operatives</v>
      </c>
      <c r="B475" s="302">
        <v>0.23567851339940579</v>
      </c>
      <c r="C475" s="302">
        <v>1.7407148398467744</v>
      </c>
      <c r="D475" s="302">
        <f t="shared" si="178"/>
        <v>1.9763933532461802</v>
      </c>
      <c r="E475" s="303"/>
      <c r="F475" s="302">
        <v>0.15679482313100643</v>
      </c>
      <c r="G475" s="302">
        <v>2.1584617737261875</v>
      </c>
      <c r="H475" s="302">
        <f t="shared" si="179"/>
        <v>2.3152565968571941</v>
      </c>
      <c r="I475" s="303"/>
      <c r="J475" s="302">
        <v>0.21971205208647684</v>
      </c>
      <c r="K475" s="302">
        <v>2.5233492270558613</v>
      </c>
      <c r="L475" s="302">
        <f t="shared" si="180"/>
        <v>2.7430612791423381</v>
      </c>
      <c r="M475" s="236"/>
      <c r="N475" s="236"/>
    </row>
    <row r="476" spans="1:14" x14ac:dyDescent="0.2">
      <c r="A476" s="237" t="str">
        <f>name!E$12</f>
        <v>Elementary occupations</v>
      </c>
      <c r="B476" s="302">
        <v>0.179749975444394</v>
      </c>
      <c r="C476" s="302">
        <v>1.725876598751501</v>
      </c>
      <c r="D476" s="302">
        <f t="shared" si="178"/>
        <v>1.9056265741958951</v>
      </c>
      <c r="E476" s="303"/>
      <c r="F476" s="302">
        <v>0.12273365028299821</v>
      </c>
      <c r="G476" s="302">
        <v>2.1406344646987168</v>
      </c>
      <c r="H476" s="302">
        <f t="shared" si="179"/>
        <v>2.2633681149817151</v>
      </c>
      <c r="I476" s="303"/>
      <c r="J476" s="302">
        <v>8.9603977789383615E-2</v>
      </c>
      <c r="K476" s="302">
        <v>2.3285186162804878</v>
      </c>
      <c r="L476" s="302">
        <f t="shared" si="180"/>
        <v>2.4181225940698714</v>
      </c>
      <c r="M476" s="236"/>
      <c r="N476" s="236"/>
    </row>
    <row r="477" spans="1:14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  <c r="N477" s="236"/>
    </row>
    <row r="478" spans="1:14" x14ac:dyDescent="0.2">
      <c r="A478" s="244" t="s">
        <v>32</v>
      </c>
      <c r="B478" s="311">
        <f>SUM(B468:B476)</f>
        <v>3.7989999999866639</v>
      </c>
      <c r="C478" s="311">
        <f t="shared" ref="C478:D478" si="181">SUM(C468:C476)</f>
        <v>7.5660000001410381</v>
      </c>
      <c r="D478" s="311">
        <f t="shared" si="181"/>
        <v>11.365000000127701</v>
      </c>
      <c r="E478" s="311"/>
      <c r="F478" s="311">
        <f t="shared" ref="F478:H478" si="182">SUM(F468:F476)</f>
        <v>3.0519999999910503</v>
      </c>
      <c r="G478" s="311">
        <f t="shared" si="182"/>
        <v>11.355999999835474</v>
      </c>
      <c r="H478" s="311">
        <f t="shared" si="182"/>
        <v>14.407999999826522</v>
      </c>
      <c r="I478" s="311"/>
      <c r="J478" s="311">
        <f t="shared" ref="J478:L478" si="183">SUM(J468:J476)</f>
        <v>4.1829999999966718</v>
      </c>
      <c r="K478" s="311">
        <f t="shared" si="183"/>
        <v>13.821999999685573</v>
      </c>
      <c r="L478" s="311">
        <f t="shared" si="183"/>
        <v>18.004999999682244</v>
      </c>
      <c r="M478" s="236"/>
      <c r="N478" s="236"/>
    </row>
    <row r="479" spans="1:14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  <c r="N479" s="236"/>
    </row>
    <row r="480" spans="1:14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56" t="s">
        <v>35</v>
      </c>
      <c r="M480" s="236"/>
      <c r="N480" s="236"/>
    </row>
    <row r="481" spans="1:14" x14ac:dyDescent="0.2">
      <c r="A481" s="242"/>
      <c r="B481" s="250"/>
      <c r="C481" s="250"/>
      <c r="D481" s="250"/>
      <c r="E481" s="250"/>
      <c r="F481" s="250"/>
      <c r="G481" s="250"/>
      <c r="H481" s="250"/>
      <c r="I481" s="250"/>
      <c r="J481" s="250"/>
      <c r="K481" s="250"/>
      <c r="L481" s="236"/>
      <c r="M481" s="236"/>
      <c r="N481" s="236"/>
    </row>
    <row r="482" spans="1:14" x14ac:dyDescent="0.2">
      <c r="A482" s="241" t="str">
        <f>name!A31</f>
        <v>Construction</v>
      </c>
      <c r="B482" s="372">
        <f>B$6</f>
        <v>2015</v>
      </c>
      <c r="C482" s="372"/>
      <c r="D482" s="372"/>
      <c r="E482" s="253"/>
      <c r="F482" s="372">
        <f>F465</f>
        <v>2020</v>
      </c>
      <c r="G482" s="372"/>
      <c r="H482" s="372"/>
      <c r="I482" s="253"/>
      <c r="J482" s="372">
        <f>J465</f>
        <v>2035</v>
      </c>
      <c r="K482" s="372"/>
      <c r="L482" s="372"/>
      <c r="M482" s="236"/>
      <c r="N482" s="236"/>
    </row>
    <row r="483" spans="1:14" x14ac:dyDescent="0.2">
      <c r="A483" s="254"/>
      <c r="B483" s="255" t="s">
        <v>352</v>
      </c>
      <c r="C483" s="255" t="s">
        <v>353</v>
      </c>
      <c r="D483" s="255" t="s">
        <v>32</v>
      </c>
      <c r="E483" s="255"/>
      <c r="F483" s="255" t="s">
        <v>352</v>
      </c>
      <c r="G483" s="255" t="s">
        <v>353</v>
      </c>
      <c r="H483" s="255" t="s">
        <v>32</v>
      </c>
      <c r="I483" s="255"/>
      <c r="J483" s="255" t="s">
        <v>352</v>
      </c>
      <c r="K483" s="255" t="s">
        <v>353</v>
      </c>
      <c r="L483" s="255" t="s">
        <v>32</v>
      </c>
      <c r="M483" s="236"/>
      <c r="N483" s="236"/>
    </row>
    <row r="484" spans="1:14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  <c r="N484" s="236"/>
    </row>
    <row r="485" spans="1:14" x14ac:dyDescent="0.2">
      <c r="A485" s="237" t="str">
        <f>name!E$4</f>
        <v>Managers, directors and senior officials</v>
      </c>
      <c r="B485" s="302">
        <v>1.9704370464006828</v>
      </c>
      <c r="C485" s="302">
        <v>6.7041172354809087</v>
      </c>
      <c r="D485" s="302">
        <f>SUM(B485:C485)</f>
        <v>8.6745542818815906</v>
      </c>
      <c r="E485" s="303"/>
      <c r="F485" s="302">
        <v>3.5038275182466854</v>
      </c>
      <c r="G485" s="302">
        <v>11.333594280907441</v>
      </c>
      <c r="H485" s="302">
        <f>SUM(F485:G485)</f>
        <v>14.837421799154127</v>
      </c>
      <c r="I485" s="303"/>
      <c r="J485" s="302">
        <v>5.0442762645011481</v>
      </c>
      <c r="K485" s="302">
        <v>14.025799540618431</v>
      </c>
      <c r="L485" s="302">
        <f>SUM(J485:K485)</f>
        <v>19.070075805119579</v>
      </c>
      <c r="M485" s="236"/>
      <c r="N485" s="236"/>
    </row>
    <row r="486" spans="1:14" x14ac:dyDescent="0.2">
      <c r="A486" s="237" t="str">
        <f>name!E$5</f>
        <v>Professional occupations</v>
      </c>
      <c r="B486" s="302">
        <v>3.0893210705748988</v>
      </c>
      <c r="C486" s="302">
        <v>7.8086446400170884</v>
      </c>
      <c r="D486" s="302">
        <f t="shared" ref="D486:D493" si="184">SUM(B486:C486)</f>
        <v>10.897965710591986</v>
      </c>
      <c r="E486" s="303"/>
      <c r="F486" s="302">
        <v>6.0234634127882734</v>
      </c>
      <c r="G486" s="302">
        <v>14.850642202501184</v>
      </c>
      <c r="H486" s="302">
        <f t="shared" ref="H486:H493" si="185">SUM(F486:G486)</f>
        <v>20.874105615289459</v>
      </c>
      <c r="I486" s="303"/>
      <c r="J486" s="302">
        <v>9.4416209202323511</v>
      </c>
      <c r="K486" s="302">
        <v>22.132720211545312</v>
      </c>
      <c r="L486" s="302">
        <f t="shared" ref="L486:L493" si="186">SUM(J486:K486)</f>
        <v>31.574341131777665</v>
      </c>
      <c r="M486" s="236"/>
      <c r="N486" s="236"/>
    </row>
    <row r="487" spans="1:14" x14ac:dyDescent="0.2">
      <c r="A487" s="237" t="str">
        <f>name!E$6</f>
        <v>Associate professional occupations</v>
      </c>
      <c r="B487" s="302">
        <v>2.355994195526236</v>
      </c>
      <c r="C487" s="302">
        <v>3.8758613593272542</v>
      </c>
      <c r="D487" s="302">
        <f t="shared" si="184"/>
        <v>6.2318555548534906</v>
      </c>
      <c r="E487" s="303"/>
      <c r="F487" s="302">
        <v>4.0964737600891743</v>
      </c>
      <c r="G487" s="302">
        <v>7.1781048487047245</v>
      </c>
      <c r="H487" s="302">
        <f t="shared" si="185"/>
        <v>11.274578608793899</v>
      </c>
      <c r="I487" s="303"/>
      <c r="J487" s="302">
        <v>5.6365976489211214</v>
      </c>
      <c r="K487" s="302">
        <v>8.3765240282612989</v>
      </c>
      <c r="L487" s="302">
        <f t="shared" si="186"/>
        <v>14.01312167718242</v>
      </c>
      <c r="M487" s="236"/>
      <c r="N487" s="236"/>
    </row>
    <row r="488" spans="1:14" x14ac:dyDescent="0.2">
      <c r="A488" s="237" t="str">
        <f>name!E$7</f>
        <v>Administrative and secretarial occupations</v>
      </c>
      <c r="B488" s="302">
        <v>8.6134058415025425</v>
      </c>
      <c r="C488" s="302">
        <v>0.60850616340602692</v>
      </c>
      <c r="D488" s="302">
        <f t="shared" si="184"/>
        <v>9.2219120049085692</v>
      </c>
      <c r="E488" s="303"/>
      <c r="F488" s="302">
        <v>11.407617979331915</v>
      </c>
      <c r="G488" s="302">
        <v>1.0340569675438227</v>
      </c>
      <c r="H488" s="302">
        <f t="shared" si="185"/>
        <v>12.441674946875738</v>
      </c>
      <c r="I488" s="303"/>
      <c r="J488" s="302">
        <v>10.712035269452681</v>
      </c>
      <c r="K488" s="302">
        <v>1.1685799409568041</v>
      </c>
      <c r="L488" s="302">
        <f t="shared" si="186"/>
        <v>11.880615210409484</v>
      </c>
      <c r="M488" s="236"/>
      <c r="N488" s="236"/>
    </row>
    <row r="489" spans="1:14" x14ac:dyDescent="0.2">
      <c r="A489" s="237" t="str">
        <f>name!E$8</f>
        <v>Skilled trades occupations</v>
      </c>
      <c r="B489" s="302">
        <v>2.2614586053383881</v>
      </c>
      <c r="C489" s="302">
        <v>62.666568090640574</v>
      </c>
      <c r="D489" s="302">
        <f t="shared" si="184"/>
        <v>64.928026695978957</v>
      </c>
      <c r="E489" s="303"/>
      <c r="F489" s="302">
        <v>3.2244708271457259</v>
      </c>
      <c r="G489" s="302">
        <v>53.58958148888528</v>
      </c>
      <c r="H489" s="302">
        <f t="shared" si="185"/>
        <v>56.814052316031002</v>
      </c>
      <c r="I489" s="303"/>
      <c r="J489" s="302">
        <v>6.3069809423536647</v>
      </c>
      <c r="K489" s="302">
        <v>65.679843020457099</v>
      </c>
      <c r="L489" s="302">
        <f t="shared" si="186"/>
        <v>71.98682396281076</v>
      </c>
      <c r="M489" s="236"/>
      <c r="N489" s="236"/>
    </row>
    <row r="490" spans="1:14" x14ac:dyDescent="0.2">
      <c r="A490" s="237" t="str">
        <f>name!E$9</f>
        <v>Caring, leisure and other service occupations</v>
      </c>
      <c r="B490" s="302">
        <v>0.12751236933673019</v>
      </c>
      <c r="C490" s="302">
        <v>0.28420259131099956</v>
      </c>
      <c r="D490" s="302">
        <f t="shared" si="184"/>
        <v>0.41171496064772972</v>
      </c>
      <c r="E490" s="303"/>
      <c r="F490" s="302">
        <v>0.17021566706902569</v>
      </c>
      <c r="G490" s="302">
        <v>0.54465002507541616</v>
      </c>
      <c r="H490" s="302">
        <f t="shared" si="185"/>
        <v>0.71486569214444184</v>
      </c>
      <c r="I490" s="303"/>
      <c r="J490" s="302">
        <v>0.19665735962237307</v>
      </c>
      <c r="K490" s="302">
        <v>0.61688266945545256</v>
      </c>
      <c r="L490" s="302">
        <f t="shared" si="186"/>
        <v>0.81354002907782563</v>
      </c>
      <c r="M490" s="236"/>
      <c r="N490" s="236"/>
    </row>
    <row r="491" spans="1:14" x14ac:dyDescent="0.2">
      <c r="A491" s="237" t="str">
        <f>name!E$10</f>
        <v>Sales and customer service occupations</v>
      </c>
      <c r="B491" s="302">
        <v>0.90033202463513684</v>
      </c>
      <c r="C491" s="302">
        <v>0.5187893248283697</v>
      </c>
      <c r="D491" s="302">
        <f t="shared" si="184"/>
        <v>1.4191213494635067</v>
      </c>
      <c r="E491" s="303"/>
      <c r="F491" s="302">
        <v>1.3074276033236456</v>
      </c>
      <c r="G491" s="302">
        <v>0.77779404856865997</v>
      </c>
      <c r="H491" s="302">
        <f t="shared" si="185"/>
        <v>2.0852216518923057</v>
      </c>
      <c r="I491" s="303"/>
      <c r="J491" s="302">
        <v>1.751613256879275</v>
      </c>
      <c r="K491" s="302">
        <v>1.0499045544498524</v>
      </c>
      <c r="L491" s="302">
        <f t="shared" si="186"/>
        <v>2.8015178113291275</v>
      </c>
      <c r="M491" s="236"/>
      <c r="N491" s="236"/>
    </row>
    <row r="492" spans="1:14" x14ac:dyDescent="0.2">
      <c r="A492" s="237" t="str">
        <f>name!E$11</f>
        <v>Process, plant and machine operatives</v>
      </c>
      <c r="B492" s="302">
        <v>0.230330751743792</v>
      </c>
      <c r="C492" s="302">
        <v>5.6486900810297573</v>
      </c>
      <c r="D492" s="302">
        <f t="shared" si="184"/>
        <v>5.8790208327735494</v>
      </c>
      <c r="E492" s="303"/>
      <c r="F492" s="302">
        <v>0.26314060622702379</v>
      </c>
      <c r="G492" s="302">
        <v>7.034947606131456</v>
      </c>
      <c r="H492" s="302">
        <f t="shared" si="185"/>
        <v>7.29808821235848</v>
      </c>
      <c r="I492" s="303"/>
      <c r="J492" s="302">
        <v>0.43232585913390087</v>
      </c>
      <c r="K492" s="302">
        <v>9.5209311516730075</v>
      </c>
      <c r="L492" s="302">
        <f t="shared" si="186"/>
        <v>9.9532570108069081</v>
      </c>
      <c r="M492" s="236"/>
      <c r="N492" s="236"/>
    </row>
    <row r="493" spans="1:14" x14ac:dyDescent="0.2">
      <c r="A493" s="237" t="str">
        <f>name!E$12</f>
        <v>Elementary occupations</v>
      </c>
      <c r="B493" s="302">
        <v>0.4682080950357595</v>
      </c>
      <c r="C493" s="302">
        <v>4.4596205141382006</v>
      </c>
      <c r="D493" s="302">
        <f t="shared" si="184"/>
        <v>4.92782860917396</v>
      </c>
      <c r="E493" s="303"/>
      <c r="F493" s="302">
        <v>0.45636262550177359</v>
      </c>
      <c r="G493" s="302">
        <v>4.9786285281073317</v>
      </c>
      <c r="H493" s="302">
        <f t="shared" si="185"/>
        <v>5.4349911536091051</v>
      </c>
      <c r="I493" s="303"/>
      <c r="J493" s="302">
        <v>0.38489247872547822</v>
      </c>
      <c r="K493" s="302">
        <v>5.6098148750296035</v>
      </c>
      <c r="L493" s="302">
        <f t="shared" si="186"/>
        <v>5.9947073537550821</v>
      </c>
      <c r="M493" s="236"/>
      <c r="N493" s="236"/>
    </row>
    <row r="494" spans="1:14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  <c r="N494" s="236"/>
    </row>
    <row r="495" spans="1:14" x14ac:dyDescent="0.2">
      <c r="A495" s="244" t="s">
        <v>32</v>
      </c>
      <c r="B495" s="311">
        <f>SUM(B485:B493)</f>
        <v>20.017000000094168</v>
      </c>
      <c r="C495" s="311">
        <f t="shared" ref="C495:D495" si="187">SUM(C485:C493)</f>
        <v>92.575000000179173</v>
      </c>
      <c r="D495" s="311">
        <f t="shared" si="187"/>
        <v>112.59200000027333</v>
      </c>
      <c r="E495" s="311"/>
      <c r="F495" s="311">
        <f t="shared" ref="F495:H495" si="188">SUM(F485:F493)</f>
        <v>30.452999999723243</v>
      </c>
      <c r="G495" s="311">
        <f t="shared" si="188"/>
        <v>101.32199999642533</v>
      </c>
      <c r="H495" s="311">
        <f t="shared" si="188"/>
        <v>131.77499999614855</v>
      </c>
      <c r="I495" s="311"/>
      <c r="J495" s="311">
        <f t="shared" ref="J495:L495" si="189">SUM(J485:J493)</f>
        <v>39.906999999821991</v>
      </c>
      <c r="K495" s="311">
        <f t="shared" si="189"/>
        <v>128.18099999244686</v>
      </c>
      <c r="L495" s="311">
        <f t="shared" si="189"/>
        <v>168.08799999226883</v>
      </c>
      <c r="M495" s="236"/>
      <c r="N495" s="236"/>
    </row>
    <row r="496" spans="1:14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  <c r="N496" s="236"/>
    </row>
    <row r="497" spans="1:14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56" t="s">
        <v>35</v>
      </c>
      <c r="M497" s="236"/>
      <c r="N497" s="236"/>
    </row>
    <row r="498" spans="1:14" x14ac:dyDescent="0.2">
      <c r="A498" s="242"/>
      <c r="B498" s="250"/>
      <c r="C498" s="250"/>
      <c r="D498" s="250"/>
      <c r="E498" s="250"/>
      <c r="F498" s="250"/>
      <c r="G498" s="250"/>
      <c r="H498" s="250"/>
      <c r="I498" s="250"/>
      <c r="J498" s="250"/>
      <c r="K498" s="250"/>
      <c r="L498" s="236"/>
      <c r="M498" s="236"/>
      <c r="N498" s="236"/>
    </row>
    <row r="499" spans="1:14" x14ac:dyDescent="0.2">
      <c r="A499" s="241" t="str">
        <f>name!A32</f>
        <v>Civil engineering</v>
      </c>
      <c r="B499" s="372">
        <f>B$6</f>
        <v>2015</v>
      </c>
      <c r="C499" s="372"/>
      <c r="D499" s="372"/>
      <c r="E499" s="253"/>
      <c r="F499" s="372">
        <f>F482</f>
        <v>2020</v>
      </c>
      <c r="G499" s="372"/>
      <c r="H499" s="372"/>
      <c r="I499" s="253"/>
      <c r="J499" s="372">
        <f>J482</f>
        <v>2035</v>
      </c>
      <c r="K499" s="372"/>
      <c r="L499" s="372"/>
      <c r="M499" s="236"/>
      <c r="N499" s="236"/>
    </row>
    <row r="500" spans="1:14" x14ac:dyDescent="0.2">
      <c r="A500" s="254"/>
      <c r="B500" s="255" t="s">
        <v>352</v>
      </c>
      <c r="C500" s="255" t="s">
        <v>353</v>
      </c>
      <c r="D500" s="255" t="s">
        <v>32</v>
      </c>
      <c r="E500" s="255"/>
      <c r="F500" s="255" t="s">
        <v>352</v>
      </c>
      <c r="G500" s="255" t="s">
        <v>353</v>
      </c>
      <c r="H500" s="255" t="s">
        <v>32</v>
      </c>
      <c r="I500" s="255"/>
      <c r="J500" s="255" t="s">
        <v>352</v>
      </c>
      <c r="K500" s="255" t="s">
        <v>353</v>
      </c>
      <c r="L500" s="255" t="s">
        <v>32</v>
      </c>
      <c r="M500" s="236"/>
      <c r="N500" s="236"/>
    </row>
    <row r="501" spans="1:14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  <c r="N501" s="236"/>
    </row>
    <row r="502" spans="1:14" x14ac:dyDescent="0.2">
      <c r="A502" s="237" t="str">
        <f>name!E$4</f>
        <v>Managers, directors and senior officials</v>
      </c>
      <c r="B502" s="302">
        <v>0.3607174468984583</v>
      </c>
      <c r="C502" s="302">
        <v>3.5519326420888038</v>
      </c>
      <c r="D502" s="302">
        <f>SUM(B502:C502)</f>
        <v>3.9126500889872622</v>
      </c>
      <c r="E502" s="303"/>
      <c r="F502" s="302">
        <v>0.35861079948103491</v>
      </c>
      <c r="G502" s="302">
        <v>3.3955195231975521</v>
      </c>
      <c r="H502" s="302">
        <f>SUM(F502:G502)</f>
        <v>3.7541303226785869</v>
      </c>
      <c r="I502" s="303"/>
      <c r="J502" s="302">
        <v>0.53008986471018094</v>
      </c>
      <c r="K502" s="302">
        <v>4.1948429717085087</v>
      </c>
      <c r="L502" s="302">
        <f>SUM(J502:K502)</f>
        <v>4.7249328364186898</v>
      </c>
      <c r="M502" s="236"/>
      <c r="N502" s="236"/>
    </row>
    <row r="503" spans="1:14" x14ac:dyDescent="0.2">
      <c r="A503" s="237" t="str">
        <f>name!E$5</f>
        <v>Professional occupations</v>
      </c>
      <c r="B503" s="302">
        <v>0.54850151881186249</v>
      </c>
      <c r="C503" s="302">
        <v>4.1639017702232017</v>
      </c>
      <c r="D503" s="302">
        <f t="shared" ref="D503:D510" si="190">SUM(B503:C503)</f>
        <v>4.7124032890350644</v>
      </c>
      <c r="E503" s="303"/>
      <c r="F503" s="302">
        <v>0.6144395378144496</v>
      </c>
      <c r="G503" s="302">
        <v>4.5071776446101612</v>
      </c>
      <c r="H503" s="302">
        <f t="shared" ref="H503:H510" si="191">SUM(F503:G503)</f>
        <v>5.1216171824246111</v>
      </c>
      <c r="I503" s="303"/>
      <c r="J503" s="302">
        <v>0.96507199790616105</v>
      </c>
      <c r="K503" s="302">
        <v>6.7190953063927275</v>
      </c>
      <c r="L503" s="302">
        <f t="shared" ref="L503:L510" si="192">SUM(J503:K503)</f>
        <v>7.6841673042988887</v>
      </c>
      <c r="M503" s="236"/>
      <c r="N503" s="236"/>
    </row>
    <row r="504" spans="1:14" x14ac:dyDescent="0.2">
      <c r="A504" s="237" t="str">
        <f>name!E$6</f>
        <v>Associate professional occupations</v>
      </c>
      <c r="B504" s="302">
        <v>0.42000284695395529</v>
      </c>
      <c r="C504" s="302">
        <v>2.043725895782194</v>
      </c>
      <c r="D504" s="302">
        <f t="shared" si="190"/>
        <v>2.4637287427361492</v>
      </c>
      <c r="E504" s="303"/>
      <c r="F504" s="302">
        <v>0.4245514062088499</v>
      </c>
      <c r="G504" s="302">
        <v>2.1385814238627665</v>
      </c>
      <c r="H504" s="302">
        <f t="shared" si="191"/>
        <v>2.5631328300716163</v>
      </c>
      <c r="I504" s="303"/>
      <c r="J504" s="302">
        <v>0.58507896977352269</v>
      </c>
      <c r="K504" s="302">
        <v>2.5149736818640314</v>
      </c>
      <c r="L504" s="302">
        <f t="shared" si="192"/>
        <v>3.1000526516375539</v>
      </c>
      <c r="M504" s="236"/>
      <c r="N504" s="236"/>
    </row>
    <row r="505" spans="1:14" x14ac:dyDescent="0.2">
      <c r="A505" s="237" t="str">
        <f>name!E$7</f>
        <v>Administrative and secretarial occupations</v>
      </c>
      <c r="B505" s="302">
        <v>1.5200974982980919</v>
      </c>
      <c r="C505" s="302">
        <v>0.30943426306672334</v>
      </c>
      <c r="D505" s="302">
        <f t="shared" si="190"/>
        <v>1.8295317613648152</v>
      </c>
      <c r="E505" s="303"/>
      <c r="F505" s="302">
        <v>1.2803778197488767</v>
      </c>
      <c r="G505" s="302">
        <v>0.29999814600898406</v>
      </c>
      <c r="H505" s="302">
        <f t="shared" si="191"/>
        <v>1.5803759657578607</v>
      </c>
      <c r="I505" s="303"/>
      <c r="J505" s="302">
        <v>1.2843528300068341</v>
      </c>
      <c r="K505" s="302">
        <v>0.35928815005709236</v>
      </c>
      <c r="L505" s="302">
        <f t="shared" si="192"/>
        <v>1.6436409800639264</v>
      </c>
      <c r="M505" s="236"/>
      <c r="N505" s="236"/>
    </row>
    <row r="506" spans="1:14" x14ac:dyDescent="0.2">
      <c r="A506" s="237" t="str">
        <f>name!E$8</f>
        <v>Skilled trades occupations</v>
      </c>
      <c r="B506" s="302">
        <v>0.46695393268017393</v>
      </c>
      <c r="C506" s="302">
        <v>33.464367308530889</v>
      </c>
      <c r="D506" s="302">
        <f t="shared" si="190"/>
        <v>33.931321241211066</v>
      </c>
      <c r="E506" s="303"/>
      <c r="F506" s="302">
        <v>0.26496683133875065</v>
      </c>
      <c r="G506" s="302">
        <v>16.646472905390137</v>
      </c>
      <c r="H506" s="302">
        <f t="shared" si="191"/>
        <v>16.911439736728887</v>
      </c>
      <c r="I506" s="303"/>
      <c r="J506" s="302">
        <v>0.59710798193307624</v>
      </c>
      <c r="K506" s="302">
        <v>20.198083142816536</v>
      </c>
      <c r="L506" s="302">
        <f t="shared" si="192"/>
        <v>20.795191124749611</v>
      </c>
      <c r="M506" s="236"/>
      <c r="N506" s="236"/>
    </row>
    <row r="507" spans="1:14" x14ac:dyDescent="0.2">
      <c r="A507" s="237" t="str">
        <f>name!E$9</f>
        <v>Caring, leisure and other service occupations</v>
      </c>
      <c r="B507" s="302">
        <v>2.3286597103894746E-2</v>
      </c>
      <c r="C507" s="302">
        <v>0.1296653681688395</v>
      </c>
      <c r="D507" s="302">
        <f t="shared" si="190"/>
        <v>0.15295196527273425</v>
      </c>
      <c r="E507" s="303"/>
      <c r="F507" s="302">
        <v>1.6902491821347371E-2</v>
      </c>
      <c r="G507" s="302">
        <v>0.14214985696451066</v>
      </c>
      <c r="H507" s="302">
        <f t="shared" si="191"/>
        <v>0.15905234878585803</v>
      </c>
      <c r="I507" s="303"/>
      <c r="J507" s="302">
        <v>1.9973433433835685E-2</v>
      </c>
      <c r="K507" s="302">
        <v>0.169300647687913</v>
      </c>
      <c r="L507" s="302">
        <f t="shared" si="192"/>
        <v>0.18927408112174868</v>
      </c>
      <c r="M507" s="236"/>
      <c r="N507" s="236"/>
    </row>
    <row r="508" spans="1:14" x14ac:dyDescent="0.2">
      <c r="A508" s="237" t="str">
        <f>name!E$10</f>
        <v>Sales and customer service occupations</v>
      </c>
      <c r="B508" s="302">
        <v>0.15771901806906444</v>
      </c>
      <c r="C508" s="302">
        <v>0.25137167168572355</v>
      </c>
      <c r="D508" s="302">
        <f t="shared" si="190"/>
        <v>0.40909068975478802</v>
      </c>
      <c r="E508" s="303"/>
      <c r="F508" s="302">
        <v>0.14638294012245928</v>
      </c>
      <c r="G508" s="302">
        <v>0.21457685864370615</v>
      </c>
      <c r="H508" s="302">
        <f t="shared" si="191"/>
        <v>0.36095979876616546</v>
      </c>
      <c r="I508" s="303"/>
      <c r="J508" s="302">
        <v>0.19761871419234994</v>
      </c>
      <c r="K508" s="302">
        <v>0.29164331244288799</v>
      </c>
      <c r="L508" s="302">
        <f t="shared" si="192"/>
        <v>0.48926202663523793</v>
      </c>
      <c r="M508" s="236"/>
      <c r="N508" s="236"/>
    </row>
    <row r="509" spans="1:14" x14ac:dyDescent="0.2">
      <c r="A509" s="237" t="str">
        <f>name!E$11</f>
        <v>Process, plant and machine operatives</v>
      </c>
      <c r="B509" s="302">
        <v>4.2217630900608941E-2</v>
      </c>
      <c r="C509" s="302">
        <v>2.9762686135930108</v>
      </c>
      <c r="D509" s="302">
        <f t="shared" si="190"/>
        <v>3.0184862444936198</v>
      </c>
      <c r="E509" s="303"/>
      <c r="F509" s="302">
        <v>2.5329237157236058E-2</v>
      </c>
      <c r="G509" s="302">
        <v>2.0987400839715344</v>
      </c>
      <c r="H509" s="302">
        <f t="shared" si="191"/>
        <v>2.1240693211287707</v>
      </c>
      <c r="I509" s="303"/>
      <c r="J509" s="302">
        <v>4.3533666260130104E-2</v>
      </c>
      <c r="K509" s="302">
        <v>2.8568941878337419</v>
      </c>
      <c r="L509" s="302">
        <f t="shared" si="192"/>
        <v>2.9004278540938722</v>
      </c>
      <c r="M509" s="236"/>
      <c r="N509" s="236"/>
    </row>
    <row r="510" spans="1:14" x14ac:dyDescent="0.2">
      <c r="A510" s="237" t="str">
        <f>name!E$12</f>
        <v>Elementary occupations</v>
      </c>
      <c r="B510" s="302">
        <v>8.3503510304166612E-2</v>
      </c>
      <c r="C510" s="302">
        <v>2.1743324669248079</v>
      </c>
      <c r="D510" s="302">
        <f t="shared" si="190"/>
        <v>2.2578359772289747</v>
      </c>
      <c r="E510" s="303"/>
      <c r="F510" s="302">
        <v>5.7438936280945679E-2</v>
      </c>
      <c r="G510" s="302">
        <v>1.376783556228488</v>
      </c>
      <c r="H510" s="302">
        <f t="shared" si="191"/>
        <v>1.4342224925094338</v>
      </c>
      <c r="I510" s="303"/>
      <c r="J510" s="302">
        <v>5.117254176281192E-2</v>
      </c>
      <c r="K510" s="302">
        <v>1.6068785968208092</v>
      </c>
      <c r="L510" s="302">
        <f t="shared" si="192"/>
        <v>1.6580511385836212</v>
      </c>
      <c r="M510" s="236"/>
      <c r="N510" s="236"/>
    </row>
    <row r="511" spans="1:14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  <c r="N511" s="236"/>
    </row>
    <row r="512" spans="1:14" x14ac:dyDescent="0.2">
      <c r="A512" s="244" t="s">
        <v>32</v>
      </c>
      <c r="B512" s="311">
        <f>SUM(B502:B510)</f>
        <v>3.6230000000202778</v>
      </c>
      <c r="C512" s="311">
        <f t="shared" ref="C512:D512" si="193">SUM(C502:C510)</f>
        <v>49.065000000064195</v>
      </c>
      <c r="D512" s="311">
        <f t="shared" si="193"/>
        <v>52.688000000084479</v>
      </c>
      <c r="E512" s="311"/>
      <c r="F512" s="311">
        <f t="shared" ref="F512:H512" si="194">SUM(F502:F510)</f>
        <v>3.1889999999739498</v>
      </c>
      <c r="G512" s="311">
        <f t="shared" si="194"/>
        <v>30.819999998877844</v>
      </c>
      <c r="H512" s="311">
        <f t="shared" si="194"/>
        <v>34.008999998851792</v>
      </c>
      <c r="I512" s="311"/>
      <c r="J512" s="311">
        <f t="shared" ref="J512:L512" si="195">SUM(J502:J510)</f>
        <v>4.2739999999789022</v>
      </c>
      <c r="K512" s="311">
        <f t="shared" si="195"/>
        <v>38.910999997624245</v>
      </c>
      <c r="L512" s="311">
        <f t="shared" si="195"/>
        <v>43.18499999760315</v>
      </c>
      <c r="M512" s="236"/>
      <c r="N512" s="236"/>
    </row>
    <row r="513" spans="1:14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  <c r="N513" s="236"/>
    </row>
    <row r="514" spans="1:14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56" t="s">
        <v>35</v>
      </c>
      <c r="M514" s="236"/>
      <c r="N514" s="236"/>
    </row>
    <row r="515" spans="1:14" x14ac:dyDescent="0.2">
      <c r="A515" s="242"/>
      <c r="B515" s="250"/>
      <c r="C515" s="250"/>
      <c r="D515" s="250"/>
      <c r="E515" s="250"/>
      <c r="F515" s="250"/>
      <c r="G515" s="250"/>
      <c r="H515" s="250"/>
      <c r="I515" s="250"/>
      <c r="J515" s="250"/>
      <c r="K515" s="250"/>
      <c r="L515" s="236"/>
      <c r="M515" s="236"/>
      <c r="N515" s="236"/>
    </row>
    <row r="516" spans="1:14" x14ac:dyDescent="0.2">
      <c r="A516" s="241" t="str">
        <f>name!A33</f>
        <v>Specialised construction</v>
      </c>
      <c r="B516" s="372">
        <f>B$6</f>
        <v>2015</v>
      </c>
      <c r="C516" s="372"/>
      <c r="D516" s="372"/>
      <c r="E516" s="253"/>
      <c r="F516" s="372">
        <f>F499</f>
        <v>2020</v>
      </c>
      <c r="G516" s="372"/>
      <c r="H516" s="372"/>
      <c r="I516" s="253"/>
      <c r="J516" s="372">
        <f>J499</f>
        <v>2035</v>
      </c>
      <c r="K516" s="372"/>
      <c r="L516" s="372"/>
      <c r="M516" s="236"/>
      <c r="N516" s="236"/>
    </row>
    <row r="517" spans="1:14" x14ac:dyDescent="0.2">
      <c r="A517" s="254"/>
      <c r="B517" s="255" t="s">
        <v>352</v>
      </c>
      <c r="C517" s="255" t="s">
        <v>353</v>
      </c>
      <c r="D517" s="255" t="s">
        <v>32</v>
      </c>
      <c r="E517" s="255"/>
      <c r="F517" s="255" t="s">
        <v>352</v>
      </c>
      <c r="G517" s="255" t="s">
        <v>353</v>
      </c>
      <c r="H517" s="255" t="s">
        <v>32</v>
      </c>
      <c r="I517" s="255"/>
      <c r="J517" s="255" t="s">
        <v>352</v>
      </c>
      <c r="K517" s="255" t="s">
        <v>353</v>
      </c>
      <c r="L517" s="255" t="s">
        <v>32</v>
      </c>
      <c r="M517" s="236"/>
      <c r="N517" s="236"/>
    </row>
    <row r="518" spans="1:14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  <c r="N518" s="236"/>
    </row>
    <row r="519" spans="1:14" x14ac:dyDescent="0.2">
      <c r="A519" s="237" t="str">
        <f>name!E$4</f>
        <v>Managers, directors and senior officials</v>
      </c>
      <c r="B519" s="302">
        <v>1.350903429105506</v>
      </c>
      <c r="C519" s="302">
        <v>7.7808984397115513</v>
      </c>
      <c r="D519" s="302">
        <f>SUM(B519:C519)</f>
        <v>9.1318018688170568</v>
      </c>
      <c r="E519" s="303"/>
      <c r="F519" s="302">
        <v>2.3538204849754094</v>
      </c>
      <c r="G519" s="302">
        <v>12.161475790069794</v>
      </c>
      <c r="H519" s="302">
        <f>SUM(F519:G519)</f>
        <v>14.515296275045204</v>
      </c>
      <c r="I519" s="303"/>
      <c r="J519" s="302">
        <v>3.3584402050268061</v>
      </c>
      <c r="K519" s="302">
        <v>15.066894546904189</v>
      </c>
      <c r="L519" s="302">
        <f>SUM(J519:K519)</f>
        <v>18.425334751930997</v>
      </c>
      <c r="M519" s="236"/>
      <c r="N519" s="236"/>
    </row>
    <row r="520" spans="1:14" x14ac:dyDescent="0.2">
      <c r="A520" s="237" t="str">
        <f>name!E$5</f>
        <v>Professional occupations</v>
      </c>
      <c r="B520" s="302">
        <v>1.9889780007339091</v>
      </c>
      <c r="C520" s="302">
        <v>8.9803822434240139</v>
      </c>
      <c r="D520" s="302">
        <f t="shared" ref="D520:D527" si="196">SUM(B520:C520)</f>
        <v>10.969360244157922</v>
      </c>
      <c r="E520" s="303"/>
      <c r="F520" s="302">
        <v>3.6395335239448334</v>
      </c>
      <c r="G520" s="302">
        <v>15.651151278159086</v>
      </c>
      <c r="H520" s="302">
        <f t="shared" ref="H520:H527" si="197">SUM(F520:G520)</f>
        <v>19.290684802103918</v>
      </c>
      <c r="I520" s="303"/>
      <c r="J520" s="302">
        <v>5.6047928770546829</v>
      </c>
      <c r="K520" s="302">
        <v>23.233066297227492</v>
      </c>
      <c r="L520" s="302">
        <f t="shared" ref="L520:L527" si="198">SUM(J520:K520)</f>
        <v>28.837859174282173</v>
      </c>
      <c r="M520" s="236"/>
      <c r="N520" s="236"/>
    </row>
    <row r="521" spans="1:14" x14ac:dyDescent="0.2">
      <c r="A521" s="237" t="str">
        <f>name!E$6</f>
        <v>Associate professional occupations</v>
      </c>
      <c r="B521" s="302">
        <v>1.5806838934942267</v>
      </c>
      <c r="C521" s="302">
        <v>4.4341545937401845</v>
      </c>
      <c r="D521" s="302">
        <f t="shared" si="196"/>
        <v>6.0148384872344112</v>
      </c>
      <c r="E521" s="303"/>
      <c r="F521" s="302">
        <v>2.610899451261484</v>
      </c>
      <c r="G521" s="302">
        <v>7.5695335500411485</v>
      </c>
      <c r="H521" s="302">
        <f t="shared" si="197"/>
        <v>10.180433001302632</v>
      </c>
      <c r="I521" s="303"/>
      <c r="J521" s="302">
        <v>3.5294666211098864</v>
      </c>
      <c r="K521" s="302">
        <v>8.8149124946017263</v>
      </c>
      <c r="L521" s="302">
        <f t="shared" si="198"/>
        <v>12.344379115711613</v>
      </c>
      <c r="M521" s="236"/>
      <c r="N521" s="236"/>
    </row>
    <row r="522" spans="1:14" x14ac:dyDescent="0.2">
      <c r="A522" s="237" t="str">
        <f>name!E$7</f>
        <v>Administrative and secretarial occupations</v>
      </c>
      <c r="B522" s="302">
        <v>6.4855297347719683</v>
      </c>
      <c r="C522" s="302">
        <v>0.68976725065893751</v>
      </c>
      <c r="D522" s="302">
        <f t="shared" si="196"/>
        <v>7.1752969854309061</v>
      </c>
      <c r="E522" s="303"/>
      <c r="F522" s="302">
        <v>9.0929487122540475</v>
      </c>
      <c r="G522" s="302">
        <v>1.0955983043799467</v>
      </c>
      <c r="H522" s="302">
        <f t="shared" si="197"/>
        <v>10.188547016633994</v>
      </c>
      <c r="I522" s="303"/>
      <c r="J522" s="302">
        <v>9.6600396211479715</v>
      </c>
      <c r="K522" s="302">
        <v>1.2372961241618834</v>
      </c>
      <c r="L522" s="302">
        <f t="shared" si="198"/>
        <v>10.897335745309855</v>
      </c>
      <c r="M522" s="236"/>
      <c r="N522" s="236"/>
    </row>
    <row r="523" spans="1:14" x14ac:dyDescent="0.2">
      <c r="A523" s="237" t="str">
        <f>name!E$8</f>
        <v>Skilled trades occupations</v>
      </c>
      <c r="B523" s="302">
        <v>1.5381890556556219</v>
      </c>
      <c r="C523" s="302">
        <v>75.427875626642248</v>
      </c>
      <c r="D523" s="302">
        <f t="shared" si="196"/>
        <v>76.966064682297869</v>
      </c>
      <c r="E523" s="303"/>
      <c r="F523" s="302">
        <v>1.6914810790441188</v>
      </c>
      <c r="G523" s="302">
        <v>59.904706376026354</v>
      </c>
      <c r="H523" s="302">
        <f t="shared" si="197"/>
        <v>61.596187455070471</v>
      </c>
      <c r="I523" s="303"/>
      <c r="J523" s="302">
        <v>3.4530351583839054</v>
      </c>
      <c r="K523" s="302">
        <v>73.831976321141795</v>
      </c>
      <c r="L523" s="302">
        <f t="shared" si="198"/>
        <v>77.285011479525707</v>
      </c>
      <c r="M523" s="236"/>
      <c r="N523" s="236"/>
    </row>
    <row r="524" spans="1:14" x14ac:dyDescent="0.2">
      <c r="A524" s="237" t="str">
        <f>name!E$9</f>
        <v>Caring, leisure and other service occupations</v>
      </c>
      <c r="B524" s="302">
        <v>8.7549152433627764E-2</v>
      </c>
      <c r="C524" s="302">
        <v>0.30931906426251193</v>
      </c>
      <c r="D524" s="302">
        <f t="shared" si="196"/>
        <v>0.3968682166961397</v>
      </c>
      <c r="E524" s="303"/>
      <c r="F524" s="302">
        <v>0.10741759766818422</v>
      </c>
      <c r="G524" s="302">
        <v>0.5797476209352499</v>
      </c>
      <c r="H524" s="302">
        <f t="shared" si="197"/>
        <v>0.68716521860343416</v>
      </c>
      <c r="I524" s="303"/>
      <c r="J524" s="302">
        <v>0.1213231145761384</v>
      </c>
      <c r="K524" s="302">
        <v>0.65448150712279318</v>
      </c>
      <c r="L524" s="302">
        <f t="shared" si="198"/>
        <v>0.77580462169893161</v>
      </c>
      <c r="M524" s="236"/>
      <c r="N524" s="236"/>
    </row>
    <row r="525" spans="1:14" x14ac:dyDescent="0.2">
      <c r="A525" s="237" t="str">
        <f>name!E$10</f>
        <v>Sales and customer service occupations</v>
      </c>
      <c r="B525" s="302">
        <v>0.6550904882049513</v>
      </c>
      <c r="C525" s="302">
        <v>0.58424097048774259</v>
      </c>
      <c r="D525" s="302">
        <f t="shared" si="196"/>
        <v>1.239331458692694</v>
      </c>
      <c r="E525" s="303"/>
      <c r="F525" s="302">
        <v>1.0108947691947521</v>
      </c>
      <c r="G525" s="302">
        <v>0.83556119395561057</v>
      </c>
      <c r="H525" s="302">
        <f t="shared" si="197"/>
        <v>1.8464559631503628</v>
      </c>
      <c r="I525" s="303"/>
      <c r="J525" s="302">
        <v>1.3638600322586691</v>
      </c>
      <c r="K525" s="302">
        <v>1.1244379236516313</v>
      </c>
      <c r="L525" s="302">
        <f t="shared" si="198"/>
        <v>2.4882979559103005</v>
      </c>
      <c r="M525" s="236"/>
      <c r="N525" s="236"/>
    </row>
    <row r="526" spans="1:14" x14ac:dyDescent="0.2">
      <c r="A526" s="237" t="str">
        <f>name!E$11</f>
        <v>Process, plant and machine operatives</v>
      </c>
      <c r="B526" s="302">
        <v>0.15209319214814213</v>
      </c>
      <c r="C526" s="302">
        <v>6.58466538397467</v>
      </c>
      <c r="D526" s="302">
        <f t="shared" si="196"/>
        <v>6.7367585761228126</v>
      </c>
      <c r="E526" s="303"/>
      <c r="F526" s="302">
        <v>0.15538296084986283</v>
      </c>
      <c r="G526" s="302">
        <v>7.6105717657523844</v>
      </c>
      <c r="H526" s="302">
        <f t="shared" si="197"/>
        <v>7.7659547266022475</v>
      </c>
      <c r="I526" s="303"/>
      <c r="J526" s="302">
        <v>0.26815712087002713</v>
      </c>
      <c r="K526" s="302">
        <v>10.377870632804497</v>
      </c>
      <c r="L526" s="302">
        <f t="shared" si="198"/>
        <v>10.646027753674524</v>
      </c>
      <c r="M526" s="236"/>
      <c r="N526" s="236"/>
    </row>
    <row r="527" spans="1:14" x14ac:dyDescent="0.2">
      <c r="A527" s="237" t="str">
        <f>name!E$12</f>
        <v>Elementary occupations</v>
      </c>
      <c r="B527" s="302">
        <v>0.41398305354542542</v>
      </c>
      <c r="C527" s="302">
        <v>5.1096964272248941</v>
      </c>
      <c r="D527" s="302">
        <f t="shared" si="196"/>
        <v>5.5236794807703191</v>
      </c>
      <c r="E527" s="303"/>
      <c r="F527" s="302">
        <v>0.48662142063082481</v>
      </c>
      <c r="G527" s="302">
        <v>5.4616541166089885</v>
      </c>
      <c r="H527" s="302">
        <f t="shared" si="197"/>
        <v>5.9482755372398133</v>
      </c>
      <c r="I527" s="303"/>
      <c r="J527" s="302">
        <v>0.43488524940297157</v>
      </c>
      <c r="K527" s="302">
        <v>6.2340641436702535</v>
      </c>
      <c r="L527" s="302">
        <f t="shared" si="198"/>
        <v>6.6689493930732251</v>
      </c>
      <c r="M527" s="236"/>
      <c r="N527" s="236"/>
    </row>
    <row r="528" spans="1:14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  <c r="N528" s="236"/>
    </row>
    <row r="529" spans="1:14" x14ac:dyDescent="0.2">
      <c r="A529" s="244" t="s">
        <v>32</v>
      </c>
      <c r="B529" s="311">
        <f>SUM(B519:B527)</f>
        <v>14.253000000093378</v>
      </c>
      <c r="C529" s="311">
        <f t="shared" ref="C529:D529" si="199">SUM(C519:C527)</f>
        <v>109.90100000012674</v>
      </c>
      <c r="D529" s="311">
        <f t="shared" si="199"/>
        <v>124.15400000022012</v>
      </c>
      <c r="E529" s="311"/>
      <c r="F529" s="311">
        <f t="shared" ref="F529:H529" si="200">SUM(F519:F527)</f>
        <v>21.14899999982352</v>
      </c>
      <c r="G529" s="311">
        <f t="shared" si="200"/>
        <v>110.86999999592855</v>
      </c>
      <c r="H529" s="311">
        <f t="shared" si="200"/>
        <v>132.0189999957521</v>
      </c>
      <c r="I529" s="311"/>
      <c r="J529" s="311">
        <f t="shared" ref="J529:L529" si="201">SUM(J519:J527)</f>
        <v>27.793999999831055</v>
      </c>
      <c r="K529" s="311">
        <f t="shared" si="201"/>
        <v>140.57499999128626</v>
      </c>
      <c r="L529" s="311">
        <f t="shared" si="201"/>
        <v>168.36899999111736</v>
      </c>
      <c r="M529" s="236"/>
      <c r="N529" s="236"/>
    </row>
    <row r="530" spans="1:14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  <c r="N530" s="236"/>
    </row>
    <row r="531" spans="1:14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56" t="s">
        <v>35</v>
      </c>
      <c r="M531" s="236"/>
      <c r="N531" s="236"/>
    </row>
    <row r="532" spans="1:14" x14ac:dyDescent="0.2">
      <c r="A532" s="242"/>
      <c r="B532" s="250"/>
      <c r="C532" s="250"/>
      <c r="D532" s="250"/>
      <c r="E532" s="250"/>
      <c r="F532" s="250"/>
      <c r="G532" s="250"/>
      <c r="H532" s="250"/>
      <c r="I532" s="250"/>
      <c r="J532" s="250"/>
      <c r="K532" s="250"/>
      <c r="L532" s="236"/>
      <c r="M532" s="236"/>
      <c r="N532" s="236"/>
    </row>
    <row r="533" spans="1:14" x14ac:dyDescent="0.2">
      <c r="A533" s="241" t="str">
        <f>name!A34</f>
        <v>Motor vehicle trade</v>
      </c>
      <c r="B533" s="372">
        <f>B$6</f>
        <v>2015</v>
      </c>
      <c r="C533" s="372"/>
      <c r="D533" s="372"/>
      <c r="E533" s="253"/>
      <c r="F533" s="372">
        <f>F516</f>
        <v>2020</v>
      </c>
      <c r="G533" s="372"/>
      <c r="H533" s="372"/>
      <c r="I533" s="253"/>
      <c r="J533" s="372">
        <f>J516</f>
        <v>2035</v>
      </c>
      <c r="K533" s="372"/>
      <c r="L533" s="372"/>
      <c r="M533" s="236"/>
      <c r="N533" s="236"/>
    </row>
    <row r="534" spans="1:14" x14ac:dyDescent="0.2">
      <c r="A534" s="254"/>
      <c r="B534" s="255" t="s">
        <v>352</v>
      </c>
      <c r="C534" s="255" t="s">
        <v>353</v>
      </c>
      <c r="D534" s="255" t="s">
        <v>32</v>
      </c>
      <c r="E534" s="255"/>
      <c r="F534" s="255" t="s">
        <v>352</v>
      </c>
      <c r="G534" s="255" t="s">
        <v>353</v>
      </c>
      <c r="H534" s="255" t="s">
        <v>32</v>
      </c>
      <c r="I534" s="255"/>
      <c r="J534" s="255" t="s">
        <v>352</v>
      </c>
      <c r="K534" s="255" t="s">
        <v>353</v>
      </c>
      <c r="L534" s="255" t="s">
        <v>32</v>
      </c>
      <c r="M534" s="236"/>
      <c r="N534" s="236"/>
    </row>
    <row r="535" spans="1:14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  <c r="N535" s="236"/>
    </row>
    <row r="536" spans="1:14" x14ac:dyDescent="0.2">
      <c r="A536" s="237" t="str">
        <f>name!E$4</f>
        <v>Managers, directors and senior officials</v>
      </c>
      <c r="B536" s="302">
        <v>0.71048437897408745</v>
      </c>
      <c r="C536" s="302">
        <v>4.5254234786974372</v>
      </c>
      <c r="D536" s="302">
        <f>SUM(B536:C536)</f>
        <v>5.235907857671525</v>
      </c>
      <c r="E536" s="303"/>
      <c r="F536" s="302">
        <v>1.1228616188912293</v>
      </c>
      <c r="G536" s="302">
        <v>5.6283743715974035</v>
      </c>
      <c r="H536" s="302">
        <f>SUM(F536:G536)</f>
        <v>6.7512359904886328</v>
      </c>
      <c r="I536" s="303"/>
      <c r="J536" s="302">
        <v>1.2909659234576127</v>
      </c>
      <c r="K536" s="302">
        <v>6.199928494738085</v>
      </c>
      <c r="L536" s="302">
        <f>SUM(J536:K536)</f>
        <v>7.4908944181956976</v>
      </c>
      <c r="M536" s="236"/>
      <c r="N536" s="236"/>
    </row>
    <row r="537" spans="1:14" x14ac:dyDescent="0.2">
      <c r="A537" s="237" t="str">
        <f>name!E$5</f>
        <v>Professional occupations</v>
      </c>
      <c r="B537" s="302">
        <v>0.73388222830987504</v>
      </c>
      <c r="C537" s="302">
        <v>1.8178955748380958</v>
      </c>
      <c r="D537" s="302">
        <f t="shared" ref="D537:D544" si="202">SUM(B537:C537)</f>
        <v>2.5517778031479708</v>
      </c>
      <c r="E537" s="303"/>
      <c r="F537" s="302">
        <v>1.2061583220121512</v>
      </c>
      <c r="G537" s="302">
        <v>2.8966339576723206</v>
      </c>
      <c r="H537" s="302">
        <f t="shared" ref="H537:H544" si="203">SUM(F537:G537)</f>
        <v>4.102792279684472</v>
      </c>
      <c r="I537" s="303"/>
      <c r="J537" s="302">
        <v>1.4532367085838114</v>
      </c>
      <c r="K537" s="302">
        <v>3.6072185016031844</v>
      </c>
      <c r="L537" s="302">
        <f t="shared" ref="L537:L544" si="204">SUM(J537:K537)</f>
        <v>5.060455210186996</v>
      </c>
      <c r="M537" s="236"/>
      <c r="N537" s="236"/>
    </row>
    <row r="538" spans="1:14" x14ac:dyDescent="0.2">
      <c r="A538" s="237" t="str">
        <f>name!E$6</f>
        <v>Associate professional occupations</v>
      </c>
      <c r="B538" s="302">
        <v>1.0288157052139022</v>
      </c>
      <c r="C538" s="302">
        <v>2.4467225324794208</v>
      </c>
      <c r="D538" s="302">
        <f t="shared" si="202"/>
        <v>3.475538237693323</v>
      </c>
      <c r="E538" s="303"/>
      <c r="F538" s="302">
        <v>1.44071797067435</v>
      </c>
      <c r="G538" s="302">
        <v>3.4591520567497178</v>
      </c>
      <c r="H538" s="302">
        <f t="shared" si="203"/>
        <v>4.8998700274240683</v>
      </c>
      <c r="I538" s="303"/>
      <c r="J538" s="302">
        <v>1.5514536850739291</v>
      </c>
      <c r="K538" s="302">
        <v>3.4343569514676093</v>
      </c>
      <c r="L538" s="302">
        <f t="shared" si="204"/>
        <v>4.9858106365415384</v>
      </c>
      <c r="M538" s="236"/>
      <c r="N538" s="236"/>
    </row>
    <row r="539" spans="1:14" x14ac:dyDescent="0.2">
      <c r="A539" s="237" t="str">
        <f>name!E$7</f>
        <v>Administrative and secretarial occupations</v>
      </c>
      <c r="B539" s="302">
        <v>2.4858997276041221</v>
      </c>
      <c r="C539" s="302">
        <v>1.8946169071750254</v>
      </c>
      <c r="D539" s="302">
        <f t="shared" si="202"/>
        <v>4.3805166347791475</v>
      </c>
      <c r="E539" s="303"/>
      <c r="F539" s="302">
        <v>2.9831451452987432</v>
      </c>
      <c r="G539" s="302">
        <v>2.5893702808967807</v>
      </c>
      <c r="H539" s="302">
        <f t="shared" si="203"/>
        <v>5.5725154261955243</v>
      </c>
      <c r="I539" s="303"/>
      <c r="J539" s="302">
        <v>1.9490513223606176</v>
      </c>
      <c r="K539" s="302">
        <v>2.8265089254834201</v>
      </c>
      <c r="L539" s="302">
        <f t="shared" si="204"/>
        <v>4.7755602478440373</v>
      </c>
      <c r="M539" s="236"/>
      <c r="N539" s="236"/>
    </row>
    <row r="540" spans="1:14" x14ac:dyDescent="0.2">
      <c r="A540" s="237" t="str">
        <f>name!E$8</f>
        <v>Skilled trades occupations</v>
      </c>
      <c r="B540" s="302">
        <v>0.20823787673123728</v>
      </c>
      <c r="C540" s="302">
        <v>12.497690925150676</v>
      </c>
      <c r="D540" s="302">
        <f t="shared" si="202"/>
        <v>12.705928801881914</v>
      </c>
      <c r="E540" s="303"/>
      <c r="F540" s="302">
        <v>0.27259216795806274</v>
      </c>
      <c r="G540" s="302">
        <v>12.015424590758665</v>
      </c>
      <c r="H540" s="302">
        <f t="shared" si="203"/>
        <v>12.288016758716727</v>
      </c>
      <c r="I540" s="303"/>
      <c r="J540" s="302">
        <v>0.33082980033752907</v>
      </c>
      <c r="K540" s="302">
        <v>10.57473718621698</v>
      </c>
      <c r="L540" s="302">
        <f t="shared" si="204"/>
        <v>10.90556698655451</v>
      </c>
      <c r="M540" s="236"/>
      <c r="N540" s="236"/>
    </row>
    <row r="541" spans="1:14" x14ac:dyDescent="0.2">
      <c r="A541" s="237" t="str">
        <f>name!E$9</f>
        <v>Caring, leisure and other service occupations</v>
      </c>
      <c r="B541" s="302">
        <v>1.2880792518695363</v>
      </c>
      <c r="C541" s="302">
        <v>0.13490074663009072</v>
      </c>
      <c r="D541" s="302">
        <f t="shared" si="202"/>
        <v>1.422979998499627</v>
      </c>
      <c r="E541" s="303"/>
      <c r="F541" s="302">
        <v>1.4981124051712242</v>
      </c>
      <c r="G541" s="302">
        <v>0.16918818564418303</v>
      </c>
      <c r="H541" s="302">
        <f t="shared" si="203"/>
        <v>1.6673005908154073</v>
      </c>
      <c r="I541" s="303"/>
      <c r="J541" s="302">
        <v>1.9040702730321775</v>
      </c>
      <c r="K541" s="302">
        <v>0.20682316464935083</v>
      </c>
      <c r="L541" s="302">
        <f t="shared" si="204"/>
        <v>2.1108934376815283</v>
      </c>
      <c r="M541" s="236"/>
      <c r="N541" s="236"/>
    </row>
    <row r="542" spans="1:14" x14ac:dyDescent="0.2">
      <c r="A542" s="237" t="str">
        <f>name!E$10</f>
        <v>Sales and customer service occupations</v>
      </c>
      <c r="B542" s="302">
        <v>2.1565629703804796</v>
      </c>
      <c r="C542" s="302">
        <v>6.9821183164084504</v>
      </c>
      <c r="D542" s="302">
        <f t="shared" si="202"/>
        <v>9.1386812867889304</v>
      </c>
      <c r="E542" s="303"/>
      <c r="F542" s="302">
        <v>2.5820146872171934</v>
      </c>
      <c r="G542" s="302">
        <v>7.8929468531838536</v>
      </c>
      <c r="H542" s="302">
        <f t="shared" si="203"/>
        <v>10.474961540401047</v>
      </c>
      <c r="I542" s="303"/>
      <c r="J542" s="302">
        <v>2.1349734931748769</v>
      </c>
      <c r="K542" s="302">
        <v>7.4456735536493115</v>
      </c>
      <c r="L542" s="302">
        <f t="shared" si="204"/>
        <v>9.580647046824188</v>
      </c>
      <c r="M542" s="236"/>
      <c r="N542" s="236"/>
    </row>
    <row r="543" spans="1:14" x14ac:dyDescent="0.2">
      <c r="A543" s="237" t="str">
        <f>name!E$11</f>
        <v>Process, plant and machine operatives</v>
      </c>
      <c r="B543" s="302">
        <v>0.27040448950134438</v>
      </c>
      <c r="C543" s="302">
        <v>2.0860670982511942</v>
      </c>
      <c r="D543" s="302">
        <f t="shared" si="202"/>
        <v>2.3564715877525386</v>
      </c>
      <c r="E543" s="303"/>
      <c r="F543" s="302">
        <v>0.27293390671196105</v>
      </c>
      <c r="G543" s="302">
        <v>2.1594876732920647</v>
      </c>
      <c r="H543" s="302">
        <f t="shared" si="203"/>
        <v>2.4324215800040259</v>
      </c>
      <c r="I543" s="303"/>
      <c r="J543" s="302">
        <v>0.45354799770583748</v>
      </c>
      <c r="K543" s="302">
        <v>2.3365801227764416</v>
      </c>
      <c r="L543" s="302">
        <f t="shared" si="204"/>
        <v>2.790128120482279</v>
      </c>
      <c r="M543" s="236"/>
      <c r="N543" s="236"/>
    </row>
    <row r="544" spans="1:14" x14ac:dyDescent="0.2">
      <c r="A544" s="237" t="str">
        <f>name!E$12</f>
        <v>Elementary occupations</v>
      </c>
      <c r="B544" s="302">
        <v>0.46163337161585655</v>
      </c>
      <c r="C544" s="302">
        <v>1.8985644212252637</v>
      </c>
      <c r="D544" s="302">
        <f t="shared" si="202"/>
        <v>2.3601977928411202</v>
      </c>
      <c r="E544" s="303"/>
      <c r="F544" s="302">
        <v>0.52446377598122196</v>
      </c>
      <c r="G544" s="302">
        <v>1.9114220294754587</v>
      </c>
      <c r="H544" s="302">
        <f t="shared" si="203"/>
        <v>2.4358858054566808</v>
      </c>
      <c r="I544" s="303"/>
      <c r="J544" s="302">
        <v>0.37787079614741881</v>
      </c>
      <c r="K544" s="302">
        <v>1.4951730988432477</v>
      </c>
      <c r="L544" s="302">
        <f t="shared" si="204"/>
        <v>1.8730438949906665</v>
      </c>
      <c r="M544" s="236"/>
      <c r="N544" s="236"/>
    </row>
    <row r="545" spans="1:14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  <c r="N545" s="236"/>
    </row>
    <row r="546" spans="1:14" x14ac:dyDescent="0.2">
      <c r="A546" s="244" t="s">
        <v>32</v>
      </c>
      <c r="B546" s="311">
        <f>SUM(B536:B544)</f>
        <v>9.34400000020044</v>
      </c>
      <c r="C546" s="311">
        <f t="shared" ref="C546:D546" si="205">SUM(C536:C544)</f>
        <v>34.284000000855656</v>
      </c>
      <c r="D546" s="311">
        <f t="shared" si="205"/>
        <v>43.628000001056094</v>
      </c>
      <c r="E546" s="311"/>
      <c r="F546" s="311">
        <f t="shared" ref="F546:H546" si="206">SUM(F536:F544)</f>
        <v>11.902999999916135</v>
      </c>
      <c r="G546" s="311">
        <f t="shared" si="206"/>
        <v>38.721999999270444</v>
      </c>
      <c r="H546" s="311">
        <f t="shared" si="206"/>
        <v>50.624999999186585</v>
      </c>
      <c r="I546" s="311"/>
      <c r="J546" s="311">
        <f t="shared" ref="J546:L546" si="207">SUM(J536:J544)</f>
        <v>11.445999999873813</v>
      </c>
      <c r="K546" s="311">
        <f t="shared" si="207"/>
        <v>38.126999999427632</v>
      </c>
      <c r="L546" s="311">
        <f t="shared" si="207"/>
        <v>49.572999999301437</v>
      </c>
      <c r="M546" s="236"/>
      <c r="N546" s="236"/>
    </row>
    <row r="547" spans="1:14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  <c r="N547" s="236"/>
    </row>
    <row r="548" spans="1:14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56" t="s">
        <v>35</v>
      </c>
      <c r="M548" s="236"/>
      <c r="N548" s="236"/>
    </row>
    <row r="549" spans="1:14" x14ac:dyDescent="0.2">
      <c r="A549" s="242"/>
      <c r="B549" s="250"/>
      <c r="C549" s="250"/>
      <c r="D549" s="250"/>
      <c r="E549" s="250"/>
      <c r="F549" s="250"/>
      <c r="G549" s="250"/>
      <c r="H549" s="250"/>
      <c r="I549" s="250"/>
      <c r="J549" s="250"/>
      <c r="K549" s="250"/>
      <c r="L549" s="236"/>
      <c r="M549" s="236"/>
      <c r="N549" s="236"/>
    </row>
    <row r="550" spans="1:14" x14ac:dyDescent="0.2">
      <c r="A550" s="241" t="str">
        <f>name!A35</f>
        <v>Wholesale trade</v>
      </c>
      <c r="B550" s="372">
        <f>B$6</f>
        <v>2015</v>
      </c>
      <c r="C550" s="372"/>
      <c r="D550" s="372"/>
      <c r="E550" s="253"/>
      <c r="F550" s="372">
        <f>F533</f>
        <v>2020</v>
      </c>
      <c r="G550" s="372"/>
      <c r="H550" s="372"/>
      <c r="I550" s="253"/>
      <c r="J550" s="372">
        <f>J533</f>
        <v>2035</v>
      </c>
      <c r="K550" s="372"/>
      <c r="L550" s="372"/>
      <c r="M550" s="236"/>
      <c r="N550" s="236"/>
    </row>
    <row r="551" spans="1:14" x14ac:dyDescent="0.2">
      <c r="A551" s="254"/>
      <c r="B551" s="255" t="s">
        <v>352</v>
      </c>
      <c r="C551" s="255" t="s">
        <v>353</v>
      </c>
      <c r="D551" s="255" t="s">
        <v>32</v>
      </c>
      <c r="E551" s="255"/>
      <c r="F551" s="255" t="s">
        <v>352</v>
      </c>
      <c r="G551" s="255" t="s">
        <v>353</v>
      </c>
      <c r="H551" s="255" t="s">
        <v>32</v>
      </c>
      <c r="I551" s="255"/>
      <c r="J551" s="255" t="s">
        <v>352</v>
      </c>
      <c r="K551" s="255" t="s">
        <v>353</v>
      </c>
      <c r="L551" s="255" t="s">
        <v>32</v>
      </c>
      <c r="M551" s="236"/>
      <c r="N551" s="236"/>
    </row>
    <row r="552" spans="1:14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  <c r="N552" s="236"/>
    </row>
    <row r="553" spans="1:14" x14ac:dyDescent="0.2">
      <c r="A553" s="237" t="str">
        <f>name!E$4</f>
        <v>Managers, directors and senior officials</v>
      </c>
      <c r="B553" s="302">
        <v>8.2698456240309177</v>
      </c>
      <c r="C553" s="302">
        <v>21.06225941866666</v>
      </c>
      <c r="D553" s="302">
        <f>SUM(B553:C553)</f>
        <v>29.332105042697577</v>
      </c>
      <c r="E553" s="303"/>
      <c r="F553" s="302">
        <v>11.069583787922861</v>
      </c>
      <c r="G553" s="302">
        <v>24.725920159326755</v>
      </c>
      <c r="H553" s="302">
        <f>SUM(F553:G553)</f>
        <v>35.795503947249614</v>
      </c>
      <c r="I553" s="303"/>
      <c r="J553" s="302">
        <v>13.842741752296817</v>
      </c>
      <c r="K553" s="302">
        <v>23.091706217574764</v>
      </c>
      <c r="L553" s="302">
        <f>SUM(J553:K553)</f>
        <v>36.934447969871584</v>
      </c>
      <c r="M553" s="236"/>
      <c r="N553" s="236"/>
    </row>
    <row r="554" spans="1:14" x14ac:dyDescent="0.2">
      <c r="A554" s="237" t="str">
        <f>name!E$5</f>
        <v>Professional occupations</v>
      </c>
      <c r="B554" s="302">
        <v>7.3338150416531951</v>
      </c>
      <c r="C554" s="302">
        <v>10.766214511165431</v>
      </c>
      <c r="D554" s="302">
        <f t="shared" ref="D554:D561" si="208">SUM(B554:C554)</f>
        <v>18.100029552818626</v>
      </c>
      <c r="E554" s="303"/>
      <c r="F554" s="302">
        <v>11.438937791674405</v>
      </c>
      <c r="G554" s="302">
        <v>14.774919786088882</v>
      </c>
      <c r="H554" s="302">
        <f t="shared" ref="H554:H561" si="209">SUM(F554:G554)</f>
        <v>26.213857577763285</v>
      </c>
      <c r="I554" s="303"/>
      <c r="J554" s="302">
        <v>15.144708783434481</v>
      </c>
      <c r="K554" s="302">
        <v>16.826311020223944</v>
      </c>
      <c r="L554" s="302">
        <f t="shared" ref="L554:L561" si="210">SUM(J554:K554)</f>
        <v>31.971019803658425</v>
      </c>
      <c r="M554" s="236"/>
      <c r="N554" s="236"/>
    </row>
    <row r="555" spans="1:14" x14ac:dyDescent="0.2">
      <c r="A555" s="237" t="str">
        <f>name!E$6</f>
        <v>Associate professional occupations</v>
      </c>
      <c r="B555" s="302">
        <v>11.961108890726083</v>
      </c>
      <c r="C555" s="302">
        <v>13.996911241684671</v>
      </c>
      <c r="D555" s="302">
        <f t="shared" si="208"/>
        <v>25.958020132410752</v>
      </c>
      <c r="E555" s="303"/>
      <c r="F555" s="302">
        <v>15.159740900412173</v>
      </c>
      <c r="G555" s="302">
        <v>16.986487547502382</v>
      </c>
      <c r="H555" s="302">
        <f t="shared" si="209"/>
        <v>32.146228447914552</v>
      </c>
      <c r="I555" s="303"/>
      <c r="J555" s="302">
        <v>16.367874598184009</v>
      </c>
      <c r="K555" s="302">
        <v>15.462576571650207</v>
      </c>
      <c r="L555" s="302">
        <f t="shared" si="210"/>
        <v>31.830451169834216</v>
      </c>
      <c r="M555" s="236"/>
      <c r="N555" s="236"/>
    </row>
    <row r="556" spans="1:14" x14ac:dyDescent="0.2">
      <c r="A556" s="237" t="str">
        <f>name!E$7</f>
        <v>Administrative and secretarial occupations</v>
      </c>
      <c r="B556" s="302">
        <v>16.98505009005736</v>
      </c>
      <c r="C556" s="302">
        <v>5.8777939775290804</v>
      </c>
      <c r="D556" s="302">
        <f t="shared" si="208"/>
        <v>22.86284406758644</v>
      </c>
      <c r="E556" s="303"/>
      <c r="F556" s="302">
        <v>17.604451027027046</v>
      </c>
      <c r="G556" s="302">
        <v>7.0997938994328083</v>
      </c>
      <c r="H556" s="302">
        <f t="shared" si="209"/>
        <v>24.704244926459854</v>
      </c>
      <c r="I556" s="303"/>
      <c r="J556" s="302">
        <v>12.833963590004783</v>
      </c>
      <c r="K556" s="302">
        <v>6.9748414821259255</v>
      </c>
      <c r="L556" s="302">
        <f t="shared" si="210"/>
        <v>19.80880507213071</v>
      </c>
      <c r="M556" s="236"/>
      <c r="N556" s="236"/>
    </row>
    <row r="557" spans="1:14" x14ac:dyDescent="0.2">
      <c r="A557" s="237" t="str">
        <f>name!E$8</f>
        <v>Skilled trades occupations</v>
      </c>
      <c r="B557" s="302">
        <v>0.75309132129712353</v>
      </c>
      <c r="C557" s="302">
        <v>6.6578340419828388</v>
      </c>
      <c r="D557" s="302">
        <f t="shared" si="208"/>
        <v>7.4109253632799623</v>
      </c>
      <c r="E557" s="303"/>
      <c r="F557" s="302">
        <v>0.72150669206008733</v>
      </c>
      <c r="G557" s="302">
        <v>5.3170125588338273</v>
      </c>
      <c r="H557" s="302">
        <f t="shared" si="209"/>
        <v>6.0385192508939145</v>
      </c>
      <c r="I557" s="303"/>
      <c r="J557" s="302">
        <v>0.93982736922934895</v>
      </c>
      <c r="K557" s="302">
        <v>4.6271120346952186</v>
      </c>
      <c r="L557" s="302">
        <f t="shared" si="210"/>
        <v>5.5669394039245672</v>
      </c>
      <c r="M557" s="236"/>
      <c r="N557" s="236"/>
    </row>
    <row r="558" spans="1:14" x14ac:dyDescent="0.2">
      <c r="A558" s="237" t="str">
        <f>name!E$9</f>
        <v>Caring, leisure and other service occupations</v>
      </c>
      <c r="B558" s="302">
        <v>0.62779497583746502</v>
      </c>
      <c r="C558" s="302">
        <v>0.23423898031258933</v>
      </c>
      <c r="D558" s="302">
        <f t="shared" si="208"/>
        <v>0.86203395615005429</v>
      </c>
      <c r="E558" s="303"/>
      <c r="F558" s="302">
        <v>0.59558591467298816</v>
      </c>
      <c r="G558" s="302">
        <v>0.25523948782236222</v>
      </c>
      <c r="H558" s="302">
        <f t="shared" si="209"/>
        <v>0.85082540249535032</v>
      </c>
      <c r="I558" s="303"/>
      <c r="J558" s="302">
        <v>0.65314360579200892</v>
      </c>
      <c r="K558" s="302">
        <v>0.24109615646123325</v>
      </c>
      <c r="L558" s="302">
        <f t="shared" si="210"/>
        <v>0.8942397622532422</v>
      </c>
      <c r="M558" s="236"/>
      <c r="N558" s="236"/>
    </row>
    <row r="559" spans="1:14" x14ac:dyDescent="0.2">
      <c r="A559" s="237" t="str">
        <f>name!E$10</f>
        <v>Sales and customer service occupations</v>
      </c>
      <c r="B559" s="302">
        <v>8.2343499611549209</v>
      </c>
      <c r="C559" s="302">
        <v>10.180051357156975</v>
      </c>
      <c r="D559" s="302">
        <f t="shared" si="208"/>
        <v>18.414401318311896</v>
      </c>
      <c r="E559" s="303"/>
      <c r="F559" s="302">
        <v>7.8310522008168899</v>
      </c>
      <c r="G559" s="302">
        <v>9.9442372129887229</v>
      </c>
      <c r="H559" s="302">
        <f t="shared" si="209"/>
        <v>17.775289413805613</v>
      </c>
      <c r="I559" s="303"/>
      <c r="J559" s="302">
        <v>7.1224974830541212</v>
      </c>
      <c r="K559" s="302">
        <v>8.7331992039795221</v>
      </c>
      <c r="L559" s="302">
        <f t="shared" si="210"/>
        <v>15.855696687033642</v>
      </c>
      <c r="M559" s="236"/>
      <c r="N559" s="236"/>
    </row>
    <row r="560" spans="1:14" x14ac:dyDescent="0.2">
      <c r="A560" s="237" t="str">
        <f>name!E$11</f>
        <v>Process, plant and machine operatives</v>
      </c>
      <c r="B560" s="302">
        <v>2.4520340474026869</v>
      </c>
      <c r="C560" s="302">
        <v>12.747675386364321</v>
      </c>
      <c r="D560" s="302">
        <f t="shared" si="208"/>
        <v>15.199709433767008</v>
      </c>
      <c r="E560" s="303"/>
      <c r="F560" s="302">
        <v>2.1262632582264476</v>
      </c>
      <c r="G560" s="302">
        <v>11.491812192209053</v>
      </c>
      <c r="H560" s="302">
        <f t="shared" si="209"/>
        <v>13.618075450435501</v>
      </c>
      <c r="I560" s="303"/>
      <c r="J560" s="302">
        <v>3.4957548082076912</v>
      </c>
      <c r="K560" s="302">
        <v>11.483323929446277</v>
      </c>
      <c r="L560" s="302">
        <f t="shared" si="210"/>
        <v>14.979078737653968</v>
      </c>
      <c r="M560" s="236"/>
      <c r="N560" s="236"/>
    </row>
    <row r="561" spans="1:14" x14ac:dyDescent="0.2">
      <c r="A561" s="237" t="str">
        <f>name!E$12</f>
        <v>Elementary occupations</v>
      </c>
      <c r="B561" s="302">
        <v>5.8349100487728087</v>
      </c>
      <c r="C561" s="302">
        <v>8.9160210870451859</v>
      </c>
      <c r="D561" s="302">
        <f t="shared" si="208"/>
        <v>14.750931135817995</v>
      </c>
      <c r="E561" s="303"/>
      <c r="F561" s="302">
        <v>4.8518784261394954</v>
      </c>
      <c r="G561" s="302">
        <v>7.3955771542629929</v>
      </c>
      <c r="H561" s="302">
        <f t="shared" si="209"/>
        <v>12.247455580402487</v>
      </c>
      <c r="I561" s="303"/>
      <c r="J561" s="302">
        <v>4.2834880090049774</v>
      </c>
      <c r="K561" s="302">
        <v>4.0258333828096262</v>
      </c>
      <c r="L561" s="302">
        <f t="shared" si="210"/>
        <v>8.3093213918146027</v>
      </c>
      <c r="M561" s="236"/>
      <c r="N561" s="236"/>
    </row>
    <row r="562" spans="1:14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  <c r="N562" s="236"/>
    </row>
    <row r="563" spans="1:14" x14ac:dyDescent="0.2">
      <c r="A563" s="244" t="s">
        <v>32</v>
      </c>
      <c r="B563" s="311">
        <f>SUM(B553:B561)</f>
        <v>62.452000000932557</v>
      </c>
      <c r="C563" s="311">
        <f t="shared" ref="C563:D563" si="211">SUM(C553:C561)</f>
        <v>90.439000001907743</v>
      </c>
      <c r="D563" s="311">
        <f t="shared" si="211"/>
        <v>152.89100000284031</v>
      </c>
      <c r="E563" s="311"/>
      <c r="F563" s="311">
        <f t="shared" ref="F563:H563" si="212">SUM(F553:F561)</f>
        <v>71.398999998952391</v>
      </c>
      <c r="G563" s="311">
        <f t="shared" si="212"/>
        <v>97.990999998467785</v>
      </c>
      <c r="H563" s="311">
        <f t="shared" si="212"/>
        <v>169.38999999742018</v>
      </c>
      <c r="I563" s="311"/>
      <c r="J563" s="311">
        <f t="shared" ref="J563:L563" si="213">SUM(J553:J561)</f>
        <v>74.683999999208254</v>
      </c>
      <c r="K563" s="311">
        <f t="shared" si="213"/>
        <v>91.465999998966709</v>
      </c>
      <c r="L563" s="311">
        <f t="shared" si="213"/>
        <v>166.14999999817493</v>
      </c>
      <c r="M563" s="236"/>
      <c r="N563" s="236"/>
    </row>
    <row r="564" spans="1:14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  <c r="N564" s="236"/>
    </row>
    <row r="565" spans="1:14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56" t="s">
        <v>35</v>
      </c>
      <c r="M565" s="236"/>
      <c r="N565" s="236"/>
    </row>
    <row r="566" spans="1:14" x14ac:dyDescent="0.2">
      <c r="A566" s="242"/>
      <c r="B566" s="250"/>
      <c r="C566" s="250"/>
      <c r="D566" s="250"/>
      <c r="E566" s="250"/>
      <c r="F566" s="250"/>
      <c r="G566" s="250"/>
      <c r="H566" s="250"/>
      <c r="I566" s="250"/>
      <c r="J566" s="250"/>
      <c r="K566" s="250"/>
      <c r="L566" s="236"/>
      <c r="M566" s="236"/>
      <c r="N566" s="236"/>
    </row>
    <row r="567" spans="1:14" x14ac:dyDescent="0.2">
      <c r="A567" s="241" t="str">
        <f>name!A36</f>
        <v>Retail trade</v>
      </c>
      <c r="B567" s="372">
        <f>B$6</f>
        <v>2015</v>
      </c>
      <c r="C567" s="372"/>
      <c r="D567" s="372"/>
      <c r="E567" s="253"/>
      <c r="F567" s="372">
        <f>F550</f>
        <v>2020</v>
      </c>
      <c r="G567" s="372"/>
      <c r="H567" s="372"/>
      <c r="I567" s="253"/>
      <c r="J567" s="372">
        <f>J550</f>
        <v>2035</v>
      </c>
      <c r="K567" s="372"/>
      <c r="L567" s="372"/>
      <c r="M567" s="236"/>
      <c r="N567" s="236"/>
    </row>
    <row r="568" spans="1:14" x14ac:dyDescent="0.2">
      <c r="A568" s="254"/>
      <c r="B568" s="255" t="s">
        <v>352</v>
      </c>
      <c r="C568" s="255" t="s">
        <v>353</v>
      </c>
      <c r="D568" s="255" t="s">
        <v>32</v>
      </c>
      <c r="E568" s="255"/>
      <c r="F568" s="255" t="s">
        <v>352</v>
      </c>
      <c r="G568" s="255" t="s">
        <v>353</v>
      </c>
      <c r="H568" s="255" t="s">
        <v>32</v>
      </c>
      <c r="I568" s="255"/>
      <c r="J568" s="255" t="s">
        <v>352</v>
      </c>
      <c r="K568" s="255" t="s">
        <v>353</v>
      </c>
      <c r="L568" s="255" t="s">
        <v>32</v>
      </c>
      <c r="M568" s="236"/>
      <c r="N568" s="236"/>
    </row>
    <row r="569" spans="1:14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  <c r="N569" s="236"/>
    </row>
    <row r="570" spans="1:14" x14ac:dyDescent="0.2">
      <c r="A570" s="237" t="str">
        <f>name!E$4</f>
        <v>Managers, directors and senior officials</v>
      </c>
      <c r="B570" s="302">
        <v>28.52486276615857</v>
      </c>
      <c r="C570" s="302">
        <v>29.883613798723964</v>
      </c>
      <c r="D570" s="302">
        <f>SUM(B570:C570)</f>
        <v>58.408476564882534</v>
      </c>
      <c r="E570" s="303"/>
      <c r="F570" s="302">
        <v>30.797691917974124</v>
      </c>
      <c r="G570" s="302">
        <v>27.517320568194307</v>
      </c>
      <c r="H570" s="302">
        <f>SUM(F570:G570)</f>
        <v>58.315012486168428</v>
      </c>
      <c r="I570" s="303"/>
      <c r="J570" s="302">
        <v>37.883531692838211</v>
      </c>
      <c r="K570" s="302">
        <v>31.502956580811677</v>
      </c>
      <c r="L570" s="302">
        <f>SUM(J570:K570)</f>
        <v>69.386488273649888</v>
      </c>
      <c r="M570" s="236"/>
      <c r="N570" s="236"/>
    </row>
    <row r="571" spans="1:14" x14ac:dyDescent="0.2">
      <c r="A571" s="237" t="str">
        <f>name!E$5</f>
        <v>Professional occupations</v>
      </c>
      <c r="B571" s="302">
        <v>31.452078291954408</v>
      </c>
      <c r="C571" s="302">
        <v>14.292491909928071</v>
      </c>
      <c r="D571" s="302">
        <f t="shared" ref="D571:D578" si="214">SUM(B571:C571)</f>
        <v>45.744570201882482</v>
      </c>
      <c r="E571" s="303"/>
      <c r="F571" s="302">
        <v>35.618404555850461</v>
      </c>
      <c r="G571" s="302">
        <v>17.069939742338537</v>
      </c>
      <c r="H571" s="302">
        <f t="shared" ref="H571:H578" si="215">SUM(F571:G571)</f>
        <v>52.688344298188994</v>
      </c>
      <c r="I571" s="303"/>
      <c r="J571" s="302">
        <v>42.790374925032729</v>
      </c>
      <c r="K571" s="302">
        <v>22.615033922326148</v>
      </c>
      <c r="L571" s="302">
        <f t="shared" ref="L571:L578" si="216">SUM(J571:K571)</f>
        <v>65.405408847358871</v>
      </c>
      <c r="M571" s="236"/>
      <c r="N571" s="236"/>
    </row>
    <row r="572" spans="1:14" x14ac:dyDescent="0.2">
      <c r="A572" s="237" t="str">
        <f>name!E$6</f>
        <v>Associate professional occupations</v>
      </c>
      <c r="B572" s="302">
        <v>25.838988856116515</v>
      </c>
      <c r="C572" s="302">
        <v>13.177057864992141</v>
      </c>
      <c r="D572" s="302">
        <f t="shared" si="214"/>
        <v>39.016046721108658</v>
      </c>
      <c r="E572" s="303"/>
      <c r="F572" s="302">
        <v>27.087075726322823</v>
      </c>
      <c r="G572" s="302">
        <v>14.27103668475875</v>
      </c>
      <c r="H572" s="302">
        <f t="shared" si="215"/>
        <v>41.358112411081571</v>
      </c>
      <c r="I572" s="303"/>
      <c r="J572" s="302">
        <v>29.263454723543941</v>
      </c>
      <c r="K572" s="302">
        <v>15.056165883102683</v>
      </c>
      <c r="L572" s="302">
        <f t="shared" si="216"/>
        <v>44.319620606646623</v>
      </c>
      <c r="M572" s="236"/>
      <c r="N572" s="236"/>
    </row>
    <row r="573" spans="1:14" x14ac:dyDescent="0.2">
      <c r="A573" s="237" t="str">
        <f>name!E$7</f>
        <v>Administrative and secretarial occupations</v>
      </c>
      <c r="B573" s="302">
        <v>22.601347561970968</v>
      </c>
      <c r="C573" s="302">
        <v>6.6874499303494641</v>
      </c>
      <c r="D573" s="302">
        <f t="shared" si="214"/>
        <v>29.288797492320434</v>
      </c>
      <c r="E573" s="303"/>
      <c r="F573" s="302">
        <v>20.370101344530735</v>
      </c>
      <c r="G573" s="302">
        <v>7.3367193599096474</v>
      </c>
      <c r="H573" s="302">
        <f t="shared" si="215"/>
        <v>27.706820704440382</v>
      </c>
      <c r="I573" s="303"/>
      <c r="J573" s="302">
        <v>16.613997264555064</v>
      </c>
      <c r="K573" s="302">
        <v>8.3218436605332116</v>
      </c>
      <c r="L573" s="302">
        <f t="shared" si="216"/>
        <v>24.935840925088275</v>
      </c>
      <c r="M573" s="236"/>
      <c r="N573" s="236"/>
    </row>
    <row r="574" spans="1:14" x14ac:dyDescent="0.2">
      <c r="A574" s="237" t="str">
        <f>name!E$8</f>
        <v>Skilled trades occupations</v>
      </c>
      <c r="B574" s="302">
        <v>6.965699758904714</v>
      </c>
      <c r="C574" s="302">
        <v>15.790951886846001</v>
      </c>
      <c r="D574" s="302">
        <f t="shared" si="214"/>
        <v>22.756651645750715</v>
      </c>
      <c r="E574" s="303"/>
      <c r="F574" s="302">
        <v>5.2594298021521357</v>
      </c>
      <c r="G574" s="302">
        <v>9.9269303024370075</v>
      </c>
      <c r="H574" s="302">
        <f t="shared" si="215"/>
        <v>15.186360104589143</v>
      </c>
      <c r="I574" s="303"/>
      <c r="J574" s="302">
        <v>5.290188129077162</v>
      </c>
      <c r="K574" s="302">
        <v>12.272595563399092</v>
      </c>
      <c r="L574" s="302">
        <f t="shared" si="216"/>
        <v>17.562783692476252</v>
      </c>
      <c r="M574" s="236"/>
      <c r="N574" s="236"/>
    </row>
    <row r="575" spans="1:14" x14ac:dyDescent="0.2">
      <c r="A575" s="237" t="str">
        <f>name!E$9</f>
        <v>Caring, leisure and other service occupations</v>
      </c>
      <c r="B575" s="302">
        <v>2.7515183910425027</v>
      </c>
      <c r="C575" s="302">
        <v>0.92889519219298278</v>
      </c>
      <c r="D575" s="302">
        <f t="shared" si="214"/>
        <v>3.6804135832354854</v>
      </c>
      <c r="E575" s="303"/>
      <c r="F575" s="302">
        <v>2.1119832733026556</v>
      </c>
      <c r="G575" s="302">
        <v>0.90763911384309093</v>
      </c>
      <c r="H575" s="302">
        <f t="shared" si="215"/>
        <v>3.0196223871457466</v>
      </c>
      <c r="I575" s="303"/>
      <c r="J575" s="302">
        <v>2.3388971345728029</v>
      </c>
      <c r="K575" s="302">
        <v>1.1432691107445914</v>
      </c>
      <c r="L575" s="302">
        <f t="shared" si="216"/>
        <v>3.4821662453173943</v>
      </c>
      <c r="M575" s="236"/>
      <c r="N575" s="236"/>
    </row>
    <row r="576" spans="1:14" x14ac:dyDescent="0.2">
      <c r="A576" s="237" t="str">
        <f>name!E$10</f>
        <v>Sales and customer service occupations</v>
      </c>
      <c r="B576" s="302">
        <v>117.67457277357867</v>
      </c>
      <c r="C576" s="302">
        <v>89.791276157908314</v>
      </c>
      <c r="D576" s="302">
        <f t="shared" si="214"/>
        <v>207.46584893148699</v>
      </c>
      <c r="E576" s="303"/>
      <c r="F576" s="302">
        <v>94.697785022150185</v>
      </c>
      <c r="G576" s="302">
        <v>76.330655428841325</v>
      </c>
      <c r="H576" s="302">
        <f t="shared" si="215"/>
        <v>171.02844045099152</v>
      </c>
      <c r="I576" s="303"/>
      <c r="J576" s="302">
        <v>77.070757375753033</v>
      </c>
      <c r="K576" s="302">
        <v>70.633261069150777</v>
      </c>
      <c r="L576" s="302">
        <f t="shared" si="216"/>
        <v>147.7040184449038</v>
      </c>
      <c r="M576" s="236"/>
      <c r="N576" s="236"/>
    </row>
    <row r="577" spans="1:14" x14ac:dyDescent="0.2">
      <c r="A577" s="237" t="str">
        <f>name!E$11</f>
        <v>Process, plant and machine operatives</v>
      </c>
      <c r="B577" s="302">
        <v>1.3614713470852249</v>
      </c>
      <c r="C577" s="302">
        <v>11.064864808899213</v>
      </c>
      <c r="D577" s="302">
        <f t="shared" si="214"/>
        <v>12.426336155984437</v>
      </c>
      <c r="E577" s="303"/>
      <c r="F577" s="302">
        <v>0.98507305919143262</v>
      </c>
      <c r="G577" s="302">
        <v>9.6795056925309311</v>
      </c>
      <c r="H577" s="302">
        <f t="shared" si="215"/>
        <v>10.664578751722363</v>
      </c>
      <c r="I577" s="303"/>
      <c r="J577" s="302">
        <v>1.4401590732650111</v>
      </c>
      <c r="K577" s="302">
        <v>9.1225964063817155</v>
      </c>
      <c r="L577" s="302">
        <f t="shared" si="216"/>
        <v>10.562755479646727</v>
      </c>
      <c r="M577" s="236"/>
      <c r="N577" s="236"/>
    </row>
    <row r="578" spans="1:14" x14ac:dyDescent="0.2">
      <c r="A578" s="237" t="str">
        <f>name!E$12</f>
        <v>Elementary occupations</v>
      </c>
      <c r="B578" s="302">
        <v>27.557460262840429</v>
      </c>
      <c r="C578" s="302">
        <v>23.082398456098332</v>
      </c>
      <c r="D578" s="302">
        <f t="shared" si="214"/>
        <v>50.639858718938761</v>
      </c>
      <c r="E578" s="303"/>
      <c r="F578" s="302">
        <v>20.131455299001278</v>
      </c>
      <c r="G578" s="302">
        <v>18.577253103664646</v>
      </c>
      <c r="H578" s="302">
        <f t="shared" si="215"/>
        <v>38.70870840266592</v>
      </c>
      <c r="I578" s="303"/>
      <c r="J578" s="302">
        <v>16.277639679098812</v>
      </c>
      <c r="K578" s="302">
        <v>16.665277801133602</v>
      </c>
      <c r="L578" s="302">
        <f t="shared" si="216"/>
        <v>32.94291748023241</v>
      </c>
      <c r="M578" s="236"/>
      <c r="N578" s="236"/>
    </row>
    <row r="579" spans="1:14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  <c r="N579" s="236"/>
    </row>
    <row r="580" spans="1:14" x14ac:dyDescent="0.2">
      <c r="A580" s="244" t="s">
        <v>32</v>
      </c>
      <c r="B580" s="311">
        <f>SUM(B570:B578)</f>
        <v>264.72800000965202</v>
      </c>
      <c r="C580" s="311">
        <f t="shared" ref="C580:D580" si="217">SUM(C570:C578)</f>
        <v>204.6990000059385</v>
      </c>
      <c r="D580" s="311">
        <f t="shared" si="217"/>
        <v>469.42700001559047</v>
      </c>
      <c r="E580" s="311"/>
      <c r="F580" s="311">
        <f t="shared" ref="F580:H580" si="218">SUM(F570:F578)</f>
        <v>237.05900000047583</v>
      </c>
      <c r="G580" s="311">
        <f t="shared" si="218"/>
        <v>181.61699999651825</v>
      </c>
      <c r="H580" s="311">
        <f t="shared" si="218"/>
        <v>418.67599999699411</v>
      </c>
      <c r="I580" s="311"/>
      <c r="J580" s="311">
        <f t="shared" ref="J580:L580" si="219">SUM(J570:J578)</f>
        <v>228.96899999773677</v>
      </c>
      <c r="K580" s="311">
        <f t="shared" si="219"/>
        <v>187.33299999758353</v>
      </c>
      <c r="L580" s="311">
        <f t="shared" si="219"/>
        <v>416.30199999532022</v>
      </c>
      <c r="M580" s="236"/>
      <c r="N580" s="236"/>
    </row>
    <row r="581" spans="1:14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  <c r="N581" s="236"/>
    </row>
    <row r="582" spans="1:14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56" t="s">
        <v>35</v>
      </c>
      <c r="M582" s="236"/>
      <c r="N582" s="236"/>
    </row>
    <row r="583" spans="1:14" x14ac:dyDescent="0.2">
      <c r="A583" s="242"/>
      <c r="B583" s="250"/>
      <c r="C583" s="250"/>
      <c r="D583" s="250"/>
      <c r="E583" s="250"/>
      <c r="F583" s="250"/>
      <c r="G583" s="250"/>
      <c r="H583" s="250"/>
      <c r="I583" s="250"/>
      <c r="J583" s="250"/>
      <c r="K583" s="250"/>
      <c r="L583" s="236"/>
      <c r="M583" s="236"/>
      <c r="N583" s="236"/>
    </row>
    <row r="584" spans="1:14" x14ac:dyDescent="0.2">
      <c r="A584" s="241" t="str">
        <f>name!A37</f>
        <v>Land transport, etc</v>
      </c>
      <c r="B584" s="372">
        <f>B$6</f>
        <v>2015</v>
      </c>
      <c r="C584" s="372"/>
      <c r="D584" s="372"/>
      <c r="E584" s="253"/>
      <c r="F584" s="372">
        <f>F567</f>
        <v>2020</v>
      </c>
      <c r="G584" s="372"/>
      <c r="H584" s="372"/>
      <c r="I584" s="253"/>
      <c r="J584" s="372">
        <f>J567</f>
        <v>2035</v>
      </c>
      <c r="K584" s="372"/>
      <c r="L584" s="372"/>
      <c r="M584" s="236"/>
      <c r="N584" s="236"/>
    </row>
    <row r="585" spans="1:14" x14ac:dyDescent="0.2">
      <c r="A585" s="254"/>
      <c r="B585" s="255" t="s">
        <v>352</v>
      </c>
      <c r="C585" s="255" t="s">
        <v>353</v>
      </c>
      <c r="D585" s="255" t="s">
        <v>32</v>
      </c>
      <c r="E585" s="255"/>
      <c r="F585" s="255" t="s">
        <v>352</v>
      </c>
      <c r="G585" s="255" t="s">
        <v>353</v>
      </c>
      <c r="H585" s="255" t="s">
        <v>32</v>
      </c>
      <c r="I585" s="255"/>
      <c r="J585" s="255" t="s">
        <v>352</v>
      </c>
      <c r="K585" s="255" t="s">
        <v>353</v>
      </c>
      <c r="L585" s="255" t="s">
        <v>32</v>
      </c>
      <c r="M585" s="236"/>
      <c r="N585" s="236"/>
    </row>
    <row r="586" spans="1:14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  <c r="N586" s="236"/>
    </row>
    <row r="587" spans="1:14" x14ac:dyDescent="0.2">
      <c r="A587" s="237" t="str">
        <f>name!E$4</f>
        <v>Managers, directors and senior officials</v>
      </c>
      <c r="B587" s="302">
        <v>1.6269447042314522</v>
      </c>
      <c r="C587" s="302">
        <v>7.7336613242159808</v>
      </c>
      <c r="D587" s="302">
        <f>SUM(B587:C587)</f>
        <v>9.3606060284474335</v>
      </c>
      <c r="E587" s="303"/>
      <c r="F587" s="302">
        <v>2.5917702822623254</v>
      </c>
      <c r="G587" s="302">
        <v>8.4549336885558599</v>
      </c>
      <c r="H587" s="302">
        <f>SUM(F587:G587)</f>
        <v>11.046703970818186</v>
      </c>
      <c r="I587" s="303"/>
      <c r="J587" s="302">
        <v>3.6794029662881607</v>
      </c>
      <c r="K587" s="302">
        <v>10.32459536033104</v>
      </c>
      <c r="L587" s="302">
        <f>SUM(J587:K587)</f>
        <v>14.0039983266192</v>
      </c>
      <c r="M587" s="236"/>
      <c r="N587" s="236"/>
    </row>
    <row r="588" spans="1:14" x14ac:dyDescent="0.2">
      <c r="A588" s="237" t="str">
        <f>name!E$5</f>
        <v>Professional occupations</v>
      </c>
      <c r="B588" s="302">
        <v>3.2157428922907068</v>
      </c>
      <c r="C588" s="302">
        <v>5.4504687558798306</v>
      </c>
      <c r="D588" s="302">
        <f t="shared" ref="D588:D595" si="220">SUM(B588:C588)</f>
        <v>8.6662116481705382</v>
      </c>
      <c r="E588" s="303"/>
      <c r="F588" s="302">
        <v>5.5043311729466717</v>
      </c>
      <c r="G588" s="302">
        <v>8.4381853632445232</v>
      </c>
      <c r="H588" s="302">
        <f t="shared" ref="H588:H595" si="221">SUM(F588:G588)</f>
        <v>13.942516536191196</v>
      </c>
      <c r="I588" s="303"/>
      <c r="J588" s="302">
        <v>8.4407623068419788</v>
      </c>
      <c r="K588" s="302">
        <v>14.252514298705242</v>
      </c>
      <c r="L588" s="302">
        <f t="shared" ref="L588:L595" si="222">SUM(J588:K588)</f>
        <v>22.693276605547219</v>
      </c>
      <c r="M588" s="236"/>
      <c r="N588" s="236"/>
    </row>
    <row r="589" spans="1:14" x14ac:dyDescent="0.2">
      <c r="A589" s="237" t="str">
        <f>name!E$6</f>
        <v>Associate professional occupations</v>
      </c>
      <c r="B589" s="302">
        <v>2.3084664549658354</v>
      </c>
      <c r="C589" s="302">
        <v>7.3013157997314373</v>
      </c>
      <c r="D589" s="302">
        <f t="shared" si="220"/>
        <v>9.6097822546972722</v>
      </c>
      <c r="E589" s="303"/>
      <c r="F589" s="302">
        <v>3.4653128368385886</v>
      </c>
      <c r="G589" s="302">
        <v>10.89874149430231</v>
      </c>
      <c r="H589" s="302">
        <f t="shared" si="221"/>
        <v>14.364054331140899</v>
      </c>
      <c r="I589" s="303"/>
      <c r="J589" s="302">
        <v>4.5424864328919634</v>
      </c>
      <c r="K589" s="302">
        <v>14.888323495657634</v>
      </c>
      <c r="L589" s="302">
        <f t="shared" si="222"/>
        <v>19.430809928549596</v>
      </c>
      <c r="M589" s="236"/>
      <c r="N589" s="236"/>
    </row>
    <row r="590" spans="1:14" x14ac:dyDescent="0.2">
      <c r="A590" s="237" t="str">
        <f>name!E$7</f>
        <v>Administrative and secretarial occupations</v>
      </c>
      <c r="B590" s="302">
        <v>4.9297208128795997</v>
      </c>
      <c r="C590" s="302">
        <v>4.7712897166278232</v>
      </c>
      <c r="D590" s="302">
        <f t="shared" si="220"/>
        <v>9.7010105295074229</v>
      </c>
      <c r="E590" s="303"/>
      <c r="F590" s="302">
        <v>6.4060913958011394</v>
      </c>
      <c r="G590" s="302">
        <v>6.1223630759074066</v>
      </c>
      <c r="H590" s="302">
        <f t="shared" si="221"/>
        <v>12.528454471708546</v>
      </c>
      <c r="I590" s="303"/>
      <c r="J590" s="302">
        <v>4.9723332026448155</v>
      </c>
      <c r="K590" s="302">
        <v>6.4130807992288341</v>
      </c>
      <c r="L590" s="302">
        <f t="shared" si="222"/>
        <v>11.385414001873649</v>
      </c>
      <c r="M590" s="236"/>
      <c r="N590" s="236"/>
    </row>
    <row r="591" spans="1:14" x14ac:dyDescent="0.2">
      <c r="A591" s="237" t="str">
        <f>name!E$8</f>
        <v>Skilled trades occupations</v>
      </c>
      <c r="B591" s="302">
        <v>0.17123370890518069</v>
      </c>
      <c r="C591" s="302">
        <v>9.9264678483895192</v>
      </c>
      <c r="D591" s="302">
        <f t="shared" si="220"/>
        <v>10.0977015572947</v>
      </c>
      <c r="E591" s="303"/>
      <c r="F591" s="302">
        <v>0.27540887558736671</v>
      </c>
      <c r="G591" s="302">
        <v>7.6063342951087387</v>
      </c>
      <c r="H591" s="302">
        <f t="shared" si="221"/>
        <v>7.8817431706961054</v>
      </c>
      <c r="I591" s="303"/>
      <c r="J591" s="302">
        <v>0.79185500562046418</v>
      </c>
      <c r="K591" s="302">
        <v>7.6010343343306124</v>
      </c>
      <c r="L591" s="302">
        <f t="shared" si="222"/>
        <v>8.3928893399510773</v>
      </c>
      <c r="M591" s="236"/>
      <c r="N591" s="236"/>
    </row>
    <row r="592" spans="1:14" x14ac:dyDescent="0.2">
      <c r="A592" s="237" t="str">
        <f>name!E$9</f>
        <v>Caring, leisure and other service occupations</v>
      </c>
      <c r="B592" s="302">
        <v>2.6899331470967538</v>
      </c>
      <c r="C592" s="302">
        <v>4.5862829566344381</v>
      </c>
      <c r="D592" s="302">
        <f t="shared" si="220"/>
        <v>7.2762161037311923</v>
      </c>
      <c r="E592" s="303"/>
      <c r="F592" s="302">
        <v>3.9297836601775016</v>
      </c>
      <c r="G592" s="302">
        <v>6.6374799006865768</v>
      </c>
      <c r="H592" s="302">
        <f t="shared" si="221"/>
        <v>10.567263560864077</v>
      </c>
      <c r="I592" s="303"/>
      <c r="J592" s="302">
        <v>4.7832809476760474</v>
      </c>
      <c r="K592" s="302">
        <v>10.207008714051426</v>
      </c>
      <c r="L592" s="302">
        <f t="shared" si="222"/>
        <v>14.990289661727473</v>
      </c>
      <c r="M592" s="236"/>
      <c r="N592" s="236"/>
    </row>
    <row r="593" spans="1:14" x14ac:dyDescent="0.2">
      <c r="A593" s="237" t="str">
        <f>name!E$10</f>
        <v>Sales and customer service occupations</v>
      </c>
      <c r="B593" s="302">
        <v>0.91056392335511371</v>
      </c>
      <c r="C593" s="302">
        <v>1.8453289819196774</v>
      </c>
      <c r="D593" s="302">
        <f t="shared" si="220"/>
        <v>2.7558929052747914</v>
      </c>
      <c r="E593" s="303"/>
      <c r="F593" s="302">
        <v>1.1897984724715811</v>
      </c>
      <c r="G593" s="302">
        <v>2.2527970687264931</v>
      </c>
      <c r="H593" s="302">
        <f t="shared" si="221"/>
        <v>3.4425955411980742</v>
      </c>
      <c r="I593" s="303"/>
      <c r="J593" s="302">
        <v>1.4138373914079894</v>
      </c>
      <c r="K593" s="302">
        <v>4.0273477192308613</v>
      </c>
      <c r="L593" s="302">
        <f t="shared" si="222"/>
        <v>5.4411851106388509</v>
      </c>
      <c r="M593" s="236"/>
      <c r="N593" s="236"/>
    </row>
    <row r="594" spans="1:14" x14ac:dyDescent="0.2">
      <c r="A594" s="237" t="str">
        <f>name!E$11</f>
        <v>Process, plant and machine operatives</v>
      </c>
      <c r="B594" s="302">
        <v>2.2573921980065101</v>
      </c>
      <c r="C594" s="302">
        <v>76.959809115466584</v>
      </c>
      <c r="D594" s="302">
        <f t="shared" si="220"/>
        <v>79.217201313473097</v>
      </c>
      <c r="E594" s="303"/>
      <c r="F594" s="302">
        <v>2.5749391160565009</v>
      </c>
      <c r="G594" s="302">
        <v>71.431810819299372</v>
      </c>
      <c r="H594" s="302">
        <f t="shared" si="221"/>
        <v>74.00674993535587</v>
      </c>
      <c r="I594" s="303"/>
      <c r="J594" s="302">
        <v>5.2525352701392567</v>
      </c>
      <c r="K594" s="302">
        <v>78.275799607151299</v>
      </c>
      <c r="L594" s="302">
        <f t="shared" si="222"/>
        <v>83.528334877290561</v>
      </c>
      <c r="M594" s="236"/>
      <c r="N594" s="236"/>
    </row>
    <row r="595" spans="1:14" x14ac:dyDescent="0.2">
      <c r="A595" s="237" t="str">
        <f>name!E$12</f>
        <v>Elementary occupations</v>
      </c>
      <c r="B595" s="302">
        <v>0.98500215837095662</v>
      </c>
      <c r="C595" s="302">
        <v>5.0283755048617476</v>
      </c>
      <c r="D595" s="302">
        <f t="shared" si="220"/>
        <v>6.0133776632327045</v>
      </c>
      <c r="E595" s="303"/>
      <c r="F595" s="302">
        <v>1.6175641875504123</v>
      </c>
      <c r="G595" s="302">
        <v>4.5513542921765362</v>
      </c>
      <c r="H595" s="302">
        <f t="shared" si="221"/>
        <v>6.1689184797269485</v>
      </c>
      <c r="I595" s="303"/>
      <c r="J595" s="302">
        <v>1.7385064762183617</v>
      </c>
      <c r="K595" s="302">
        <v>3.64529567040905</v>
      </c>
      <c r="L595" s="302">
        <f t="shared" si="222"/>
        <v>5.3838021466274117</v>
      </c>
      <c r="M595" s="236"/>
      <c r="N595" s="236"/>
    </row>
    <row r="596" spans="1:14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  <c r="N596" s="236"/>
    </row>
    <row r="597" spans="1:14" x14ac:dyDescent="0.2">
      <c r="A597" s="244" t="s">
        <v>32</v>
      </c>
      <c r="B597" s="311">
        <f>SUM(B587:B595)</f>
        <v>19.095000000102107</v>
      </c>
      <c r="C597" s="311">
        <f t="shared" ref="C597:D597" si="223">SUM(C587:C595)</f>
        <v>123.60300000372703</v>
      </c>
      <c r="D597" s="311">
        <f t="shared" si="223"/>
        <v>142.69800000382915</v>
      </c>
      <c r="E597" s="311"/>
      <c r="F597" s="311">
        <f t="shared" ref="F597:H597" si="224">SUM(F587:F595)</f>
        <v>27.554999999692086</v>
      </c>
      <c r="G597" s="311">
        <f t="shared" si="224"/>
        <v>126.39399999800781</v>
      </c>
      <c r="H597" s="311">
        <f t="shared" si="224"/>
        <v>153.94899999769993</v>
      </c>
      <c r="I597" s="311"/>
      <c r="J597" s="311">
        <f t="shared" ref="J597:L597" si="225">SUM(J587:J595)</f>
        <v>35.614999999729037</v>
      </c>
      <c r="K597" s="311">
        <f t="shared" si="225"/>
        <v>149.63499999909601</v>
      </c>
      <c r="L597" s="311">
        <f t="shared" si="225"/>
        <v>185.24999999882505</v>
      </c>
      <c r="M597" s="236"/>
      <c r="N597" s="236"/>
    </row>
    <row r="598" spans="1:14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  <c r="N598" s="236"/>
    </row>
    <row r="599" spans="1:14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56" t="s">
        <v>35</v>
      </c>
      <c r="M599" s="236"/>
      <c r="N599" s="236"/>
    </row>
    <row r="600" spans="1:14" x14ac:dyDescent="0.2">
      <c r="A600" s="242"/>
      <c r="B600" s="250"/>
      <c r="C600" s="250"/>
      <c r="D600" s="250"/>
      <c r="E600" s="250"/>
      <c r="F600" s="250"/>
      <c r="G600" s="250"/>
      <c r="H600" s="250"/>
      <c r="I600" s="250"/>
      <c r="J600" s="250"/>
      <c r="K600" s="250"/>
      <c r="L600" s="236"/>
      <c r="M600" s="236"/>
      <c r="N600" s="236"/>
    </row>
    <row r="601" spans="1:14" x14ac:dyDescent="0.2">
      <c r="A601" s="241" t="str">
        <f>name!A38</f>
        <v>Water transport</v>
      </c>
      <c r="B601" s="372">
        <f>B$6</f>
        <v>2015</v>
      </c>
      <c r="C601" s="372"/>
      <c r="D601" s="372"/>
      <c r="E601" s="253"/>
      <c r="F601" s="372">
        <f>F584</f>
        <v>2020</v>
      </c>
      <c r="G601" s="372"/>
      <c r="H601" s="372"/>
      <c r="I601" s="253"/>
      <c r="J601" s="372">
        <f>J584</f>
        <v>2035</v>
      </c>
      <c r="K601" s="372"/>
      <c r="L601" s="372"/>
      <c r="M601" s="236"/>
      <c r="N601" s="236"/>
    </row>
    <row r="602" spans="1:14" x14ac:dyDescent="0.2">
      <c r="A602" s="254"/>
      <c r="B602" s="255" t="s">
        <v>352</v>
      </c>
      <c r="C602" s="255" t="s">
        <v>353</v>
      </c>
      <c r="D602" s="255" t="s">
        <v>32</v>
      </c>
      <c r="E602" s="255"/>
      <c r="F602" s="255" t="s">
        <v>352</v>
      </c>
      <c r="G602" s="255" t="s">
        <v>353</v>
      </c>
      <c r="H602" s="255" t="s">
        <v>32</v>
      </c>
      <c r="I602" s="255"/>
      <c r="J602" s="255" t="s">
        <v>352</v>
      </c>
      <c r="K602" s="255" t="s">
        <v>353</v>
      </c>
      <c r="L602" s="255" t="s">
        <v>32</v>
      </c>
      <c r="M602" s="236"/>
      <c r="N602" s="236"/>
    </row>
    <row r="603" spans="1:14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  <c r="N603" s="236"/>
    </row>
    <row r="604" spans="1:14" x14ac:dyDescent="0.2">
      <c r="A604" s="237" t="str">
        <f>name!E$4</f>
        <v>Managers, directors and senior officials</v>
      </c>
      <c r="B604" s="302">
        <v>0.20049149786024448</v>
      </c>
      <c r="C604" s="302">
        <v>0.48087831816053456</v>
      </c>
      <c r="D604" s="302">
        <f>SUM(B604:C604)</f>
        <v>0.68136981602077906</v>
      </c>
      <c r="E604" s="303"/>
      <c r="F604" s="302">
        <v>0.13646471865883797</v>
      </c>
      <c r="G604" s="302">
        <v>0.69028962598396293</v>
      </c>
      <c r="H604" s="302">
        <f>SUM(F604:G604)</f>
        <v>0.82675434464280095</v>
      </c>
      <c r="I604" s="303"/>
      <c r="J604" s="302">
        <v>0.13364369766114897</v>
      </c>
      <c r="K604" s="302">
        <v>0.54767865234887203</v>
      </c>
      <c r="L604" s="302">
        <f>SUM(J604:K604)</f>
        <v>0.68132235001002095</v>
      </c>
      <c r="M604" s="236"/>
      <c r="N604" s="236"/>
    </row>
    <row r="605" spans="1:14" x14ac:dyDescent="0.2">
      <c r="A605" s="237" t="str">
        <f>name!E$5</f>
        <v>Professional occupations</v>
      </c>
      <c r="B605" s="302">
        <v>0.38418627158647484</v>
      </c>
      <c r="C605" s="302">
        <v>0.76418070182112108</v>
      </c>
      <c r="D605" s="302">
        <f t="shared" ref="D605:D612" si="226">SUM(B605:C605)</f>
        <v>1.1483669734075959</v>
      </c>
      <c r="E605" s="303"/>
      <c r="F605" s="302">
        <v>0.28553591351760782</v>
      </c>
      <c r="G605" s="302">
        <v>0.77695749557711424</v>
      </c>
      <c r="H605" s="302">
        <f t="shared" ref="H605:H612" si="227">SUM(F605:G605)</f>
        <v>1.062493409094722</v>
      </c>
      <c r="I605" s="303"/>
      <c r="J605" s="302">
        <v>0.27751629302541858</v>
      </c>
      <c r="K605" s="302">
        <v>0.72389562035218935</v>
      </c>
      <c r="L605" s="302">
        <f t="shared" ref="L605:L612" si="228">SUM(J605:K605)</f>
        <v>1.0014119133776078</v>
      </c>
      <c r="M605" s="236"/>
      <c r="N605" s="236"/>
    </row>
    <row r="606" spans="1:14" x14ac:dyDescent="0.2">
      <c r="A606" s="237" t="str">
        <f>name!E$6</f>
        <v>Associate professional occupations</v>
      </c>
      <c r="B606" s="302">
        <v>0.38025679246163085</v>
      </c>
      <c r="C606" s="302">
        <v>1.0609884759878676</v>
      </c>
      <c r="D606" s="302">
        <f t="shared" si="226"/>
        <v>1.4412452684494985</v>
      </c>
      <c r="E606" s="303"/>
      <c r="F606" s="302">
        <v>0.24755875626000148</v>
      </c>
      <c r="G606" s="302">
        <v>0.97248463286690379</v>
      </c>
      <c r="H606" s="302">
        <f t="shared" si="227"/>
        <v>1.2200433891269054</v>
      </c>
      <c r="I606" s="303"/>
      <c r="J606" s="302">
        <v>0.21997803833309468</v>
      </c>
      <c r="K606" s="302">
        <v>0.72581316071546087</v>
      </c>
      <c r="L606" s="302">
        <f t="shared" si="228"/>
        <v>0.94579119904855558</v>
      </c>
      <c r="M606" s="236"/>
      <c r="N606" s="236"/>
    </row>
    <row r="607" spans="1:14" x14ac:dyDescent="0.2">
      <c r="A607" s="237" t="str">
        <f>name!E$7</f>
        <v>Administrative and secretarial occupations</v>
      </c>
      <c r="B607" s="302">
        <v>0.81319249991041054</v>
      </c>
      <c r="C607" s="302">
        <v>0.43876635028543853</v>
      </c>
      <c r="D607" s="302">
        <f t="shared" si="226"/>
        <v>1.251958850195849</v>
      </c>
      <c r="E607" s="303"/>
      <c r="F607" s="302">
        <v>0.45980402552767702</v>
      </c>
      <c r="G607" s="302">
        <v>0.3130537302901511</v>
      </c>
      <c r="H607" s="302">
        <f t="shared" si="227"/>
        <v>0.77285775581782812</v>
      </c>
      <c r="I607" s="303"/>
      <c r="J607" s="302">
        <v>0.26303098979680406</v>
      </c>
      <c r="K607" s="302">
        <v>0.29067935462271494</v>
      </c>
      <c r="L607" s="302">
        <f t="shared" si="228"/>
        <v>0.55371034441951905</v>
      </c>
      <c r="M607" s="236"/>
      <c r="N607" s="236"/>
    </row>
    <row r="608" spans="1:14" x14ac:dyDescent="0.2">
      <c r="A608" s="237" t="str">
        <f>name!E$8</f>
        <v>Skilled trades occupations</v>
      </c>
      <c r="B608" s="302">
        <v>3.870836159279812E-2</v>
      </c>
      <c r="C608" s="302">
        <v>8.2792912081647921E-2</v>
      </c>
      <c r="D608" s="302">
        <f t="shared" si="226"/>
        <v>0.12150127367444605</v>
      </c>
      <c r="E608" s="303"/>
      <c r="F608" s="302">
        <v>2.0525761107487477E-2</v>
      </c>
      <c r="G608" s="302">
        <v>9.2987642464304049E-2</v>
      </c>
      <c r="H608" s="302">
        <f t="shared" si="227"/>
        <v>0.11351340357179153</v>
      </c>
      <c r="I608" s="303"/>
      <c r="J608" s="302">
        <v>2.1349717185518164E-2</v>
      </c>
      <c r="K608" s="302">
        <v>3.9425702496702963E-2</v>
      </c>
      <c r="L608" s="302">
        <f t="shared" si="228"/>
        <v>6.0775419682221124E-2</v>
      </c>
      <c r="M608" s="236"/>
      <c r="N608" s="236"/>
    </row>
    <row r="609" spans="1:14" x14ac:dyDescent="0.2">
      <c r="A609" s="237" t="str">
        <f>name!E$9</f>
        <v>Caring, leisure and other service occupations</v>
      </c>
      <c r="B609" s="302">
        <v>0.32472818795755859</v>
      </c>
      <c r="C609" s="302">
        <v>9.894663481122698E-2</v>
      </c>
      <c r="D609" s="302">
        <f t="shared" si="226"/>
        <v>0.42367482276878554</v>
      </c>
      <c r="E609" s="303"/>
      <c r="F609" s="302">
        <v>0.16486746615117565</v>
      </c>
      <c r="G609" s="302">
        <v>7.2268299881267192E-2</v>
      </c>
      <c r="H609" s="302">
        <f t="shared" si="227"/>
        <v>0.23713576603244285</v>
      </c>
      <c r="I609" s="303"/>
      <c r="J609" s="302">
        <v>0.12853705787297678</v>
      </c>
      <c r="K609" s="302">
        <v>6.400504425703811E-2</v>
      </c>
      <c r="L609" s="302">
        <f t="shared" si="228"/>
        <v>0.19254210213001488</v>
      </c>
      <c r="M609" s="236"/>
      <c r="N609" s="236"/>
    </row>
    <row r="610" spans="1:14" x14ac:dyDescent="0.2">
      <c r="A610" s="237" t="str">
        <f>name!E$10</f>
        <v>Sales and customer service occupations</v>
      </c>
      <c r="B610" s="302">
        <v>0.18748566301619929</v>
      </c>
      <c r="C610" s="302">
        <v>0.13543117075535518</v>
      </c>
      <c r="D610" s="302">
        <f t="shared" si="226"/>
        <v>0.32291683377155445</v>
      </c>
      <c r="E610" s="303"/>
      <c r="F610" s="302">
        <v>0.10077932053876103</v>
      </c>
      <c r="G610" s="302">
        <v>0.10506125571478399</v>
      </c>
      <c r="H610" s="302">
        <f t="shared" si="227"/>
        <v>0.20584057625354502</v>
      </c>
      <c r="I610" s="303"/>
      <c r="J610" s="302">
        <v>7.5541695269463055E-2</v>
      </c>
      <c r="K610" s="302">
        <v>0.1037747326650383</v>
      </c>
      <c r="L610" s="302">
        <f t="shared" si="228"/>
        <v>0.17931642793450137</v>
      </c>
      <c r="M610" s="236"/>
      <c r="N610" s="236"/>
    </row>
    <row r="611" spans="1:14" x14ac:dyDescent="0.2">
      <c r="A611" s="237" t="str">
        <f>name!E$11</f>
        <v>Process, plant and machine operatives</v>
      </c>
      <c r="B611" s="302">
        <v>2.5084822343897376E-2</v>
      </c>
      <c r="C611" s="302">
        <v>0.1454143172763456</v>
      </c>
      <c r="D611" s="302">
        <f t="shared" si="226"/>
        <v>0.17049913962024299</v>
      </c>
      <c r="E611" s="303"/>
      <c r="F611" s="302">
        <v>1.5609992194512387E-2</v>
      </c>
      <c r="G611" s="302">
        <v>0.12945804602314304</v>
      </c>
      <c r="H611" s="302">
        <f t="shared" si="227"/>
        <v>0.14506803821765543</v>
      </c>
      <c r="I611" s="303"/>
      <c r="J611" s="302">
        <v>2.1159398493018622E-2</v>
      </c>
      <c r="K611" s="302">
        <v>3.5657883613512825E-2</v>
      </c>
      <c r="L611" s="302">
        <f t="shared" si="228"/>
        <v>5.6817282106531447E-2</v>
      </c>
      <c r="M611" s="236"/>
      <c r="N611" s="236"/>
    </row>
    <row r="612" spans="1:14" x14ac:dyDescent="0.2">
      <c r="A612" s="237" t="str">
        <f>name!E$12</f>
        <v>Elementary occupations</v>
      </c>
      <c r="B612" s="302">
        <v>5.4865903272177496E-2</v>
      </c>
      <c r="C612" s="302">
        <v>0.29860111885413432</v>
      </c>
      <c r="D612" s="302">
        <f t="shared" si="226"/>
        <v>0.35346702212631181</v>
      </c>
      <c r="E612" s="303"/>
      <c r="F612" s="302">
        <v>3.2854046030329556E-2</v>
      </c>
      <c r="G612" s="302">
        <v>0.19343927119471108</v>
      </c>
      <c r="H612" s="302">
        <f t="shared" si="227"/>
        <v>0.22629331722504065</v>
      </c>
      <c r="I612" s="303"/>
      <c r="J612" s="302">
        <v>2.6243112356248488E-2</v>
      </c>
      <c r="K612" s="302">
        <v>0.11206984894425452</v>
      </c>
      <c r="L612" s="302">
        <f t="shared" si="228"/>
        <v>0.13831296130050302</v>
      </c>
      <c r="M612" s="236"/>
      <c r="N612" s="236"/>
    </row>
    <row r="613" spans="1:14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  <c r="N613" s="236"/>
    </row>
    <row r="614" spans="1:14" x14ac:dyDescent="0.2">
      <c r="A614" s="244" t="s">
        <v>32</v>
      </c>
      <c r="B614" s="311">
        <f>SUM(B604:B612)</f>
        <v>2.409000000001392</v>
      </c>
      <c r="C614" s="311">
        <f t="shared" ref="C614:D614" si="229">SUM(C604:C612)</f>
        <v>3.506000000033672</v>
      </c>
      <c r="D614" s="311">
        <f t="shared" si="229"/>
        <v>5.9150000000350627</v>
      </c>
      <c r="E614" s="311"/>
      <c r="F614" s="311">
        <f t="shared" ref="F614:H614" si="230">SUM(F604:F612)</f>
        <v>1.4639999999863902</v>
      </c>
      <c r="G614" s="311">
        <f t="shared" si="230"/>
        <v>3.3459999999963417</v>
      </c>
      <c r="H614" s="311">
        <f t="shared" si="230"/>
        <v>4.8099999999827316</v>
      </c>
      <c r="I614" s="311"/>
      <c r="J614" s="311">
        <f t="shared" ref="J614:L614" si="231">SUM(J604:J612)</f>
        <v>1.1669999999936913</v>
      </c>
      <c r="K614" s="311">
        <f t="shared" si="231"/>
        <v>2.6430000000157841</v>
      </c>
      <c r="L614" s="311">
        <f t="shared" si="231"/>
        <v>3.8100000000094756</v>
      </c>
      <c r="M614" s="236"/>
      <c r="N614" s="236"/>
    </row>
    <row r="615" spans="1:14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  <c r="N615" s="236"/>
    </row>
    <row r="616" spans="1:14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56" t="s">
        <v>35</v>
      </c>
      <c r="M616" s="236"/>
      <c r="N616" s="236"/>
    </row>
    <row r="617" spans="1:14" x14ac:dyDescent="0.2">
      <c r="A617" s="242"/>
      <c r="B617" s="250"/>
      <c r="C617" s="250"/>
      <c r="D617" s="250"/>
      <c r="E617" s="250"/>
      <c r="F617" s="250"/>
      <c r="G617" s="250"/>
      <c r="H617" s="250"/>
      <c r="I617" s="250"/>
      <c r="J617" s="250"/>
      <c r="K617" s="250"/>
      <c r="L617" s="236"/>
      <c r="M617" s="236"/>
      <c r="N617" s="236"/>
    </row>
    <row r="618" spans="1:14" x14ac:dyDescent="0.2">
      <c r="A618" s="241" t="str">
        <f>name!A39</f>
        <v>Air transport</v>
      </c>
      <c r="B618" s="372">
        <f>B$6</f>
        <v>2015</v>
      </c>
      <c r="C618" s="372"/>
      <c r="D618" s="372"/>
      <c r="E618" s="253"/>
      <c r="F618" s="372">
        <f>F601</f>
        <v>2020</v>
      </c>
      <c r="G618" s="372"/>
      <c r="H618" s="372"/>
      <c r="I618" s="253"/>
      <c r="J618" s="372">
        <f>J601</f>
        <v>2035</v>
      </c>
      <c r="K618" s="372"/>
      <c r="L618" s="372"/>
      <c r="M618" s="236"/>
      <c r="N618" s="236"/>
    </row>
    <row r="619" spans="1:14" x14ac:dyDescent="0.2">
      <c r="A619" s="254"/>
      <c r="B619" s="255" t="s">
        <v>352</v>
      </c>
      <c r="C619" s="255" t="s">
        <v>353</v>
      </c>
      <c r="D619" s="255" t="s">
        <v>32</v>
      </c>
      <c r="E619" s="255"/>
      <c r="F619" s="255" t="s">
        <v>352</v>
      </c>
      <c r="G619" s="255" t="s">
        <v>353</v>
      </c>
      <c r="H619" s="255" t="s">
        <v>32</v>
      </c>
      <c r="I619" s="255"/>
      <c r="J619" s="255" t="s">
        <v>352</v>
      </c>
      <c r="K619" s="255" t="s">
        <v>353</v>
      </c>
      <c r="L619" s="255" t="s">
        <v>32</v>
      </c>
      <c r="M619" s="236"/>
      <c r="N619" s="236"/>
    </row>
    <row r="620" spans="1:14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  <c r="N620" s="236"/>
    </row>
    <row r="621" spans="1:14" x14ac:dyDescent="0.2">
      <c r="A621" s="237" t="str">
        <f>name!E$4</f>
        <v>Managers, directors and senior officials</v>
      </c>
      <c r="B621" s="302">
        <v>0.56028809076284469</v>
      </c>
      <c r="C621" s="302">
        <v>1.6121026904837958</v>
      </c>
      <c r="D621" s="302">
        <f>SUM(B621:C621)</f>
        <v>2.1723907812466408</v>
      </c>
      <c r="E621" s="303"/>
      <c r="F621" s="302">
        <v>0.69315313484548968</v>
      </c>
      <c r="G621" s="302">
        <v>1.9651440843772379</v>
      </c>
      <c r="H621" s="302">
        <f>SUM(F621:G621)</f>
        <v>2.6582972192227277</v>
      </c>
      <c r="I621" s="303"/>
      <c r="J621" s="302">
        <v>0.71719927196267974</v>
      </c>
      <c r="K621" s="302">
        <v>1.6608938024760063</v>
      </c>
      <c r="L621" s="302">
        <f>SUM(J621:K621)</f>
        <v>2.3780930744386861</v>
      </c>
      <c r="M621" s="236"/>
      <c r="N621" s="236"/>
    </row>
    <row r="622" spans="1:14" x14ac:dyDescent="0.2">
      <c r="A622" s="237" t="str">
        <f>name!E$5</f>
        <v>Professional occupations</v>
      </c>
      <c r="B622" s="302">
        <v>1.8051146554806605</v>
      </c>
      <c r="C622" s="302">
        <v>2.8804021453211774</v>
      </c>
      <c r="D622" s="302">
        <f t="shared" ref="D622:D629" si="232">SUM(B622:C622)</f>
        <v>4.685516800801838</v>
      </c>
      <c r="E622" s="303"/>
      <c r="F622" s="302">
        <v>2.3962621557584707</v>
      </c>
      <c r="G622" s="302">
        <v>3.7957769912861314</v>
      </c>
      <c r="H622" s="302">
        <f t="shared" ref="H622:H629" si="233">SUM(F622:G622)</f>
        <v>6.1920391470446017</v>
      </c>
      <c r="I622" s="303"/>
      <c r="J622" s="302">
        <v>2.5019320483288898</v>
      </c>
      <c r="K622" s="302">
        <v>3.7787811984900821</v>
      </c>
      <c r="L622" s="302">
        <f t="shared" ref="L622:L629" si="234">SUM(J622:K622)</f>
        <v>6.2807132468189719</v>
      </c>
      <c r="M622" s="236"/>
      <c r="N622" s="236"/>
    </row>
    <row r="623" spans="1:14" x14ac:dyDescent="0.2">
      <c r="A623" s="237" t="str">
        <f>name!E$6</f>
        <v>Associate professional occupations</v>
      </c>
      <c r="B623" s="302">
        <v>2.3606037876421051</v>
      </c>
      <c r="C623" s="302">
        <v>6.2604885868485889</v>
      </c>
      <c r="D623" s="302">
        <f t="shared" si="232"/>
        <v>8.6210923744906935</v>
      </c>
      <c r="E623" s="303"/>
      <c r="F623" s="302">
        <v>2.7650765509156376</v>
      </c>
      <c r="G623" s="302">
        <v>6.4211332837210016</v>
      </c>
      <c r="H623" s="302">
        <f t="shared" si="233"/>
        <v>9.1862098346366388</v>
      </c>
      <c r="I623" s="303"/>
      <c r="J623" s="302">
        <v>2.755332727572755</v>
      </c>
      <c r="K623" s="302">
        <v>4.9078590274651006</v>
      </c>
      <c r="L623" s="302">
        <f t="shared" si="234"/>
        <v>7.6631917550378557</v>
      </c>
      <c r="M623" s="236"/>
      <c r="N623" s="236"/>
    </row>
    <row r="624" spans="1:14" x14ac:dyDescent="0.2">
      <c r="A624" s="237" t="str">
        <f>name!E$7</f>
        <v>Administrative and secretarial occupations</v>
      </c>
      <c r="B624" s="302">
        <v>1.9767233407250002</v>
      </c>
      <c r="C624" s="302">
        <v>1.0258736691489232</v>
      </c>
      <c r="D624" s="302">
        <f t="shared" si="232"/>
        <v>3.0025970098739236</v>
      </c>
      <c r="E624" s="303"/>
      <c r="F624" s="302">
        <v>1.8635312454932509</v>
      </c>
      <c r="G624" s="302">
        <v>1.1181438456504504</v>
      </c>
      <c r="H624" s="302">
        <f t="shared" si="233"/>
        <v>2.9816750911437016</v>
      </c>
      <c r="I624" s="303"/>
      <c r="J624" s="302">
        <v>1.3627522836374997</v>
      </c>
      <c r="K624" s="302">
        <v>1.0324034611571831</v>
      </c>
      <c r="L624" s="302">
        <f t="shared" si="234"/>
        <v>2.3951557447946827</v>
      </c>
      <c r="M624" s="236"/>
      <c r="N624" s="236"/>
    </row>
    <row r="625" spans="1:14" x14ac:dyDescent="0.2">
      <c r="A625" s="237" t="str">
        <f>name!E$8</f>
        <v>Skilled trades occupations</v>
      </c>
      <c r="B625" s="302">
        <v>0.12742284107583121</v>
      </c>
      <c r="C625" s="302">
        <v>2.1875836585701807</v>
      </c>
      <c r="D625" s="302">
        <f t="shared" si="232"/>
        <v>2.315006499646012</v>
      </c>
      <c r="E625" s="303"/>
      <c r="F625" s="302">
        <v>0.13670940587764041</v>
      </c>
      <c r="G625" s="302">
        <v>2.0212466051465521</v>
      </c>
      <c r="H625" s="302">
        <f t="shared" si="233"/>
        <v>2.1579560110241927</v>
      </c>
      <c r="I625" s="303"/>
      <c r="J625" s="302">
        <v>0.21504751723831983</v>
      </c>
      <c r="K625" s="302">
        <v>1.4446209304110429</v>
      </c>
      <c r="L625" s="302">
        <f t="shared" si="234"/>
        <v>1.6596684476493628</v>
      </c>
      <c r="M625" s="236"/>
      <c r="N625" s="236"/>
    </row>
    <row r="626" spans="1:14" x14ac:dyDescent="0.2">
      <c r="A626" s="237" t="str">
        <f>name!E$9</f>
        <v>Caring, leisure and other service occupations</v>
      </c>
      <c r="B626" s="302">
        <v>10.565335209746468</v>
      </c>
      <c r="C626" s="302">
        <v>1.9790696022335299</v>
      </c>
      <c r="D626" s="302">
        <f t="shared" si="232"/>
        <v>12.544404811979998</v>
      </c>
      <c r="E626" s="303"/>
      <c r="F626" s="302">
        <v>8.1916845154933231</v>
      </c>
      <c r="G626" s="302">
        <v>1.4673770495254812</v>
      </c>
      <c r="H626" s="302">
        <f t="shared" si="233"/>
        <v>9.6590615650188045</v>
      </c>
      <c r="I626" s="303"/>
      <c r="J626" s="302">
        <v>7.0541624623944337</v>
      </c>
      <c r="K626" s="302">
        <v>1.2440705674561738</v>
      </c>
      <c r="L626" s="302">
        <f t="shared" si="234"/>
        <v>8.2982330298506071</v>
      </c>
      <c r="M626" s="236"/>
      <c r="N626" s="236"/>
    </row>
    <row r="627" spans="1:14" x14ac:dyDescent="0.2">
      <c r="A627" s="237" t="str">
        <f>name!E$10</f>
        <v>Sales and customer service occupations</v>
      </c>
      <c r="B627" s="302">
        <v>1.0180259131885225</v>
      </c>
      <c r="C627" s="302">
        <v>0.72796087533228837</v>
      </c>
      <c r="D627" s="302">
        <f t="shared" si="232"/>
        <v>1.7459867885208109</v>
      </c>
      <c r="E627" s="303"/>
      <c r="F627" s="302">
        <v>1.0465650821426338</v>
      </c>
      <c r="G627" s="302">
        <v>0.58921094066739421</v>
      </c>
      <c r="H627" s="302">
        <f t="shared" si="233"/>
        <v>1.635776022810028</v>
      </c>
      <c r="I627" s="303"/>
      <c r="J627" s="302">
        <v>1.1480971084625664</v>
      </c>
      <c r="K627" s="302">
        <v>0.64939328934790663</v>
      </c>
      <c r="L627" s="302">
        <f t="shared" si="234"/>
        <v>1.797490397810473</v>
      </c>
      <c r="M627" s="236"/>
      <c r="N627" s="236"/>
    </row>
    <row r="628" spans="1:14" x14ac:dyDescent="0.2">
      <c r="A628" s="237" t="str">
        <f>name!E$11</f>
        <v>Process, plant and machine operatives</v>
      </c>
      <c r="B628" s="302">
        <v>0.57608146792577808</v>
      </c>
      <c r="C628" s="302">
        <v>2.1608882229346467</v>
      </c>
      <c r="D628" s="302">
        <f t="shared" si="232"/>
        <v>2.7369696908604246</v>
      </c>
      <c r="E628" s="303"/>
      <c r="F628" s="302">
        <v>0.43541170966365145</v>
      </c>
      <c r="G628" s="302">
        <v>1.7906444109224806</v>
      </c>
      <c r="H628" s="302">
        <f t="shared" si="233"/>
        <v>2.226056120586132</v>
      </c>
      <c r="I628" s="303"/>
      <c r="J628" s="302">
        <v>0.52753577500138304</v>
      </c>
      <c r="K628" s="302">
        <v>1.3292753095443448</v>
      </c>
      <c r="L628" s="302">
        <f t="shared" si="234"/>
        <v>1.8568110845457277</v>
      </c>
      <c r="M628" s="236"/>
      <c r="N628" s="236"/>
    </row>
    <row r="629" spans="1:14" x14ac:dyDescent="0.2">
      <c r="A629" s="237" t="str">
        <f>name!E$12</f>
        <v>Elementary occupations</v>
      </c>
      <c r="B629" s="302">
        <v>0.66940469368434563</v>
      </c>
      <c r="C629" s="302">
        <v>0.96863054936785431</v>
      </c>
      <c r="D629" s="302">
        <f t="shared" si="232"/>
        <v>1.6380352430522001</v>
      </c>
      <c r="E629" s="303"/>
      <c r="F629" s="302">
        <v>0.54360619970028934</v>
      </c>
      <c r="G629" s="302">
        <v>0.64332278855046621</v>
      </c>
      <c r="H629" s="302">
        <f t="shared" si="233"/>
        <v>1.1869289882507554</v>
      </c>
      <c r="I629" s="303"/>
      <c r="J629" s="302">
        <v>0.34294080528871973</v>
      </c>
      <c r="K629" s="302">
        <v>0.46470241355633146</v>
      </c>
      <c r="L629" s="302">
        <f t="shared" si="234"/>
        <v>0.80764321884505119</v>
      </c>
      <c r="M629" s="236"/>
      <c r="N629" s="236"/>
    </row>
    <row r="630" spans="1:14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  <c r="N630" s="236"/>
    </row>
    <row r="631" spans="1:14" x14ac:dyDescent="0.2">
      <c r="A631" s="244" t="s">
        <v>32</v>
      </c>
      <c r="B631" s="311">
        <f>SUM(B621:B629)</f>
        <v>19.659000000231558</v>
      </c>
      <c r="C631" s="311">
        <f t="shared" ref="C631:D631" si="235">SUM(C621:C629)</f>
        <v>19.803000000240988</v>
      </c>
      <c r="D631" s="311">
        <f t="shared" si="235"/>
        <v>39.46200000047255</v>
      </c>
      <c r="E631" s="311"/>
      <c r="F631" s="311">
        <f t="shared" ref="F631:H631" si="236">SUM(F621:F629)</f>
        <v>18.071999999890387</v>
      </c>
      <c r="G631" s="311">
        <f t="shared" si="236"/>
        <v>19.811999999847199</v>
      </c>
      <c r="H631" s="311">
        <f t="shared" si="236"/>
        <v>37.883999999737583</v>
      </c>
      <c r="I631" s="311"/>
      <c r="J631" s="311">
        <f t="shared" ref="J631:L631" si="237">SUM(J621:J629)</f>
        <v>16.624999999887248</v>
      </c>
      <c r="K631" s="311">
        <f t="shared" si="237"/>
        <v>16.51199999990417</v>
      </c>
      <c r="L631" s="311">
        <f t="shared" si="237"/>
        <v>33.136999999791421</v>
      </c>
      <c r="M631" s="236"/>
      <c r="N631" s="236"/>
    </row>
    <row r="632" spans="1:14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  <c r="N632" s="236"/>
    </row>
    <row r="633" spans="1:14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56" t="s">
        <v>35</v>
      </c>
      <c r="M633" s="236"/>
      <c r="N633" s="236"/>
    </row>
    <row r="634" spans="1:14" x14ac:dyDescent="0.2">
      <c r="A634" s="242"/>
      <c r="B634" s="250"/>
      <c r="C634" s="250"/>
      <c r="D634" s="250"/>
      <c r="E634" s="250"/>
      <c r="F634" s="250"/>
      <c r="G634" s="250"/>
      <c r="H634" s="250"/>
      <c r="I634" s="250"/>
      <c r="J634" s="250"/>
      <c r="K634" s="250"/>
      <c r="L634" s="236"/>
      <c r="M634" s="236"/>
      <c r="N634" s="236"/>
    </row>
    <row r="635" spans="1:14" x14ac:dyDescent="0.2">
      <c r="A635" s="241" t="str">
        <f>name!A40</f>
        <v>Warehousing, etc</v>
      </c>
      <c r="B635" s="372">
        <f>B$6</f>
        <v>2015</v>
      </c>
      <c r="C635" s="372"/>
      <c r="D635" s="372"/>
      <c r="E635" s="253"/>
      <c r="F635" s="372">
        <f>F618</f>
        <v>2020</v>
      </c>
      <c r="G635" s="372"/>
      <c r="H635" s="372"/>
      <c r="I635" s="253"/>
      <c r="J635" s="372">
        <f>J618</f>
        <v>2035</v>
      </c>
      <c r="K635" s="372"/>
      <c r="L635" s="372"/>
      <c r="M635" s="236"/>
      <c r="N635" s="236"/>
    </row>
    <row r="636" spans="1:14" x14ac:dyDescent="0.2">
      <c r="A636" s="254"/>
      <c r="B636" s="255" t="s">
        <v>352</v>
      </c>
      <c r="C636" s="255" t="s">
        <v>353</v>
      </c>
      <c r="D636" s="255" t="s">
        <v>32</v>
      </c>
      <c r="E636" s="255"/>
      <c r="F636" s="255" t="s">
        <v>352</v>
      </c>
      <c r="G636" s="255" t="s">
        <v>353</v>
      </c>
      <c r="H636" s="255" t="s">
        <v>32</v>
      </c>
      <c r="I636" s="255"/>
      <c r="J636" s="255" t="s">
        <v>352</v>
      </c>
      <c r="K636" s="255" t="s">
        <v>353</v>
      </c>
      <c r="L636" s="255" t="s">
        <v>32</v>
      </c>
      <c r="M636" s="236"/>
      <c r="N636" s="236"/>
    </row>
    <row r="637" spans="1:14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  <c r="N637" s="236"/>
    </row>
    <row r="638" spans="1:14" x14ac:dyDescent="0.2">
      <c r="A638" s="237" t="str">
        <f>name!E$4</f>
        <v>Managers, directors and senior officials</v>
      </c>
      <c r="B638" s="302">
        <v>0.64276787133490554</v>
      </c>
      <c r="C638" s="302">
        <v>7.7287375065333226</v>
      </c>
      <c r="D638" s="302">
        <f>SUM(B638:C638)</f>
        <v>8.3715053778682282</v>
      </c>
      <c r="E638" s="303"/>
      <c r="F638" s="302">
        <v>0.99202503079546933</v>
      </c>
      <c r="G638" s="302">
        <v>9.5551393680037471</v>
      </c>
      <c r="H638" s="302">
        <f>SUM(F638:G638)</f>
        <v>10.547164398799216</v>
      </c>
      <c r="I638" s="303"/>
      <c r="J638" s="302">
        <v>1.2140216249074782</v>
      </c>
      <c r="K638" s="302">
        <v>9.26063886937769</v>
      </c>
      <c r="L638" s="302">
        <f>SUM(J638:K638)</f>
        <v>10.474660494285168</v>
      </c>
      <c r="M638" s="236"/>
      <c r="N638" s="236"/>
    </row>
    <row r="639" spans="1:14" x14ac:dyDescent="0.2">
      <c r="A639" s="237" t="str">
        <f>name!E$5</f>
        <v>Professional occupations</v>
      </c>
      <c r="B639" s="302">
        <v>0.8915416699879064</v>
      </c>
      <c r="C639" s="302">
        <v>5.3426645213498958</v>
      </c>
      <c r="D639" s="302">
        <f t="shared" ref="D639:D646" si="238">SUM(B639:C639)</f>
        <v>6.234206191337802</v>
      </c>
      <c r="E639" s="303"/>
      <c r="F639" s="302">
        <v>1.6540635653396121</v>
      </c>
      <c r="G639" s="302">
        <v>7.5709000819663999</v>
      </c>
      <c r="H639" s="302">
        <f t="shared" ref="H639:H646" si="239">SUM(F639:G639)</f>
        <v>9.2249636473060121</v>
      </c>
      <c r="I639" s="303"/>
      <c r="J639" s="302">
        <v>2.4880664725325015</v>
      </c>
      <c r="K639" s="302">
        <v>9.5331090054127188</v>
      </c>
      <c r="L639" s="302">
        <f t="shared" ref="L639:L646" si="240">SUM(J639:K639)</f>
        <v>12.021175477945221</v>
      </c>
      <c r="M639" s="236"/>
      <c r="N639" s="236"/>
    </row>
    <row r="640" spans="1:14" x14ac:dyDescent="0.2">
      <c r="A640" s="237" t="str">
        <f>name!E$6</f>
        <v>Associate professional occupations</v>
      </c>
      <c r="B640" s="302">
        <v>0.7945710850742822</v>
      </c>
      <c r="C640" s="302">
        <v>5.3838582489712614</v>
      </c>
      <c r="D640" s="302">
        <f t="shared" si="238"/>
        <v>6.1784293340455436</v>
      </c>
      <c r="E640" s="303"/>
      <c r="F640" s="302">
        <v>1.2236544670112981</v>
      </c>
      <c r="G640" s="302">
        <v>7.0191620603325298</v>
      </c>
      <c r="H640" s="302">
        <f t="shared" si="239"/>
        <v>8.2428165273438285</v>
      </c>
      <c r="I640" s="303"/>
      <c r="J640" s="302">
        <v>1.6010308762895997</v>
      </c>
      <c r="K640" s="302">
        <v>7.103597818281008</v>
      </c>
      <c r="L640" s="302">
        <f t="shared" si="240"/>
        <v>8.7046286945706086</v>
      </c>
      <c r="M640" s="236"/>
      <c r="N640" s="236"/>
    </row>
    <row r="641" spans="1:14" x14ac:dyDescent="0.2">
      <c r="A641" s="237" t="str">
        <f>name!E$7</f>
        <v>Administrative and secretarial occupations</v>
      </c>
      <c r="B641" s="302">
        <v>2.3286640820547517</v>
      </c>
      <c r="C641" s="302">
        <v>3.8665993885618311</v>
      </c>
      <c r="D641" s="302">
        <f t="shared" si="238"/>
        <v>6.1952634706165828</v>
      </c>
      <c r="E641" s="303"/>
      <c r="F641" s="302">
        <v>2.7260081106944072</v>
      </c>
      <c r="G641" s="302">
        <v>4.9869654128936105</v>
      </c>
      <c r="H641" s="302">
        <f t="shared" si="239"/>
        <v>7.7129735235880172</v>
      </c>
      <c r="I641" s="303"/>
      <c r="J641" s="302">
        <v>1.9642736426068157</v>
      </c>
      <c r="K641" s="302">
        <v>4.8799152329391884</v>
      </c>
      <c r="L641" s="302">
        <f t="shared" si="240"/>
        <v>6.8441888755460045</v>
      </c>
      <c r="M641" s="236"/>
      <c r="N641" s="236"/>
    </row>
    <row r="642" spans="1:14" x14ac:dyDescent="0.2">
      <c r="A642" s="237" t="str">
        <f>name!E$8</f>
        <v>Skilled trades occupations</v>
      </c>
      <c r="B642" s="302">
        <v>7.195455879199264E-2</v>
      </c>
      <c r="C642" s="302">
        <v>2.1941526736355583</v>
      </c>
      <c r="D642" s="302">
        <f t="shared" si="238"/>
        <v>2.2661072324275509</v>
      </c>
      <c r="E642" s="303"/>
      <c r="F642" s="302">
        <v>0.11294370936059657</v>
      </c>
      <c r="G642" s="302">
        <v>2.0654096147171717</v>
      </c>
      <c r="H642" s="302">
        <f t="shared" si="239"/>
        <v>2.1783533240777682</v>
      </c>
      <c r="I642" s="303"/>
      <c r="J642" s="302">
        <v>0.37323540796559501</v>
      </c>
      <c r="K642" s="302">
        <v>2.0990379832390502</v>
      </c>
      <c r="L642" s="302">
        <f t="shared" si="240"/>
        <v>2.4722733912046451</v>
      </c>
      <c r="M642" s="236"/>
      <c r="N642" s="236"/>
    </row>
    <row r="643" spans="1:14" x14ac:dyDescent="0.2">
      <c r="A643" s="237" t="str">
        <f>name!E$9</f>
        <v>Caring, leisure and other service occupations</v>
      </c>
      <c r="B643" s="302">
        <v>4.2073043046453265</v>
      </c>
      <c r="C643" s="302">
        <v>3.8678878671205652</v>
      </c>
      <c r="D643" s="302">
        <f t="shared" si="238"/>
        <v>8.0751921717658917</v>
      </c>
      <c r="E643" s="303"/>
      <c r="F643" s="302">
        <v>4.5572085871725543</v>
      </c>
      <c r="G643" s="302">
        <v>4.863749794388462</v>
      </c>
      <c r="H643" s="302">
        <f t="shared" si="239"/>
        <v>9.4209583815610163</v>
      </c>
      <c r="I643" s="303"/>
      <c r="J643" s="302">
        <v>4.4686848666331835</v>
      </c>
      <c r="K643" s="302">
        <v>5.2187341717917137</v>
      </c>
      <c r="L643" s="302">
        <f t="shared" si="240"/>
        <v>9.6874190384248973</v>
      </c>
      <c r="M643" s="236"/>
      <c r="N643" s="236"/>
    </row>
    <row r="644" spans="1:14" x14ac:dyDescent="0.2">
      <c r="A644" s="237" t="str">
        <f>name!E$10</f>
        <v>Sales and customer service occupations</v>
      </c>
      <c r="B644" s="302">
        <v>0.80693216903906884</v>
      </c>
      <c r="C644" s="302">
        <v>2.3137173179646959</v>
      </c>
      <c r="D644" s="302">
        <f t="shared" si="238"/>
        <v>3.1206494870037647</v>
      </c>
      <c r="E644" s="303"/>
      <c r="F644" s="302">
        <v>0.92955159079205663</v>
      </c>
      <c r="G644" s="302">
        <v>2.614857612311829</v>
      </c>
      <c r="H644" s="302">
        <f t="shared" si="239"/>
        <v>3.5444092031038856</v>
      </c>
      <c r="I644" s="303"/>
      <c r="J644" s="302">
        <v>0.9173574712329553</v>
      </c>
      <c r="K644" s="302">
        <v>2.8894127994258616</v>
      </c>
      <c r="L644" s="302">
        <f t="shared" si="240"/>
        <v>3.8067702706588169</v>
      </c>
      <c r="M644" s="236"/>
      <c r="N644" s="236"/>
    </row>
    <row r="645" spans="1:14" x14ac:dyDescent="0.2">
      <c r="A645" s="237" t="str">
        <f>name!E$11</f>
        <v>Process, plant and machine operatives</v>
      </c>
      <c r="B645" s="302">
        <v>0.36412147613660917</v>
      </c>
      <c r="C645" s="302">
        <v>12.617634439040314</v>
      </c>
      <c r="D645" s="302">
        <f t="shared" si="238"/>
        <v>12.981755915176922</v>
      </c>
      <c r="E645" s="303"/>
      <c r="F645" s="302">
        <v>0.35408915862178242</v>
      </c>
      <c r="G645" s="302">
        <v>12.763620061854912</v>
      </c>
      <c r="H645" s="302">
        <f t="shared" si="239"/>
        <v>13.117709220476694</v>
      </c>
      <c r="I645" s="303"/>
      <c r="J645" s="302">
        <v>0.75995637601135746</v>
      </c>
      <c r="K645" s="302">
        <v>12.343448124220282</v>
      </c>
      <c r="L645" s="302">
        <f t="shared" si="240"/>
        <v>13.10340450023164</v>
      </c>
      <c r="M645" s="236"/>
      <c r="N645" s="236"/>
    </row>
    <row r="646" spans="1:14" x14ac:dyDescent="0.2">
      <c r="A646" s="237" t="str">
        <f>name!E$12</f>
        <v>Elementary occupations</v>
      </c>
      <c r="B646" s="302">
        <v>0.88314278303386817</v>
      </c>
      <c r="C646" s="302">
        <v>9.1467480380112356</v>
      </c>
      <c r="D646" s="302">
        <f t="shared" si="238"/>
        <v>10.029890821045104</v>
      </c>
      <c r="E646" s="303"/>
      <c r="F646" s="302">
        <v>1.0384557800852507</v>
      </c>
      <c r="G646" s="302">
        <v>8.2411959925862348</v>
      </c>
      <c r="H646" s="302">
        <f t="shared" si="239"/>
        <v>9.2796517726714853</v>
      </c>
      <c r="I646" s="303"/>
      <c r="J646" s="302">
        <v>0.99037326168915663</v>
      </c>
      <c r="K646" s="302">
        <v>4.8601059943996106</v>
      </c>
      <c r="L646" s="302">
        <f t="shared" si="240"/>
        <v>5.8504792560887671</v>
      </c>
      <c r="M646" s="236"/>
      <c r="N646" s="236"/>
    </row>
    <row r="647" spans="1:14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  <c r="N647" s="236"/>
    </row>
    <row r="648" spans="1:14" x14ac:dyDescent="0.2">
      <c r="A648" s="244" t="s">
        <v>32</v>
      </c>
      <c r="B648" s="311">
        <f>SUM(B638:B646)</f>
        <v>10.991000000098712</v>
      </c>
      <c r="C648" s="311">
        <f t="shared" ref="C648:D648" si="241">SUM(C638:C646)</f>
        <v>52.462000001188684</v>
      </c>
      <c r="D648" s="311">
        <f t="shared" si="241"/>
        <v>63.453000001287393</v>
      </c>
      <c r="E648" s="311"/>
      <c r="F648" s="311">
        <f t="shared" ref="F648:H648" si="242">SUM(F638:F646)</f>
        <v>13.587999999873029</v>
      </c>
      <c r="G648" s="311">
        <f t="shared" si="242"/>
        <v>59.680999999054897</v>
      </c>
      <c r="H648" s="311">
        <f t="shared" si="242"/>
        <v>73.268999998927924</v>
      </c>
      <c r="I648" s="311"/>
      <c r="J648" s="311">
        <f t="shared" ref="J648:L648" si="243">SUM(J638:J646)</f>
        <v>14.776999999868643</v>
      </c>
      <c r="K648" s="311">
        <f t="shared" si="243"/>
        <v>58.187999999087126</v>
      </c>
      <c r="L648" s="311">
        <f t="shared" si="243"/>
        <v>72.964999998955761</v>
      </c>
      <c r="M648" s="236"/>
      <c r="N648" s="236"/>
    </row>
    <row r="649" spans="1:14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  <c r="N649" s="236"/>
    </row>
    <row r="650" spans="1:14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56" t="s">
        <v>35</v>
      </c>
      <c r="M650" s="236"/>
      <c r="N650" s="236"/>
    </row>
    <row r="651" spans="1:14" x14ac:dyDescent="0.2">
      <c r="A651" s="242"/>
      <c r="B651" s="250"/>
      <c r="C651" s="250"/>
      <c r="D651" s="250"/>
      <c r="E651" s="250"/>
      <c r="F651" s="250"/>
      <c r="G651" s="250"/>
      <c r="H651" s="250"/>
      <c r="I651" s="250"/>
      <c r="J651" s="250"/>
      <c r="K651" s="250"/>
      <c r="L651" s="236"/>
      <c r="M651" s="236"/>
      <c r="N651" s="236"/>
    </row>
    <row r="652" spans="1:14" x14ac:dyDescent="0.2">
      <c r="A652" s="241" t="str">
        <f>name!A41</f>
        <v>Postal and courier</v>
      </c>
      <c r="B652" s="372">
        <f>B$6</f>
        <v>2015</v>
      </c>
      <c r="C652" s="372"/>
      <c r="D652" s="372"/>
      <c r="E652" s="253"/>
      <c r="F652" s="372">
        <f>F635</f>
        <v>2020</v>
      </c>
      <c r="G652" s="372"/>
      <c r="H652" s="372"/>
      <c r="I652" s="253"/>
      <c r="J652" s="372">
        <f>J635</f>
        <v>2035</v>
      </c>
      <c r="K652" s="372"/>
      <c r="L652" s="372"/>
      <c r="M652" s="236"/>
      <c r="N652" s="236"/>
    </row>
    <row r="653" spans="1:14" x14ac:dyDescent="0.2">
      <c r="A653" s="254"/>
      <c r="B653" s="255" t="s">
        <v>352</v>
      </c>
      <c r="C653" s="255" t="s">
        <v>353</v>
      </c>
      <c r="D653" s="255" t="s">
        <v>32</v>
      </c>
      <c r="E653" s="255"/>
      <c r="F653" s="255" t="s">
        <v>352</v>
      </c>
      <c r="G653" s="255" t="s">
        <v>353</v>
      </c>
      <c r="H653" s="255" t="s">
        <v>32</v>
      </c>
      <c r="I653" s="255"/>
      <c r="J653" s="255" t="s">
        <v>352</v>
      </c>
      <c r="K653" s="255" t="s">
        <v>353</v>
      </c>
      <c r="L653" s="255" t="s">
        <v>32</v>
      </c>
      <c r="M653" s="236"/>
      <c r="N653" s="236"/>
    </row>
    <row r="654" spans="1:14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  <c r="N654" s="236"/>
    </row>
    <row r="655" spans="1:14" x14ac:dyDescent="0.2">
      <c r="A655" s="237" t="str">
        <f>name!E$4</f>
        <v>Managers, directors and senior officials</v>
      </c>
      <c r="B655" s="302">
        <v>1.1018151256735951</v>
      </c>
      <c r="C655" s="302">
        <v>1.5217994248617044</v>
      </c>
      <c r="D655" s="302">
        <f>SUM(B655:C655)</f>
        <v>2.6236145505352995</v>
      </c>
      <c r="E655" s="303"/>
      <c r="F655" s="302">
        <v>1.9316950245389821</v>
      </c>
      <c r="G655" s="302">
        <v>2.6526039233534537</v>
      </c>
      <c r="H655" s="302">
        <f>SUM(F655:G655)</f>
        <v>4.5842989478924361</v>
      </c>
      <c r="I655" s="303"/>
      <c r="J655" s="302">
        <v>2.4237773695737812</v>
      </c>
      <c r="K655" s="302">
        <v>2.5071913994321489</v>
      </c>
      <c r="L655" s="302">
        <f>SUM(J655:K655)</f>
        <v>4.9309687690059301</v>
      </c>
      <c r="M655" s="236"/>
      <c r="N655" s="236"/>
    </row>
    <row r="656" spans="1:14" x14ac:dyDescent="0.2">
      <c r="A656" s="237" t="str">
        <f>name!E$5</f>
        <v>Professional occupations</v>
      </c>
      <c r="B656" s="302">
        <v>0.95349672472736158</v>
      </c>
      <c r="C656" s="302">
        <v>0.78108810358923575</v>
      </c>
      <c r="D656" s="302">
        <f t="shared" ref="D656:D663" si="244">SUM(B656:C656)</f>
        <v>1.7345848283165974</v>
      </c>
      <c r="E656" s="303"/>
      <c r="F656" s="302">
        <v>1.8184742829221721</v>
      </c>
      <c r="G656" s="302">
        <v>1.5083905316742221</v>
      </c>
      <c r="H656" s="302">
        <f t="shared" ref="H656:H663" si="245">SUM(F656:G656)</f>
        <v>3.3268648145963944</v>
      </c>
      <c r="I656" s="303"/>
      <c r="J656" s="302">
        <v>2.2698242625971887</v>
      </c>
      <c r="K656" s="302">
        <v>1.7274940233505687</v>
      </c>
      <c r="L656" s="302">
        <f t="shared" ref="L656:L663" si="246">SUM(J656:K656)</f>
        <v>3.9973182859477574</v>
      </c>
      <c r="M656" s="236"/>
      <c r="N656" s="236"/>
    </row>
    <row r="657" spans="1:14" x14ac:dyDescent="0.2">
      <c r="A657" s="237" t="str">
        <f>name!E$6</f>
        <v>Associate professional occupations</v>
      </c>
      <c r="B657" s="302">
        <v>0.87364862963579071</v>
      </c>
      <c r="C657" s="302">
        <v>1.0921553416676382</v>
      </c>
      <c r="D657" s="302">
        <f t="shared" si="244"/>
        <v>1.965803971303429</v>
      </c>
      <c r="E657" s="303"/>
      <c r="F657" s="302">
        <v>1.4368115966056758</v>
      </c>
      <c r="G657" s="302">
        <v>1.9224126383834816</v>
      </c>
      <c r="H657" s="302">
        <f t="shared" si="245"/>
        <v>3.3592242349891572</v>
      </c>
      <c r="I657" s="303"/>
      <c r="J657" s="302">
        <v>1.6459764631403819</v>
      </c>
      <c r="K657" s="302">
        <v>1.9457013972655754</v>
      </c>
      <c r="L657" s="302">
        <f t="shared" si="246"/>
        <v>3.5916778604059574</v>
      </c>
      <c r="M657" s="236"/>
      <c r="N657" s="236"/>
    </row>
    <row r="658" spans="1:14" x14ac:dyDescent="0.2">
      <c r="A658" s="237" t="str">
        <f>name!E$7</f>
        <v>Administrative and secretarial occupations</v>
      </c>
      <c r="B658" s="302">
        <v>3.537942366047937</v>
      </c>
      <c r="C658" s="302">
        <v>0.85365509878249057</v>
      </c>
      <c r="D658" s="302">
        <f t="shared" si="244"/>
        <v>4.3915974648304275</v>
      </c>
      <c r="E658" s="303"/>
      <c r="F658" s="302">
        <v>4.7416567141713299</v>
      </c>
      <c r="G658" s="302">
        <v>1.501558524407367</v>
      </c>
      <c r="H658" s="302">
        <f t="shared" si="245"/>
        <v>6.2432152385786974</v>
      </c>
      <c r="I658" s="303"/>
      <c r="J658" s="302">
        <v>4.359000798539781</v>
      </c>
      <c r="K658" s="302">
        <v>1.4765453623207505</v>
      </c>
      <c r="L658" s="302">
        <f t="shared" si="246"/>
        <v>5.835546160860531</v>
      </c>
      <c r="M658" s="236"/>
      <c r="N658" s="236"/>
    </row>
    <row r="659" spans="1:14" x14ac:dyDescent="0.2">
      <c r="A659" s="237" t="str">
        <f>name!E$8</f>
        <v>Skilled trades occupations</v>
      </c>
      <c r="B659" s="302">
        <v>9.4223601008121133E-2</v>
      </c>
      <c r="C659" s="302">
        <v>1.3116479275023922</v>
      </c>
      <c r="D659" s="302">
        <f t="shared" si="244"/>
        <v>1.4058715285105134</v>
      </c>
      <c r="E659" s="303"/>
      <c r="F659" s="302">
        <v>0.13361055397364424</v>
      </c>
      <c r="G659" s="302">
        <v>1.4293748957650942</v>
      </c>
      <c r="H659" s="302">
        <f t="shared" si="245"/>
        <v>1.5629854497387385</v>
      </c>
      <c r="I659" s="303"/>
      <c r="J659" s="302">
        <v>0.28041542342899345</v>
      </c>
      <c r="K659" s="302">
        <v>1.1995077462854256</v>
      </c>
      <c r="L659" s="302">
        <f t="shared" si="246"/>
        <v>1.4799231697144191</v>
      </c>
      <c r="M659" s="236"/>
      <c r="N659" s="236"/>
    </row>
    <row r="660" spans="1:14" x14ac:dyDescent="0.2">
      <c r="A660" s="237" t="str">
        <f>name!E$9</f>
        <v>Caring, leisure and other service occupations</v>
      </c>
      <c r="B660" s="302">
        <v>0.43353871896732871</v>
      </c>
      <c r="C660" s="302">
        <v>0.70475846135723397</v>
      </c>
      <c r="D660" s="302">
        <f t="shared" si="244"/>
        <v>1.1382971803245627</v>
      </c>
      <c r="E660" s="303"/>
      <c r="F660" s="302">
        <v>0.51068644474578262</v>
      </c>
      <c r="G660" s="302">
        <v>1.1688367549580603</v>
      </c>
      <c r="H660" s="302">
        <f t="shared" si="245"/>
        <v>1.6795231997038429</v>
      </c>
      <c r="I660" s="303"/>
      <c r="J660" s="302">
        <v>0.57367844940659918</v>
      </c>
      <c r="K660" s="302">
        <v>1.5123131873901137</v>
      </c>
      <c r="L660" s="302">
        <f t="shared" si="246"/>
        <v>2.0859916367967131</v>
      </c>
      <c r="M660" s="236"/>
      <c r="N660" s="236"/>
    </row>
    <row r="661" spans="1:14" x14ac:dyDescent="0.2">
      <c r="A661" s="237" t="str">
        <f>name!E$10</f>
        <v>Sales and customer service occupations</v>
      </c>
      <c r="B661" s="302">
        <v>1.1013407057655227</v>
      </c>
      <c r="C661" s="302">
        <v>0.56123701047999497</v>
      </c>
      <c r="D661" s="302">
        <f t="shared" si="244"/>
        <v>1.6625777162455178</v>
      </c>
      <c r="E661" s="303"/>
      <c r="F661" s="302">
        <v>1.4780515059149788</v>
      </c>
      <c r="G661" s="302">
        <v>0.85976703070793203</v>
      </c>
      <c r="H661" s="302">
        <f t="shared" si="245"/>
        <v>2.3378185366229109</v>
      </c>
      <c r="I661" s="303"/>
      <c r="J661" s="302">
        <v>1.6778914837636818</v>
      </c>
      <c r="K661" s="302">
        <v>1.0605604350245421</v>
      </c>
      <c r="L661" s="302">
        <f t="shared" si="246"/>
        <v>2.7384519187882237</v>
      </c>
      <c r="M661" s="236"/>
      <c r="N661" s="236"/>
    </row>
    <row r="662" spans="1:14" x14ac:dyDescent="0.2">
      <c r="A662" s="237" t="str">
        <f>name!E$11</f>
        <v>Process, plant and machine operatives</v>
      </c>
      <c r="B662" s="302">
        <v>0.29202988264393082</v>
      </c>
      <c r="C662" s="302">
        <v>4.3326102322081566</v>
      </c>
      <c r="D662" s="302">
        <f t="shared" si="244"/>
        <v>4.6246401148520873</v>
      </c>
      <c r="E662" s="303"/>
      <c r="F662" s="302">
        <v>0.3283755678804266</v>
      </c>
      <c r="G662" s="302">
        <v>6.0462954889991964</v>
      </c>
      <c r="H662" s="302">
        <f t="shared" si="245"/>
        <v>6.374671056879623</v>
      </c>
      <c r="I662" s="303"/>
      <c r="J662" s="302">
        <v>0.5503566432482091</v>
      </c>
      <c r="K662" s="302">
        <v>5.7201893540469033</v>
      </c>
      <c r="L662" s="302">
        <f t="shared" si="246"/>
        <v>6.2705459972951125</v>
      </c>
      <c r="M662" s="236"/>
      <c r="N662" s="236"/>
    </row>
    <row r="663" spans="1:14" x14ac:dyDescent="0.2">
      <c r="A663" s="237" t="str">
        <f>name!E$12</f>
        <v>Elementary occupations</v>
      </c>
      <c r="B663" s="302">
        <v>4.7189642457527858</v>
      </c>
      <c r="C663" s="302">
        <v>10.997048400306594</v>
      </c>
      <c r="D663" s="302">
        <f t="shared" si="244"/>
        <v>15.716012646059379</v>
      </c>
      <c r="E663" s="303"/>
      <c r="F663" s="302">
        <v>5.6896383089613636</v>
      </c>
      <c r="G663" s="302">
        <v>14.734760210951528</v>
      </c>
      <c r="H663" s="302">
        <f t="shared" si="245"/>
        <v>20.424398519912891</v>
      </c>
      <c r="I663" s="303"/>
      <c r="J663" s="302">
        <v>5.4870791060425628</v>
      </c>
      <c r="K663" s="302">
        <v>13.811497093696321</v>
      </c>
      <c r="L663" s="302">
        <f t="shared" si="246"/>
        <v>19.298576199738882</v>
      </c>
      <c r="M663" s="236"/>
      <c r="N663" s="236"/>
    </row>
    <row r="664" spans="1:14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  <c r="N664" s="236"/>
    </row>
    <row r="665" spans="1:14" x14ac:dyDescent="0.2">
      <c r="A665" s="244" t="s">
        <v>32</v>
      </c>
      <c r="B665" s="311">
        <f>SUM(B655:B663)</f>
        <v>13.107000000222374</v>
      </c>
      <c r="C665" s="311">
        <f t="shared" ref="C665:D665" si="247">SUM(C655:C663)</f>
        <v>22.156000000755441</v>
      </c>
      <c r="D665" s="311">
        <f t="shared" si="247"/>
        <v>35.263000000977812</v>
      </c>
      <c r="E665" s="311"/>
      <c r="F665" s="311">
        <f t="shared" ref="F665:H665" si="248">SUM(F655:F663)</f>
        <v>18.068999999714357</v>
      </c>
      <c r="G665" s="311">
        <f t="shared" si="248"/>
        <v>31.823999999200336</v>
      </c>
      <c r="H665" s="311">
        <f t="shared" si="248"/>
        <v>49.892999998914696</v>
      </c>
      <c r="I665" s="311"/>
      <c r="J665" s="311">
        <f t="shared" ref="J665:L665" si="249">SUM(J655:J663)</f>
        <v>19.267999999741178</v>
      </c>
      <c r="K665" s="311">
        <f t="shared" si="249"/>
        <v>30.960999998812348</v>
      </c>
      <c r="L665" s="311">
        <f t="shared" si="249"/>
        <v>50.228999998553519</v>
      </c>
      <c r="M665" s="236"/>
      <c r="N665" s="236"/>
    </row>
    <row r="666" spans="1:14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  <c r="N666" s="236"/>
    </row>
    <row r="667" spans="1:14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56" t="s">
        <v>35</v>
      </c>
      <c r="M667" s="236"/>
      <c r="N667" s="236"/>
    </row>
    <row r="668" spans="1:14" x14ac:dyDescent="0.2">
      <c r="A668" s="242"/>
      <c r="B668" s="250"/>
      <c r="C668" s="250"/>
      <c r="D668" s="250"/>
      <c r="E668" s="250"/>
      <c r="F668" s="250"/>
      <c r="G668" s="250"/>
      <c r="H668" s="250"/>
      <c r="I668" s="250"/>
      <c r="J668" s="250"/>
      <c r="K668" s="250"/>
      <c r="L668" s="236"/>
      <c r="M668" s="236"/>
      <c r="N668" s="236"/>
    </row>
    <row r="669" spans="1:14" x14ac:dyDescent="0.2">
      <c r="A669" s="241" t="str">
        <f>name!A42</f>
        <v>Accommodation</v>
      </c>
      <c r="B669" s="372">
        <f>B$6</f>
        <v>2015</v>
      </c>
      <c r="C669" s="372"/>
      <c r="D669" s="372"/>
      <c r="E669" s="253"/>
      <c r="F669" s="372">
        <f>F652</f>
        <v>2020</v>
      </c>
      <c r="G669" s="372"/>
      <c r="H669" s="372"/>
      <c r="I669" s="253"/>
      <c r="J669" s="372">
        <f>J652</f>
        <v>2035</v>
      </c>
      <c r="K669" s="372"/>
      <c r="L669" s="372"/>
      <c r="M669" s="236"/>
      <c r="N669" s="236"/>
    </row>
    <row r="670" spans="1:14" x14ac:dyDescent="0.2">
      <c r="A670" s="254"/>
      <c r="B670" s="255" t="s">
        <v>352</v>
      </c>
      <c r="C670" s="255" t="s">
        <v>353</v>
      </c>
      <c r="D670" s="255" t="s">
        <v>32</v>
      </c>
      <c r="E670" s="255"/>
      <c r="F670" s="255" t="s">
        <v>352</v>
      </c>
      <c r="G670" s="255" t="s">
        <v>353</v>
      </c>
      <c r="H670" s="255" t="s">
        <v>32</v>
      </c>
      <c r="I670" s="255"/>
      <c r="J670" s="255" t="s">
        <v>352</v>
      </c>
      <c r="K670" s="255" t="s">
        <v>353</v>
      </c>
      <c r="L670" s="255" t="s">
        <v>32</v>
      </c>
      <c r="M670" s="236"/>
      <c r="N670" s="236"/>
    </row>
    <row r="671" spans="1:14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  <c r="N671" s="236"/>
    </row>
    <row r="672" spans="1:14" x14ac:dyDescent="0.2">
      <c r="A672" s="237" t="str">
        <f>name!E$4</f>
        <v>Managers, directors and senior officials</v>
      </c>
      <c r="B672" s="302">
        <v>2.6183833679353268</v>
      </c>
      <c r="C672" s="302">
        <v>3.2931392285205892</v>
      </c>
      <c r="D672" s="302">
        <f>SUM(B672:C672)</f>
        <v>5.9115225964559155</v>
      </c>
      <c r="E672" s="303"/>
      <c r="F672" s="302">
        <v>3.9350541869917204</v>
      </c>
      <c r="G672" s="302">
        <v>4.8193416799750128</v>
      </c>
      <c r="H672" s="302">
        <f>SUM(F672:G672)</f>
        <v>8.7543958669667337</v>
      </c>
      <c r="I672" s="303"/>
      <c r="J672" s="302">
        <v>5.6792580880924524</v>
      </c>
      <c r="K672" s="302">
        <v>7.0670885521759139</v>
      </c>
      <c r="L672" s="302">
        <f>SUM(J672:K672)</f>
        <v>12.746346640268367</v>
      </c>
      <c r="M672" s="236"/>
      <c r="N672" s="236"/>
    </row>
    <row r="673" spans="1:14" x14ac:dyDescent="0.2">
      <c r="A673" s="237" t="str">
        <f>name!E$5</f>
        <v>Professional occupations</v>
      </c>
      <c r="B673" s="302">
        <v>1.1313574373307136</v>
      </c>
      <c r="C673" s="302">
        <v>0.7287298730315358</v>
      </c>
      <c r="D673" s="302">
        <f t="shared" ref="D673:D680" si="250">SUM(B673:C673)</f>
        <v>1.8600873103622493</v>
      </c>
      <c r="E673" s="303"/>
      <c r="F673" s="302">
        <v>1.8255016514913907</v>
      </c>
      <c r="G673" s="302">
        <v>1.2307075200958471</v>
      </c>
      <c r="H673" s="302">
        <f t="shared" ref="H673:H680" si="251">SUM(F673:G673)</f>
        <v>3.0562091715872377</v>
      </c>
      <c r="I673" s="303"/>
      <c r="J673" s="302">
        <v>2.4933144150521001</v>
      </c>
      <c r="K673" s="302">
        <v>1.6205722486255865</v>
      </c>
      <c r="L673" s="302">
        <f t="shared" ref="L673:L680" si="252">SUM(J673:K673)</f>
        <v>4.1138866636776861</v>
      </c>
      <c r="M673" s="236"/>
      <c r="N673" s="236"/>
    </row>
    <row r="674" spans="1:14" x14ac:dyDescent="0.2">
      <c r="A674" s="237" t="str">
        <f>name!E$6</f>
        <v>Associate professional occupations</v>
      </c>
      <c r="B674" s="302">
        <v>1.3762260450376502</v>
      </c>
      <c r="C674" s="302">
        <v>0.63462764206424116</v>
      </c>
      <c r="D674" s="302">
        <f t="shared" si="250"/>
        <v>2.0108536871018914</v>
      </c>
      <c r="E674" s="303"/>
      <c r="F674" s="302">
        <v>2.0689954108119784</v>
      </c>
      <c r="G674" s="302">
        <v>0.97724363533353154</v>
      </c>
      <c r="H674" s="302">
        <f t="shared" si="251"/>
        <v>3.04623904614551</v>
      </c>
      <c r="I674" s="303"/>
      <c r="J674" s="302">
        <v>2.920281499843044</v>
      </c>
      <c r="K674" s="302">
        <v>1.1532675127685548</v>
      </c>
      <c r="L674" s="302">
        <f t="shared" si="252"/>
        <v>4.0735490126115987</v>
      </c>
      <c r="M674" s="236"/>
      <c r="N674" s="236"/>
    </row>
    <row r="675" spans="1:14" x14ac:dyDescent="0.2">
      <c r="A675" s="237" t="str">
        <f>name!E$7</f>
        <v>Administrative and secretarial occupations</v>
      </c>
      <c r="B675" s="302">
        <v>2.5013237895780405</v>
      </c>
      <c r="C675" s="302">
        <v>0.56635632104516198</v>
      </c>
      <c r="D675" s="302">
        <f t="shared" si="250"/>
        <v>3.0676801106232023</v>
      </c>
      <c r="E675" s="303"/>
      <c r="F675" s="302">
        <v>2.8700706599934027</v>
      </c>
      <c r="G675" s="302">
        <v>0.78057117337830251</v>
      </c>
      <c r="H675" s="302">
        <f t="shared" si="251"/>
        <v>3.6506418333717052</v>
      </c>
      <c r="I675" s="303"/>
      <c r="J675" s="302">
        <v>3.7033731609228226</v>
      </c>
      <c r="K675" s="302">
        <v>1.0962338424441913</v>
      </c>
      <c r="L675" s="302">
        <f t="shared" si="252"/>
        <v>4.7996070033670142</v>
      </c>
      <c r="M675" s="236"/>
      <c r="N675" s="236"/>
    </row>
    <row r="676" spans="1:14" x14ac:dyDescent="0.2">
      <c r="A676" s="237" t="str">
        <f>name!E$8</f>
        <v>Skilled trades occupations</v>
      </c>
      <c r="B676" s="302">
        <v>3.1007939760622119</v>
      </c>
      <c r="C676" s="302">
        <v>14.044338251912277</v>
      </c>
      <c r="D676" s="302">
        <f t="shared" si="250"/>
        <v>17.145132227974489</v>
      </c>
      <c r="E676" s="303"/>
      <c r="F676" s="302">
        <v>3.4374511757970612</v>
      </c>
      <c r="G676" s="302">
        <v>12.73244125149097</v>
      </c>
      <c r="H676" s="302">
        <f t="shared" si="251"/>
        <v>16.16989242728803</v>
      </c>
      <c r="I676" s="303"/>
      <c r="J676" s="302">
        <v>3.1314731193357415</v>
      </c>
      <c r="K676" s="302">
        <v>14.892843454171693</v>
      </c>
      <c r="L676" s="302">
        <f t="shared" si="252"/>
        <v>18.024316573507434</v>
      </c>
      <c r="M676" s="236"/>
      <c r="N676" s="236"/>
    </row>
    <row r="677" spans="1:14" x14ac:dyDescent="0.2">
      <c r="A677" s="237" t="str">
        <f>name!E$9</f>
        <v>Caring, leisure and other service occupations</v>
      </c>
      <c r="B677" s="302">
        <v>2.3772622168317925</v>
      </c>
      <c r="C677" s="302">
        <v>0.47568005291912951</v>
      </c>
      <c r="D677" s="302">
        <f t="shared" si="250"/>
        <v>2.8529422697509221</v>
      </c>
      <c r="E677" s="303"/>
      <c r="F677" s="302">
        <v>2.7031758390160996</v>
      </c>
      <c r="G677" s="302">
        <v>0.74479468239700197</v>
      </c>
      <c r="H677" s="302">
        <f t="shared" si="251"/>
        <v>3.4479705214131018</v>
      </c>
      <c r="I677" s="303"/>
      <c r="J677" s="302">
        <v>3.6803167205516774</v>
      </c>
      <c r="K677" s="302">
        <v>0.91318200339941968</v>
      </c>
      <c r="L677" s="302">
        <f t="shared" si="252"/>
        <v>4.5934987239510967</v>
      </c>
      <c r="M677" s="236"/>
      <c r="N677" s="236"/>
    </row>
    <row r="678" spans="1:14" x14ac:dyDescent="0.2">
      <c r="A678" s="237" t="str">
        <f>name!E$10</f>
        <v>Sales and customer service occupations</v>
      </c>
      <c r="B678" s="302">
        <v>1.5191922462783973</v>
      </c>
      <c r="C678" s="302">
        <v>1.3297729437567409</v>
      </c>
      <c r="D678" s="302">
        <f t="shared" si="250"/>
        <v>2.8489651900351385</v>
      </c>
      <c r="E678" s="303"/>
      <c r="F678" s="302">
        <v>1.9922532204415551</v>
      </c>
      <c r="G678" s="302">
        <v>2.1230696486449792</v>
      </c>
      <c r="H678" s="302">
        <f t="shared" si="251"/>
        <v>4.1153228690865342</v>
      </c>
      <c r="I678" s="303"/>
      <c r="J678" s="302">
        <v>2.586219864207139</v>
      </c>
      <c r="K678" s="302">
        <v>2.6539452406400397</v>
      </c>
      <c r="L678" s="302">
        <f t="shared" si="252"/>
        <v>5.2401651048471791</v>
      </c>
      <c r="M678" s="236"/>
      <c r="N678" s="236"/>
    </row>
    <row r="679" spans="1:14" x14ac:dyDescent="0.2">
      <c r="A679" s="237" t="str">
        <f>name!E$11</f>
        <v>Process, plant and machine operatives</v>
      </c>
      <c r="B679" s="302">
        <v>0.18507862616649326</v>
      </c>
      <c r="C679" s="302">
        <v>0.89927405459589138</v>
      </c>
      <c r="D679" s="302">
        <f t="shared" si="250"/>
        <v>1.0843526807623847</v>
      </c>
      <c r="E679" s="303"/>
      <c r="F679" s="302">
        <v>0.19613217940432823</v>
      </c>
      <c r="G679" s="302">
        <v>1.1771590419122275</v>
      </c>
      <c r="H679" s="302">
        <f t="shared" si="251"/>
        <v>1.3732912213165558</v>
      </c>
      <c r="I679" s="303"/>
      <c r="J679" s="302">
        <v>0.52546924135287121</v>
      </c>
      <c r="K679" s="302">
        <v>1.5737547554067577</v>
      </c>
      <c r="L679" s="302">
        <f t="shared" si="252"/>
        <v>2.0992239967596289</v>
      </c>
      <c r="M679" s="236"/>
      <c r="N679" s="236"/>
    </row>
    <row r="680" spans="1:14" x14ac:dyDescent="0.2">
      <c r="A680" s="237" t="str">
        <f>name!E$12</f>
        <v>Elementary occupations</v>
      </c>
      <c r="B680" s="302">
        <v>14.696382295288668</v>
      </c>
      <c r="C680" s="302">
        <v>11.649081632955522</v>
      </c>
      <c r="D680" s="302">
        <f t="shared" si="250"/>
        <v>26.34546392824419</v>
      </c>
      <c r="E680" s="303"/>
      <c r="F680" s="302">
        <v>18.693365675588044</v>
      </c>
      <c r="G680" s="302">
        <v>14.990671366065859</v>
      </c>
      <c r="H680" s="302">
        <f t="shared" si="251"/>
        <v>33.684037041653902</v>
      </c>
      <c r="I680" s="303"/>
      <c r="J680" s="302">
        <v>23.555293890270278</v>
      </c>
      <c r="K680" s="302">
        <v>17.999112389913048</v>
      </c>
      <c r="L680" s="302">
        <f t="shared" si="252"/>
        <v>41.554406280183329</v>
      </c>
      <c r="M680" s="236"/>
      <c r="N680" s="236"/>
    </row>
    <row r="681" spans="1:14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  <c r="N681" s="236"/>
    </row>
    <row r="682" spans="1:14" x14ac:dyDescent="0.2">
      <c r="A682" s="244" t="s">
        <v>32</v>
      </c>
      <c r="B682" s="311">
        <f>SUM(B672:B680)</f>
        <v>29.506000000509292</v>
      </c>
      <c r="C682" s="311">
        <f t="shared" ref="C682:D682" si="253">SUM(C672:C680)</f>
        <v>33.621000000801089</v>
      </c>
      <c r="D682" s="311">
        <f t="shared" si="253"/>
        <v>63.127000001310378</v>
      </c>
      <c r="E682" s="311"/>
      <c r="F682" s="311">
        <f t="shared" ref="F682:H682" si="254">SUM(F672:F680)</f>
        <v>37.721999999535583</v>
      </c>
      <c r="G682" s="311">
        <f t="shared" si="254"/>
        <v>39.575999999293728</v>
      </c>
      <c r="H682" s="311">
        <f t="shared" si="254"/>
        <v>77.297999998829312</v>
      </c>
      <c r="I682" s="311"/>
      <c r="J682" s="311">
        <f t="shared" ref="J682:L682" si="255">SUM(J672:J680)</f>
        <v>48.274999999628122</v>
      </c>
      <c r="K682" s="311">
        <f t="shared" si="255"/>
        <v>48.969999999545202</v>
      </c>
      <c r="L682" s="311">
        <f t="shared" si="255"/>
        <v>97.244999999173331</v>
      </c>
      <c r="M682" s="236"/>
      <c r="N682" s="236"/>
    </row>
    <row r="683" spans="1:14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  <c r="N683" s="236"/>
    </row>
    <row r="684" spans="1:14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56" t="s">
        <v>35</v>
      </c>
      <c r="M684" s="236"/>
      <c r="N684" s="236"/>
    </row>
    <row r="685" spans="1:14" x14ac:dyDescent="0.2">
      <c r="A685" s="242"/>
      <c r="B685" s="250"/>
      <c r="C685" s="250"/>
      <c r="D685" s="250"/>
      <c r="E685" s="250"/>
      <c r="F685" s="250"/>
      <c r="G685" s="250"/>
      <c r="H685" s="250"/>
      <c r="I685" s="250"/>
      <c r="J685" s="250"/>
      <c r="K685" s="250"/>
      <c r="L685" s="236"/>
      <c r="M685" s="236"/>
      <c r="N685" s="236"/>
    </row>
    <row r="686" spans="1:14" x14ac:dyDescent="0.2">
      <c r="A686" s="241" t="str">
        <f>name!A43</f>
        <v>Food and beverage services</v>
      </c>
      <c r="B686" s="372">
        <f>B$6</f>
        <v>2015</v>
      </c>
      <c r="C686" s="372"/>
      <c r="D686" s="372"/>
      <c r="E686" s="253"/>
      <c r="F686" s="372">
        <f>F669</f>
        <v>2020</v>
      </c>
      <c r="G686" s="372"/>
      <c r="H686" s="372"/>
      <c r="I686" s="253"/>
      <c r="J686" s="372">
        <f>J669</f>
        <v>2035</v>
      </c>
      <c r="K686" s="372"/>
      <c r="L686" s="372"/>
      <c r="M686" s="236"/>
      <c r="N686" s="236"/>
    </row>
    <row r="687" spans="1:14" x14ac:dyDescent="0.2">
      <c r="A687" s="254"/>
      <c r="B687" s="255" t="s">
        <v>352</v>
      </c>
      <c r="C687" s="255" t="s">
        <v>353</v>
      </c>
      <c r="D687" s="255" t="s">
        <v>32</v>
      </c>
      <c r="E687" s="255"/>
      <c r="F687" s="255" t="s">
        <v>352</v>
      </c>
      <c r="G687" s="255" t="s">
        <v>353</v>
      </c>
      <c r="H687" s="255" t="s">
        <v>32</v>
      </c>
      <c r="I687" s="255"/>
      <c r="J687" s="255" t="s">
        <v>352</v>
      </c>
      <c r="K687" s="255" t="s">
        <v>353</v>
      </c>
      <c r="L687" s="255" t="s">
        <v>32</v>
      </c>
      <c r="M687" s="236"/>
      <c r="N687" s="236"/>
    </row>
    <row r="688" spans="1:14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  <c r="N688" s="236"/>
    </row>
    <row r="689" spans="1:14" x14ac:dyDescent="0.2">
      <c r="A689" s="237" t="str">
        <f>name!E$4</f>
        <v>Managers, directors and senior officials</v>
      </c>
      <c r="B689" s="302">
        <v>7.9102769781558075</v>
      </c>
      <c r="C689" s="302">
        <v>12.513161787551924</v>
      </c>
      <c r="D689" s="302">
        <f>SUM(B689:C689)</f>
        <v>20.423438765707733</v>
      </c>
      <c r="E689" s="303"/>
      <c r="F689" s="302">
        <v>11.132300695314566</v>
      </c>
      <c r="G689" s="302">
        <v>15.283416663862925</v>
      </c>
      <c r="H689" s="302">
        <f>SUM(F689:G689)</f>
        <v>26.415717359177492</v>
      </c>
      <c r="I689" s="303"/>
      <c r="J689" s="302">
        <v>16.043197880350057</v>
      </c>
      <c r="K689" s="302">
        <v>23.679938105980998</v>
      </c>
      <c r="L689" s="302">
        <f>SUM(J689:K689)</f>
        <v>39.723135986331059</v>
      </c>
      <c r="M689" s="236"/>
      <c r="N689" s="236"/>
    </row>
    <row r="690" spans="1:14" x14ac:dyDescent="0.2">
      <c r="A690" s="237" t="str">
        <f>name!E$5</f>
        <v>Professional occupations</v>
      </c>
      <c r="B690" s="302">
        <v>3.6637270944615357</v>
      </c>
      <c r="C690" s="302">
        <v>2.7191685417118476</v>
      </c>
      <c r="D690" s="302">
        <f t="shared" ref="D690:D697" si="256">SUM(B690:C690)</f>
        <v>6.3828956361733837</v>
      </c>
      <c r="E690" s="303"/>
      <c r="F690" s="302">
        <v>5.9545393785992058</v>
      </c>
      <c r="G690" s="302">
        <v>4.1309049814423684</v>
      </c>
      <c r="H690" s="302">
        <f t="shared" ref="H690:H697" si="257">SUM(F690:G690)</f>
        <v>10.085444360041574</v>
      </c>
      <c r="I690" s="303"/>
      <c r="J690" s="302">
        <v>8.3243098785507676</v>
      </c>
      <c r="K690" s="302">
        <v>5.7014603043644891</v>
      </c>
      <c r="L690" s="302">
        <f t="shared" ref="L690:L697" si="258">SUM(J690:K690)</f>
        <v>14.025770182915256</v>
      </c>
      <c r="M690" s="236"/>
      <c r="N690" s="236"/>
    </row>
    <row r="691" spans="1:14" x14ac:dyDescent="0.2">
      <c r="A691" s="237" t="str">
        <f>name!E$6</f>
        <v>Associate professional occupations</v>
      </c>
      <c r="B691" s="302">
        <v>5.079736727746722</v>
      </c>
      <c r="C691" s="302">
        <v>2.6248071055557545</v>
      </c>
      <c r="D691" s="302">
        <f t="shared" si="256"/>
        <v>7.7045438333024769</v>
      </c>
      <c r="E691" s="303"/>
      <c r="F691" s="302">
        <v>7.6010958971964655</v>
      </c>
      <c r="G691" s="302">
        <v>3.7138108454351912</v>
      </c>
      <c r="H691" s="302">
        <f t="shared" si="257"/>
        <v>11.314906742631656</v>
      </c>
      <c r="I691" s="303"/>
      <c r="J691" s="302">
        <v>10.80476026348315</v>
      </c>
      <c r="K691" s="302">
        <v>4.8409194100530097</v>
      </c>
      <c r="L691" s="302">
        <f t="shared" si="258"/>
        <v>15.64567967353616</v>
      </c>
      <c r="M691" s="236"/>
      <c r="N691" s="236"/>
    </row>
    <row r="692" spans="1:14" x14ac:dyDescent="0.2">
      <c r="A692" s="237" t="str">
        <f>name!E$7</f>
        <v>Administrative and secretarial occupations</v>
      </c>
      <c r="B692" s="302">
        <v>8.4810186400475907</v>
      </c>
      <c r="C692" s="302">
        <v>2.2911601186805619</v>
      </c>
      <c r="D692" s="302">
        <f t="shared" si="256"/>
        <v>10.772178758728153</v>
      </c>
      <c r="E692" s="303"/>
      <c r="F692" s="302">
        <v>9.9718594334117459</v>
      </c>
      <c r="G692" s="302">
        <v>2.9910092743975678</v>
      </c>
      <c r="H692" s="302">
        <f t="shared" si="257"/>
        <v>12.962868707809314</v>
      </c>
      <c r="I692" s="303"/>
      <c r="J692" s="302">
        <v>13.218814978829203</v>
      </c>
      <c r="K692" s="302">
        <v>4.0183816254924825</v>
      </c>
      <c r="L692" s="302">
        <f t="shared" si="258"/>
        <v>17.237196604321685</v>
      </c>
      <c r="M692" s="236"/>
      <c r="N692" s="236"/>
    </row>
    <row r="693" spans="1:14" x14ac:dyDescent="0.2">
      <c r="A693" s="237" t="str">
        <f>name!E$8</f>
        <v>Skilled trades occupations</v>
      </c>
      <c r="B693" s="302">
        <v>10.816158705802273</v>
      </c>
      <c r="C693" s="302">
        <v>54.525163407923877</v>
      </c>
      <c r="D693" s="302">
        <f t="shared" si="256"/>
        <v>65.34132211372615</v>
      </c>
      <c r="E693" s="303"/>
      <c r="F693" s="302">
        <v>11.599890602505015</v>
      </c>
      <c r="G693" s="302">
        <v>44.993685991197772</v>
      </c>
      <c r="H693" s="302">
        <f t="shared" si="257"/>
        <v>56.593576593702785</v>
      </c>
      <c r="I693" s="303"/>
      <c r="J693" s="302">
        <v>10.416145468543904</v>
      </c>
      <c r="K693" s="302">
        <v>53.363993236980505</v>
      </c>
      <c r="L693" s="302">
        <f t="shared" si="258"/>
        <v>63.780138705524408</v>
      </c>
      <c r="M693" s="236"/>
      <c r="N693" s="236"/>
    </row>
    <row r="694" spans="1:14" x14ac:dyDescent="0.2">
      <c r="A694" s="237" t="str">
        <f>name!E$9</f>
        <v>Caring, leisure and other service occupations</v>
      </c>
      <c r="B694" s="302">
        <v>9.5808857772802263</v>
      </c>
      <c r="C694" s="302">
        <v>2.6312317157957148</v>
      </c>
      <c r="D694" s="302">
        <f t="shared" si="256"/>
        <v>12.21211749307594</v>
      </c>
      <c r="E694" s="303"/>
      <c r="F694" s="302">
        <v>10.727601539925933</v>
      </c>
      <c r="G694" s="302">
        <v>3.7145832255748519</v>
      </c>
      <c r="H694" s="302">
        <f t="shared" si="257"/>
        <v>14.442184765500786</v>
      </c>
      <c r="I694" s="303"/>
      <c r="J694" s="302">
        <v>14.252089776935176</v>
      </c>
      <c r="K694" s="302">
        <v>4.5489119551441979</v>
      </c>
      <c r="L694" s="302">
        <f t="shared" si="258"/>
        <v>18.801001732079374</v>
      </c>
      <c r="M694" s="236"/>
      <c r="N694" s="236"/>
    </row>
    <row r="695" spans="1:14" x14ac:dyDescent="0.2">
      <c r="A695" s="237" t="str">
        <f>name!E$10</f>
        <v>Sales and customer service occupations</v>
      </c>
      <c r="B695" s="302">
        <v>7.3681756746071887</v>
      </c>
      <c r="C695" s="302">
        <v>10.164126479654119</v>
      </c>
      <c r="D695" s="302">
        <f t="shared" si="256"/>
        <v>17.532302154261309</v>
      </c>
      <c r="E695" s="303"/>
      <c r="F695" s="302">
        <v>9.473271200601685</v>
      </c>
      <c r="G695" s="302">
        <v>13.469580385718709</v>
      </c>
      <c r="H695" s="302">
        <f t="shared" si="257"/>
        <v>22.942851586320394</v>
      </c>
      <c r="I695" s="303"/>
      <c r="J695" s="302">
        <v>12.686278773768628</v>
      </c>
      <c r="K695" s="302">
        <v>15.661583062940544</v>
      </c>
      <c r="L695" s="302">
        <f t="shared" si="258"/>
        <v>28.347861836709171</v>
      </c>
      <c r="M695" s="236"/>
      <c r="N695" s="236"/>
    </row>
    <row r="696" spans="1:14" x14ac:dyDescent="0.2">
      <c r="A696" s="237" t="str">
        <f>name!E$11</f>
        <v>Process, plant and machine operatives</v>
      </c>
      <c r="B696" s="302">
        <v>0.87979415994436916</v>
      </c>
      <c r="C696" s="302">
        <v>4.8710837789323342</v>
      </c>
      <c r="D696" s="302">
        <f t="shared" si="256"/>
        <v>5.7508779388767035</v>
      </c>
      <c r="E696" s="303"/>
      <c r="F696" s="302">
        <v>0.89922800451414109</v>
      </c>
      <c r="G696" s="302">
        <v>6.2672840362669069</v>
      </c>
      <c r="H696" s="302">
        <f t="shared" si="257"/>
        <v>7.1665120407810479</v>
      </c>
      <c r="I696" s="303"/>
      <c r="J696" s="302">
        <v>2.7855379000082157</v>
      </c>
      <c r="K696" s="302">
        <v>9.0339538714917218</v>
      </c>
      <c r="L696" s="302">
        <f t="shared" si="258"/>
        <v>11.819491771499937</v>
      </c>
      <c r="M696" s="236"/>
      <c r="N696" s="236"/>
    </row>
    <row r="697" spans="1:14" x14ac:dyDescent="0.2">
      <c r="A697" s="237" t="str">
        <f>name!E$12</f>
        <v>Elementary occupations</v>
      </c>
      <c r="B697" s="302">
        <v>85.634226245641131</v>
      </c>
      <c r="C697" s="302">
        <v>75.429097068830345</v>
      </c>
      <c r="D697" s="302">
        <f t="shared" si="256"/>
        <v>161.06332331447146</v>
      </c>
      <c r="E697" s="303"/>
      <c r="F697" s="302">
        <v>101.83221324712957</v>
      </c>
      <c r="G697" s="302">
        <v>86.934724592665503</v>
      </c>
      <c r="H697" s="302">
        <f t="shared" si="257"/>
        <v>188.76693783979508</v>
      </c>
      <c r="I697" s="303"/>
      <c r="J697" s="302">
        <v>120.01686507777605</v>
      </c>
      <c r="K697" s="302">
        <v>106.71085842602103</v>
      </c>
      <c r="L697" s="302">
        <f t="shared" si="258"/>
        <v>226.72772350379708</v>
      </c>
      <c r="M697" s="236"/>
      <c r="N697" s="236"/>
    </row>
    <row r="698" spans="1:14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  <c r="N698" s="236"/>
    </row>
    <row r="699" spans="1:14" x14ac:dyDescent="0.2">
      <c r="A699" s="244" t="s">
        <v>32</v>
      </c>
      <c r="B699" s="311">
        <f>SUM(B689:B697)</f>
        <v>139.41400000368685</v>
      </c>
      <c r="C699" s="311">
        <f t="shared" ref="C699:D699" si="259">SUM(C689:C697)</f>
        <v>167.76900000463647</v>
      </c>
      <c r="D699" s="311">
        <f t="shared" si="259"/>
        <v>307.18300000832335</v>
      </c>
      <c r="E699" s="311"/>
      <c r="F699" s="311">
        <f t="shared" ref="F699:H699" si="260">SUM(F689:F697)</f>
        <v>169.19199999919834</v>
      </c>
      <c r="G699" s="311">
        <f t="shared" si="260"/>
        <v>181.49899999656179</v>
      </c>
      <c r="H699" s="311">
        <f t="shared" si="260"/>
        <v>350.69099999576014</v>
      </c>
      <c r="I699" s="311"/>
      <c r="J699" s="311">
        <f t="shared" ref="J699:L699" si="261">SUM(J689:J697)</f>
        <v>208.54799999824513</v>
      </c>
      <c r="K699" s="311">
        <f t="shared" si="261"/>
        <v>227.55999999846898</v>
      </c>
      <c r="L699" s="311">
        <f t="shared" si="261"/>
        <v>436.10799999671417</v>
      </c>
      <c r="M699" s="236"/>
      <c r="N699" s="236"/>
    </row>
    <row r="700" spans="1:14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  <c r="N700" s="236"/>
    </row>
    <row r="701" spans="1:14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56" t="s">
        <v>35</v>
      </c>
      <c r="M701" s="236"/>
      <c r="N701" s="236"/>
    </row>
    <row r="702" spans="1:14" x14ac:dyDescent="0.2">
      <c r="A702" s="242"/>
      <c r="B702" s="250"/>
      <c r="C702" s="250"/>
      <c r="D702" s="250"/>
      <c r="E702" s="250"/>
      <c r="F702" s="250"/>
      <c r="G702" s="250"/>
      <c r="H702" s="250"/>
      <c r="I702" s="250"/>
      <c r="J702" s="250"/>
      <c r="K702" s="250"/>
      <c r="L702" s="236"/>
      <c r="M702" s="236"/>
      <c r="N702" s="236"/>
    </row>
    <row r="703" spans="1:14" x14ac:dyDescent="0.2">
      <c r="A703" s="241" t="str">
        <f>name!A44</f>
        <v>Publishing activities</v>
      </c>
      <c r="B703" s="372">
        <f>B$6</f>
        <v>2015</v>
      </c>
      <c r="C703" s="372"/>
      <c r="D703" s="372"/>
      <c r="E703" s="253"/>
      <c r="F703" s="372">
        <f>F686</f>
        <v>2020</v>
      </c>
      <c r="G703" s="372"/>
      <c r="H703" s="372"/>
      <c r="I703" s="253"/>
      <c r="J703" s="372">
        <f>J686</f>
        <v>2035</v>
      </c>
      <c r="K703" s="372"/>
      <c r="L703" s="372"/>
      <c r="M703" s="236"/>
      <c r="N703" s="236"/>
    </row>
    <row r="704" spans="1:14" x14ac:dyDescent="0.2">
      <c r="A704" s="254"/>
      <c r="B704" s="255" t="s">
        <v>352</v>
      </c>
      <c r="C704" s="255" t="s">
        <v>353</v>
      </c>
      <c r="D704" s="255" t="s">
        <v>32</v>
      </c>
      <c r="E704" s="255"/>
      <c r="F704" s="255" t="s">
        <v>352</v>
      </c>
      <c r="G704" s="255" t="s">
        <v>353</v>
      </c>
      <c r="H704" s="255" t="s">
        <v>32</v>
      </c>
      <c r="I704" s="255"/>
      <c r="J704" s="255" t="s">
        <v>352</v>
      </c>
      <c r="K704" s="255" t="s">
        <v>353</v>
      </c>
      <c r="L704" s="255" t="s">
        <v>32</v>
      </c>
      <c r="M704" s="236"/>
      <c r="N704" s="236"/>
    </row>
    <row r="705" spans="1:14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  <c r="N705" s="236"/>
    </row>
    <row r="706" spans="1:14" x14ac:dyDescent="0.2">
      <c r="A706" s="237" t="str">
        <f>name!E$4</f>
        <v>Managers, directors and senior officials</v>
      </c>
      <c r="B706" s="302">
        <v>3.7255180089563367</v>
      </c>
      <c r="C706" s="302">
        <v>8.8367527770102328</v>
      </c>
      <c r="D706" s="302">
        <f>SUM(B706:C706)</f>
        <v>12.56227078596657</v>
      </c>
      <c r="E706" s="303"/>
      <c r="F706" s="302">
        <v>4.1657305982574337</v>
      </c>
      <c r="G706" s="302">
        <v>8.5555341330526495</v>
      </c>
      <c r="H706" s="302">
        <f>SUM(F706:G706)</f>
        <v>12.721264731310082</v>
      </c>
      <c r="I706" s="303"/>
      <c r="J706" s="302">
        <v>4.716459742952984</v>
      </c>
      <c r="K706" s="302">
        <v>9.3901890114427378</v>
      </c>
      <c r="L706" s="302">
        <f>SUM(J706:K706)</f>
        <v>14.106648754395721</v>
      </c>
      <c r="M706" s="236"/>
      <c r="N706" s="236"/>
    </row>
    <row r="707" spans="1:14" x14ac:dyDescent="0.2">
      <c r="A707" s="237" t="str">
        <f>name!E$5</f>
        <v>Professional occupations</v>
      </c>
      <c r="B707" s="302">
        <v>6.7836587965043744</v>
      </c>
      <c r="C707" s="302">
        <v>11.828781212781534</v>
      </c>
      <c r="D707" s="302">
        <f t="shared" ref="D707:D714" si="262">SUM(B707:C707)</f>
        <v>18.612440009285908</v>
      </c>
      <c r="E707" s="303"/>
      <c r="F707" s="302">
        <v>8.1965956595634353</v>
      </c>
      <c r="G707" s="302">
        <v>13.157545889467965</v>
      </c>
      <c r="H707" s="302">
        <f t="shared" ref="H707:H714" si="263">SUM(F707:G707)</f>
        <v>21.3541415490314</v>
      </c>
      <c r="I707" s="303"/>
      <c r="J707" s="302">
        <v>9.8623477148577532</v>
      </c>
      <c r="K707" s="302">
        <v>15.58558978295711</v>
      </c>
      <c r="L707" s="302">
        <f t="shared" ref="L707:L714" si="264">SUM(J707:K707)</f>
        <v>25.447937497814863</v>
      </c>
      <c r="M707" s="236"/>
      <c r="N707" s="236"/>
    </row>
    <row r="708" spans="1:14" x14ac:dyDescent="0.2">
      <c r="A708" s="237" t="str">
        <f>name!E$6</f>
        <v>Associate professional occupations</v>
      </c>
      <c r="B708" s="302">
        <v>11.04381434581097</v>
      </c>
      <c r="C708" s="302">
        <v>12.144091156943031</v>
      </c>
      <c r="D708" s="302">
        <f t="shared" si="262"/>
        <v>23.187905502753999</v>
      </c>
      <c r="E708" s="303"/>
      <c r="F708" s="302">
        <v>11.590495088893244</v>
      </c>
      <c r="G708" s="302">
        <v>11.96528505442142</v>
      </c>
      <c r="H708" s="302">
        <f t="shared" si="263"/>
        <v>23.555780143314664</v>
      </c>
      <c r="I708" s="303"/>
      <c r="J708" s="302">
        <v>12.274622633322728</v>
      </c>
      <c r="K708" s="302">
        <v>12.306546945955537</v>
      </c>
      <c r="L708" s="302">
        <f t="shared" si="264"/>
        <v>24.581169579278267</v>
      </c>
      <c r="M708" s="236"/>
      <c r="N708" s="236"/>
    </row>
    <row r="709" spans="1:14" x14ac:dyDescent="0.2">
      <c r="A709" s="237" t="str">
        <f>name!E$7</f>
        <v>Administrative and secretarial occupations</v>
      </c>
      <c r="B709" s="302">
        <v>3.3190808065254669</v>
      </c>
      <c r="C709" s="302">
        <v>0.69085103081618449</v>
      </c>
      <c r="D709" s="302">
        <f t="shared" si="262"/>
        <v>4.009931837341651</v>
      </c>
      <c r="E709" s="303"/>
      <c r="F709" s="302">
        <v>2.8976546013453697</v>
      </c>
      <c r="G709" s="302">
        <v>0.6596641912043032</v>
      </c>
      <c r="H709" s="302">
        <f t="shared" si="263"/>
        <v>3.557318792549673</v>
      </c>
      <c r="I709" s="303"/>
      <c r="J709" s="302">
        <v>2.0229477839637191</v>
      </c>
      <c r="K709" s="302">
        <v>0.54682389581355872</v>
      </c>
      <c r="L709" s="302">
        <f t="shared" si="264"/>
        <v>2.5697716797772778</v>
      </c>
      <c r="M709" s="236"/>
      <c r="N709" s="236"/>
    </row>
    <row r="710" spans="1:14" x14ac:dyDescent="0.2">
      <c r="A710" s="237" t="str">
        <f>name!E$8</f>
        <v>Skilled trades occupations</v>
      </c>
      <c r="B710" s="302">
        <v>0.80458438406626642</v>
      </c>
      <c r="C710" s="302">
        <v>2.845437153506353</v>
      </c>
      <c r="D710" s="302">
        <f t="shared" si="262"/>
        <v>3.6500215375726195</v>
      </c>
      <c r="E710" s="303"/>
      <c r="F710" s="302">
        <v>0.70770213628549283</v>
      </c>
      <c r="G710" s="302">
        <v>1.9069250730935865</v>
      </c>
      <c r="H710" s="302">
        <f t="shared" si="263"/>
        <v>2.6146272093790794</v>
      </c>
      <c r="I710" s="303"/>
      <c r="J710" s="302">
        <v>0.76282634664726101</v>
      </c>
      <c r="K710" s="302">
        <v>1.3684006824035915</v>
      </c>
      <c r="L710" s="302">
        <f t="shared" si="264"/>
        <v>2.1312270290508524</v>
      </c>
      <c r="M710" s="236"/>
      <c r="N710" s="236"/>
    </row>
    <row r="711" spans="1:14" x14ac:dyDescent="0.2">
      <c r="A711" s="237" t="str">
        <f>name!E$9</f>
        <v>Caring, leisure and other service occupations</v>
      </c>
      <c r="B711" s="302">
        <v>0.28980483527372092</v>
      </c>
      <c r="C711" s="302">
        <v>0.25079164366992718</v>
      </c>
      <c r="D711" s="302">
        <f t="shared" si="262"/>
        <v>0.54059647894364815</v>
      </c>
      <c r="E711" s="303"/>
      <c r="F711" s="302">
        <v>0.27249838022501854</v>
      </c>
      <c r="G711" s="302">
        <v>0.23891785801179272</v>
      </c>
      <c r="H711" s="302">
        <f t="shared" si="263"/>
        <v>0.51141623823681126</v>
      </c>
      <c r="I711" s="303"/>
      <c r="J711" s="302">
        <v>0.32811984418242235</v>
      </c>
      <c r="K711" s="302">
        <v>0.35652009395614859</v>
      </c>
      <c r="L711" s="302">
        <f t="shared" si="264"/>
        <v>0.68463993813857094</v>
      </c>
      <c r="M711" s="236"/>
      <c r="N711" s="236"/>
    </row>
    <row r="712" spans="1:14" x14ac:dyDescent="0.2">
      <c r="A712" s="237" t="str">
        <f>name!E$10</f>
        <v>Sales and customer service occupations</v>
      </c>
      <c r="B712" s="302">
        <v>1.4624522070962853</v>
      </c>
      <c r="C712" s="302">
        <v>0.93839843022627611</v>
      </c>
      <c r="D712" s="302">
        <f t="shared" si="262"/>
        <v>2.4008506373225615</v>
      </c>
      <c r="E712" s="303"/>
      <c r="F712" s="302">
        <v>1.2319290165085635</v>
      </c>
      <c r="G712" s="302">
        <v>0.74265875239679302</v>
      </c>
      <c r="H712" s="302">
        <f t="shared" si="263"/>
        <v>1.9745877689053564</v>
      </c>
      <c r="I712" s="303"/>
      <c r="J712" s="302">
        <v>1.1407557914750766</v>
      </c>
      <c r="K712" s="302">
        <v>0.75535778960054656</v>
      </c>
      <c r="L712" s="302">
        <f t="shared" si="264"/>
        <v>1.8961135810756231</v>
      </c>
      <c r="M712" s="236"/>
      <c r="N712" s="236"/>
    </row>
    <row r="713" spans="1:14" x14ac:dyDescent="0.2">
      <c r="A713" s="237" t="str">
        <f>name!E$11</f>
        <v>Process, plant and machine operatives</v>
      </c>
      <c r="B713" s="302">
        <v>0.16387642521703397</v>
      </c>
      <c r="C713" s="302">
        <v>0.64073939319331352</v>
      </c>
      <c r="D713" s="302">
        <f t="shared" si="262"/>
        <v>0.80461581841034746</v>
      </c>
      <c r="E713" s="303"/>
      <c r="F713" s="302">
        <v>0.13021304782751844</v>
      </c>
      <c r="G713" s="302">
        <v>0.53413693367884052</v>
      </c>
      <c r="H713" s="302">
        <f t="shared" si="263"/>
        <v>0.66434998150635893</v>
      </c>
      <c r="I713" s="303"/>
      <c r="J713" s="302">
        <v>0.11901051550841447</v>
      </c>
      <c r="K713" s="302">
        <v>0.49325416009204653</v>
      </c>
      <c r="L713" s="302">
        <f t="shared" si="264"/>
        <v>0.61226467560046105</v>
      </c>
      <c r="M713" s="236"/>
      <c r="N713" s="236"/>
    </row>
    <row r="714" spans="1:14" x14ac:dyDescent="0.2">
      <c r="A714" s="237" t="str">
        <f>name!E$12</f>
        <v>Elementary occupations</v>
      </c>
      <c r="B714" s="302">
        <v>0.67221019031454721</v>
      </c>
      <c r="C714" s="302">
        <v>0.89415720157574807</v>
      </c>
      <c r="D714" s="302">
        <f t="shared" si="262"/>
        <v>1.5663673918902954</v>
      </c>
      <c r="E714" s="303"/>
      <c r="F714" s="302">
        <v>0.43118147097590609</v>
      </c>
      <c r="G714" s="302">
        <v>0.56033211521140258</v>
      </c>
      <c r="H714" s="302">
        <f t="shared" si="263"/>
        <v>0.99151358618730867</v>
      </c>
      <c r="I714" s="303"/>
      <c r="J714" s="302">
        <v>0.2939096271056908</v>
      </c>
      <c r="K714" s="302">
        <v>0.23531763880678275</v>
      </c>
      <c r="L714" s="302">
        <f t="shared" si="264"/>
        <v>0.52922726591247349</v>
      </c>
      <c r="M714" s="236"/>
      <c r="N714" s="236"/>
    </row>
    <row r="715" spans="1:14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  <c r="N715" s="236"/>
    </row>
    <row r="716" spans="1:14" x14ac:dyDescent="0.2">
      <c r="A716" s="244" t="s">
        <v>32</v>
      </c>
      <c r="B716" s="311">
        <f>SUM(B706:B714)</f>
        <v>28.264999999765003</v>
      </c>
      <c r="C716" s="311">
        <f t="shared" ref="C716:D716" si="265">SUM(C706:C714)</f>
        <v>39.069999999722612</v>
      </c>
      <c r="D716" s="311">
        <f t="shared" si="265"/>
        <v>67.334999999487593</v>
      </c>
      <c r="E716" s="311"/>
      <c r="F716" s="311">
        <f t="shared" ref="F716:H716" si="266">SUM(F706:F714)</f>
        <v>29.623999999881981</v>
      </c>
      <c r="G716" s="311">
        <f t="shared" si="266"/>
        <v>38.321000000538753</v>
      </c>
      <c r="H716" s="311">
        <f t="shared" si="266"/>
        <v>67.945000000420734</v>
      </c>
      <c r="I716" s="311"/>
      <c r="J716" s="311">
        <f t="shared" ref="J716:L716" si="267">SUM(J706:J714)</f>
        <v>31.521000000016048</v>
      </c>
      <c r="K716" s="311">
        <f t="shared" si="267"/>
        <v>41.038000001028053</v>
      </c>
      <c r="L716" s="311">
        <f t="shared" si="267"/>
        <v>72.559000001044097</v>
      </c>
      <c r="M716" s="236"/>
      <c r="N716" s="236"/>
    </row>
    <row r="717" spans="1:14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  <c r="N717" s="236"/>
    </row>
    <row r="718" spans="1:14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56" t="s">
        <v>35</v>
      </c>
      <c r="M718" s="236"/>
      <c r="N718" s="236"/>
    </row>
    <row r="719" spans="1:14" x14ac:dyDescent="0.2">
      <c r="A719" s="242"/>
      <c r="B719" s="250"/>
      <c r="C719" s="250"/>
      <c r="D719" s="250"/>
      <c r="E719" s="250"/>
      <c r="F719" s="250"/>
      <c r="G719" s="250"/>
      <c r="H719" s="250"/>
      <c r="I719" s="250"/>
      <c r="J719" s="250"/>
      <c r="K719" s="250"/>
      <c r="L719" s="236"/>
      <c r="M719" s="236"/>
      <c r="N719" s="236"/>
    </row>
    <row r="720" spans="1:14" x14ac:dyDescent="0.2">
      <c r="A720" s="241" t="str">
        <f>name!A45</f>
        <v>Film and music</v>
      </c>
      <c r="B720" s="372">
        <f>B$6</f>
        <v>2015</v>
      </c>
      <c r="C720" s="372"/>
      <c r="D720" s="372"/>
      <c r="E720" s="253"/>
      <c r="F720" s="372">
        <f>F703</f>
        <v>2020</v>
      </c>
      <c r="G720" s="372"/>
      <c r="H720" s="372"/>
      <c r="I720" s="253"/>
      <c r="J720" s="372">
        <f>J703</f>
        <v>2035</v>
      </c>
      <c r="K720" s="372"/>
      <c r="L720" s="372"/>
      <c r="M720" s="236"/>
      <c r="N720" s="236"/>
    </row>
    <row r="721" spans="1:14" x14ac:dyDescent="0.2">
      <c r="A721" s="254"/>
      <c r="B721" s="255" t="s">
        <v>352</v>
      </c>
      <c r="C721" s="255" t="s">
        <v>353</v>
      </c>
      <c r="D721" s="255" t="s">
        <v>32</v>
      </c>
      <c r="E721" s="255"/>
      <c r="F721" s="255" t="s">
        <v>352</v>
      </c>
      <c r="G721" s="255" t="s">
        <v>353</v>
      </c>
      <c r="H721" s="255" t="s">
        <v>32</v>
      </c>
      <c r="I721" s="255"/>
      <c r="J721" s="255" t="s">
        <v>352</v>
      </c>
      <c r="K721" s="255" t="s">
        <v>353</v>
      </c>
      <c r="L721" s="255" t="s">
        <v>32</v>
      </c>
      <c r="M721" s="236"/>
      <c r="N721" s="236"/>
    </row>
    <row r="722" spans="1:14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  <c r="N722" s="236"/>
    </row>
    <row r="723" spans="1:14" x14ac:dyDescent="0.2">
      <c r="A723" s="237" t="str">
        <f>name!E$4</f>
        <v>Managers, directors and senior officials</v>
      </c>
      <c r="B723" s="302">
        <v>3.656294164695443</v>
      </c>
      <c r="C723" s="302">
        <v>4.9846301816825198</v>
      </c>
      <c r="D723" s="302">
        <f>SUM(B723:C723)</f>
        <v>8.6409243463779628</v>
      </c>
      <c r="E723" s="303"/>
      <c r="F723" s="302">
        <v>4.2288645907321554</v>
      </c>
      <c r="G723" s="302">
        <v>5.3486418137421534</v>
      </c>
      <c r="H723" s="302">
        <f>SUM(F723:G723)</f>
        <v>9.5775064044743097</v>
      </c>
      <c r="I723" s="303"/>
      <c r="J723" s="302">
        <v>4.6683977910818895</v>
      </c>
      <c r="K723" s="302">
        <v>5.9774167488637762</v>
      </c>
      <c r="L723" s="302">
        <f>SUM(J723:K723)</f>
        <v>10.645814539945665</v>
      </c>
      <c r="M723" s="236"/>
      <c r="N723" s="236"/>
    </row>
    <row r="724" spans="1:14" x14ac:dyDescent="0.2">
      <c r="A724" s="237" t="str">
        <f>name!E$5</f>
        <v>Professional occupations</v>
      </c>
      <c r="B724" s="302">
        <v>9.2470915929442494</v>
      </c>
      <c r="C724" s="302">
        <v>7.6366765303047961</v>
      </c>
      <c r="D724" s="302">
        <f t="shared" ref="D724:D731" si="268">SUM(B724:C724)</f>
        <v>16.883768123249045</v>
      </c>
      <c r="E724" s="303"/>
      <c r="F724" s="302">
        <v>12.564865301956958</v>
      </c>
      <c r="G724" s="302">
        <v>9.3079651093843818</v>
      </c>
      <c r="H724" s="302">
        <f t="shared" ref="H724:H731" si="269">SUM(F724:G724)</f>
        <v>21.87283041134134</v>
      </c>
      <c r="I724" s="303"/>
      <c r="J724" s="302">
        <v>15.37435534255887</v>
      </c>
      <c r="K724" s="302">
        <v>10.637904786041345</v>
      </c>
      <c r="L724" s="302">
        <f t="shared" ref="L724:L731" si="270">SUM(J724:K724)</f>
        <v>26.012260128600214</v>
      </c>
      <c r="M724" s="236"/>
      <c r="N724" s="236"/>
    </row>
    <row r="725" spans="1:14" x14ac:dyDescent="0.2">
      <c r="A725" s="237" t="str">
        <f>name!E$6</f>
        <v>Associate professional occupations</v>
      </c>
      <c r="B725" s="302">
        <v>10.322750807940784</v>
      </c>
      <c r="C725" s="302">
        <v>15.393365475388364</v>
      </c>
      <c r="D725" s="302">
        <f t="shared" si="268"/>
        <v>25.71611628332915</v>
      </c>
      <c r="E725" s="303"/>
      <c r="F725" s="302">
        <v>11.797502492901179</v>
      </c>
      <c r="G725" s="302">
        <v>17.499857415511034</v>
      </c>
      <c r="H725" s="302">
        <f t="shared" si="269"/>
        <v>29.297359908412211</v>
      </c>
      <c r="I725" s="303"/>
      <c r="J725" s="302">
        <v>12.693104436887502</v>
      </c>
      <c r="K725" s="302">
        <v>18.635478424989568</v>
      </c>
      <c r="L725" s="302">
        <f t="shared" si="270"/>
        <v>31.32858286187707</v>
      </c>
      <c r="M725" s="236"/>
      <c r="N725" s="236"/>
    </row>
    <row r="726" spans="1:14" x14ac:dyDescent="0.2">
      <c r="A726" s="237" t="str">
        <f>name!E$7</f>
        <v>Administrative and secretarial occupations</v>
      </c>
      <c r="B726" s="302">
        <v>5.1125022938411773</v>
      </c>
      <c r="C726" s="302">
        <v>0.91370645244081994</v>
      </c>
      <c r="D726" s="302">
        <f t="shared" si="268"/>
        <v>6.0262087462819975</v>
      </c>
      <c r="E726" s="303"/>
      <c r="F726" s="302">
        <v>5.1780098911142938</v>
      </c>
      <c r="G726" s="302">
        <v>1.0711764168076729</v>
      </c>
      <c r="H726" s="302">
        <f t="shared" si="269"/>
        <v>6.2491863079219669</v>
      </c>
      <c r="I726" s="303"/>
      <c r="J726" s="302">
        <v>4.0497667335991112</v>
      </c>
      <c r="K726" s="302">
        <v>0.92725187766519845</v>
      </c>
      <c r="L726" s="302">
        <f t="shared" si="270"/>
        <v>4.9770186112643096</v>
      </c>
      <c r="M726" s="236"/>
      <c r="N726" s="236"/>
    </row>
    <row r="727" spans="1:14" x14ac:dyDescent="0.2">
      <c r="A727" s="237" t="str">
        <f>name!E$8</f>
        <v>Skilled trades occupations</v>
      </c>
      <c r="B727" s="302">
        <v>0.77101311511743365</v>
      </c>
      <c r="C727" s="302">
        <v>3.0278800738686562</v>
      </c>
      <c r="D727" s="302">
        <f t="shared" si="268"/>
        <v>3.79889318898609</v>
      </c>
      <c r="E727" s="303"/>
      <c r="F727" s="302">
        <v>0.69751191832156401</v>
      </c>
      <c r="G727" s="302">
        <v>2.5083107003744169</v>
      </c>
      <c r="H727" s="302">
        <f t="shared" si="269"/>
        <v>3.2058226186959811</v>
      </c>
      <c r="I727" s="303"/>
      <c r="J727" s="302">
        <v>0.84716461297467138</v>
      </c>
      <c r="K727" s="302">
        <v>1.9393242187001547</v>
      </c>
      <c r="L727" s="302">
        <f t="shared" si="270"/>
        <v>2.7864888316748262</v>
      </c>
      <c r="M727" s="236"/>
      <c r="N727" s="236"/>
    </row>
    <row r="728" spans="1:14" x14ac:dyDescent="0.2">
      <c r="A728" s="237" t="str">
        <f>name!E$9</f>
        <v>Caring, leisure and other service occupations</v>
      </c>
      <c r="B728" s="302">
        <v>1.7964227861102229</v>
      </c>
      <c r="C728" s="302">
        <v>1.149102214676218</v>
      </c>
      <c r="D728" s="302">
        <f t="shared" si="268"/>
        <v>2.9455250007864411</v>
      </c>
      <c r="E728" s="303"/>
      <c r="F728" s="302">
        <v>1.7505550856355954</v>
      </c>
      <c r="G728" s="302">
        <v>1.2081837818460344</v>
      </c>
      <c r="H728" s="302">
        <f t="shared" si="269"/>
        <v>2.95873886748163</v>
      </c>
      <c r="I728" s="303"/>
      <c r="J728" s="302">
        <v>1.7576784402048979</v>
      </c>
      <c r="K728" s="302">
        <v>1.3517565116659964</v>
      </c>
      <c r="L728" s="302">
        <f t="shared" si="270"/>
        <v>3.1094349518708944</v>
      </c>
      <c r="M728" s="236"/>
      <c r="N728" s="236"/>
    </row>
    <row r="729" spans="1:14" x14ac:dyDescent="0.2">
      <c r="A729" s="237" t="str">
        <f>name!E$10</f>
        <v>Sales and customer service occupations</v>
      </c>
      <c r="B729" s="302">
        <v>1.6212209016843686</v>
      </c>
      <c r="C729" s="302">
        <v>1.1451949598688538</v>
      </c>
      <c r="D729" s="302">
        <f t="shared" si="268"/>
        <v>2.7664158615532224</v>
      </c>
      <c r="E729" s="303"/>
      <c r="F729" s="302">
        <v>1.6125411051415051</v>
      </c>
      <c r="G729" s="302">
        <v>1.16796998182522</v>
      </c>
      <c r="H729" s="302">
        <f t="shared" si="269"/>
        <v>2.7805110869667251</v>
      </c>
      <c r="I729" s="303"/>
      <c r="J729" s="302">
        <v>1.6142169331648939</v>
      </c>
      <c r="K729" s="302">
        <v>1.3600667213147726</v>
      </c>
      <c r="L729" s="302">
        <f t="shared" si="270"/>
        <v>2.9742836544796667</v>
      </c>
      <c r="M729" s="236"/>
      <c r="N729" s="236"/>
    </row>
    <row r="730" spans="1:14" x14ac:dyDescent="0.2">
      <c r="A730" s="237" t="str">
        <f>name!E$11</f>
        <v>Process, plant and machine operatives</v>
      </c>
      <c r="B730" s="302">
        <v>8.9793923934916517E-2</v>
      </c>
      <c r="C730" s="302">
        <v>0.31368718640015586</v>
      </c>
      <c r="D730" s="302">
        <f t="shared" si="268"/>
        <v>0.40348111033507239</v>
      </c>
      <c r="E730" s="303"/>
      <c r="F730" s="302">
        <v>7.5994473001129312E-2</v>
      </c>
      <c r="G730" s="302">
        <v>0.34847660710950168</v>
      </c>
      <c r="H730" s="302">
        <f t="shared" si="269"/>
        <v>0.424471080110631</v>
      </c>
      <c r="I730" s="303"/>
      <c r="J730" s="302">
        <v>9.8806654487267193E-2</v>
      </c>
      <c r="K730" s="302">
        <v>0.42860500402540491</v>
      </c>
      <c r="L730" s="302">
        <f t="shared" si="270"/>
        <v>0.52741165851267213</v>
      </c>
      <c r="M730" s="236"/>
      <c r="N730" s="236"/>
    </row>
    <row r="731" spans="1:14" x14ac:dyDescent="0.2">
      <c r="A731" s="237" t="str">
        <f>name!E$12</f>
        <v>Elementary occupations</v>
      </c>
      <c r="B731" s="302">
        <v>2.9629104135806084</v>
      </c>
      <c r="C731" s="302">
        <v>2.7307569255205126</v>
      </c>
      <c r="D731" s="302">
        <f t="shared" si="268"/>
        <v>5.693667339101121</v>
      </c>
      <c r="E731" s="303"/>
      <c r="F731" s="302">
        <v>2.3521551411735011</v>
      </c>
      <c r="G731" s="302">
        <v>2.7754181739761794</v>
      </c>
      <c r="H731" s="302">
        <f t="shared" si="269"/>
        <v>5.1275733151496805</v>
      </c>
      <c r="I731" s="303"/>
      <c r="J731" s="302">
        <v>2.4705090550925055</v>
      </c>
      <c r="K731" s="302">
        <v>3.0451957077355827</v>
      </c>
      <c r="L731" s="302">
        <f t="shared" si="270"/>
        <v>5.5157047628280882</v>
      </c>
      <c r="M731" s="236"/>
      <c r="N731" s="236"/>
    </row>
    <row r="732" spans="1:14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  <c r="N732" s="236"/>
    </row>
    <row r="733" spans="1:14" x14ac:dyDescent="0.2">
      <c r="A733" s="244" t="s">
        <v>32</v>
      </c>
      <c r="B733" s="311">
        <f>SUM(B723:B731)</f>
        <v>35.579999999849207</v>
      </c>
      <c r="C733" s="311">
        <f t="shared" ref="C733:D733" si="271">SUM(C723:C731)</f>
        <v>37.295000000150893</v>
      </c>
      <c r="D733" s="311">
        <f t="shared" si="271"/>
        <v>72.875000000000114</v>
      </c>
      <c r="E733" s="311"/>
      <c r="F733" s="311">
        <f t="shared" ref="F733:H733" si="272">SUM(F723:F731)</f>
        <v>40.257999999977883</v>
      </c>
      <c r="G733" s="311">
        <f t="shared" si="272"/>
        <v>41.236000000576595</v>
      </c>
      <c r="H733" s="311">
        <f t="shared" si="272"/>
        <v>81.494000000554479</v>
      </c>
      <c r="I733" s="311"/>
      <c r="J733" s="311">
        <f t="shared" ref="J733:L733" si="273">SUM(J723:J731)</f>
        <v>43.574000000051619</v>
      </c>
      <c r="K733" s="311">
        <f t="shared" si="273"/>
        <v>44.303000001001806</v>
      </c>
      <c r="L733" s="311">
        <f t="shared" si="273"/>
        <v>87.877000001053418</v>
      </c>
      <c r="M733" s="236"/>
      <c r="N733" s="236"/>
    </row>
    <row r="734" spans="1:14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  <c r="N734" s="236"/>
    </row>
    <row r="735" spans="1:14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56" t="s">
        <v>35</v>
      </c>
      <c r="M735" s="236"/>
      <c r="N735" s="236"/>
    </row>
    <row r="736" spans="1:14" x14ac:dyDescent="0.2">
      <c r="A736" s="242"/>
      <c r="B736" s="250"/>
      <c r="C736" s="250"/>
      <c r="D736" s="250"/>
      <c r="E736" s="250"/>
      <c r="F736" s="250"/>
      <c r="G736" s="250"/>
      <c r="H736" s="250"/>
      <c r="I736" s="250"/>
      <c r="J736" s="250"/>
      <c r="K736" s="250"/>
      <c r="L736" s="236"/>
      <c r="M736" s="236"/>
      <c r="N736" s="236"/>
    </row>
    <row r="737" spans="1:14" x14ac:dyDescent="0.2">
      <c r="A737" s="241" t="str">
        <f>name!A46</f>
        <v>Broadcasting</v>
      </c>
      <c r="B737" s="372">
        <f>B$6</f>
        <v>2015</v>
      </c>
      <c r="C737" s="372"/>
      <c r="D737" s="372"/>
      <c r="E737" s="253"/>
      <c r="F737" s="372">
        <f>F720</f>
        <v>2020</v>
      </c>
      <c r="G737" s="372"/>
      <c r="H737" s="372"/>
      <c r="I737" s="253"/>
      <c r="J737" s="372">
        <f>J720</f>
        <v>2035</v>
      </c>
      <c r="K737" s="372"/>
      <c r="L737" s="372"/>
      <c r="M737" s="236"/>
      <c r="N737" s="236"/>
    </row>
    <row r="738" spans="1:14" x14ac:dyDescent="0.2">
      <c r="A738" s="254"/>
      <c r="B738" s="255" t="s">
        <v>352</v>
      </c>
      <c r="C738" s="255" t="s">
        <v>353</v>
      </c>
      <c r="D738" s="255" t="s">
        <v>32</v>
      </c>
      <c r="E738" s="255"/>
      <c r="F738" s="255" t="s">
        <v>352</v>
      </c>
      <c r="G738" s="255" t="s">
        <v>353</v>
      </c>
      <c r="H738" s="255" t="s">
        <v>32</v>
      </c>
      <c r="I738" s="255"/>
      <c r="J738" s="255" t="s">
        <v>352</v>
      </c>
      <c r="K738" s="255" t="s">
        <v>353</v>
      </c>
      <c r="L738" s="255" t="s">
        <v>32</v>
      </c>
      <c r="M738" s="236"/>
      <c r="N738" s="236"/>
    </row>
    <row r="739" spans="1:14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  <c r="N739" s="236"/>
    </row>
    <row r="740" spans="1:14" x14ac:dyDescent="0.2">
      <c r="A740" s="237" t="str">
        <f>name!E$4</f>
        <v>Managers, directors and senior officials</v>
      </c>
      <c r="B740" s="302">
        <v>1.0088978170367737</v>
      </c>
      <c r="C740" s="302">
        <v>3.1112851578505252</v>
      </c>
      <c r="D740" s="302">
        <f>SUM(B740:C740)</f>
        <v>4.1201829748872987</v>
      </c>
      <c r="E740" s="303"/>
      <c r="F740" s="302">
        <v>1.1906239339715146</v>
      </c>
      <c r="G740" s="302">
        <v>2.6030766131971519</v>
      </c>
      <c r="H740" s="302">
        <f>SUM(F740:G740)</f>
        <v>3.7937005471686662</v>
      </c>
      <c r="I740" s="303"/>
      <c r="J740" s="302">
        <v>1.2938912304890786</v>
      </c>
      <c r="K740" s="302">
        <v>2.8711726996101756</v>
      </c>
      <c r="L740" s="302">
        <f>SUM(J740:K740)</f>
        <v>4.1650639300992545</v>
      </c>
      <c r="M740" s="236"/>
      <c r="N740" s="236"/>
    </row>
    <row r="741" spans="1:14" x14ac:dyDescent="0.2">
      <c r="A741" s="237" t="str">
        <f>name!E$5</f>
        <v>Professional occupations</v>
      </c>
      <c r="B741" s="302">
        <v>2.5549949581199511</v>
      </c>
      <c r="C741" s="302">
        <v>4.9346606090803649</v>
      </c>
      <c r="D741" s="302">
        <f t="shared" ref="D741:D748" si="274">SUM(B741:C741)</f>
        <v>7.489655567200316</v>
      </c>
      <c r="E741" s="303"/>
      <c r="F741" s="302">
        <v>3.063667502254837</v>
      </c>
      <c r="G741" s="302">
        <v>4.67480172857461</v>
      </c>
      <c r="H741" s="302">
        <f t="shared" ref="H741:H748" si="275">SUM(F741:G741)</f>
        <v>7.7384692308294465</v>
      </c>
      <c r="I741" s="303"/>
      <c r="J741" s="302">
        <v>3.5949188547830349</v>
      </c>
      <c r="K741" s="302">
        <v>5.4950718312025986</v>
      </c>
      <c r="L741" s="302">
        <f t="shared" ref="L741:L748" si="276">SUM(J741:K741)</f>
        <v>9.089990685985633</v>
      </c>
      <c r="M741" s="236"/>
      <c r="N741" s="236"/>
    </row>
    <row r="742" spans="1:14" x14ac:dyDescent="0.2">
      <c r="A742" s="237" t="str">
        <f>name!E$6</f>
        <v>Associate professional occupations</v>
      </c>
      <c r="B742" s="302">
        <v>3.012882892878348</v>
      </c>
      <c r="C742" s="302">
        <v>7.440245805768976</v>
      </c>
      <c r="D742" s="302">
        <f t="shared" si="274"/>
        <v>10.453128698647324</v>
      </c>
      <c r="E742" s="303"/>
      <c r="F742" s="302">
        <v>4.0428944461981038</v>
      </c>
      <c r="G742" s="302">
        <v>6.4028517061814441</v>
      </c>
      <c r="H742" s="302">
        <f t="shared" si="275"/>
        <v>10.445746152379549</v>
      </c>
      <c r="I742" s="303"/>
      <c r="J742" s="302">
        <v>4.1563512787216039</v>
      </c>
      <c r="K742" s="302">
        <v>6.3421245049604487</v>
      </c>
      <c r="L742" s="302">
        <f t="shared" si="276"/>
        <v>10.498475783682053</v>
      </c>
      <c r="M742" s="236"/>
      <c r="N742" s="236"/>
    </row>
    <row r="743" spans="1:14" x14ac:dyDescent="0.2">
      <c r="A743" s="237" t="str">
        <f>name!E$7</f>
        <v>Administrative and secretarial occupations</v>
      </c>
      <c r="B743" s="302">
        <v>1.3385065595917052</v>
      </c>
      <c r="C743" s="302">
        <v>0.51303464120502285</v>
      </c>
      <c r="D743" s="302">
        <f t="shared" si="274"/>
        <v>1.851541200796728</v>
      </c>
      <c r="E743" s="303"/>
      <c r="F743" s="302">
        <v>1.1406441067975615</v>
      </c>
      <c r="G743" s="302">
        <v>0.4908453135246395</v>
      </c>
      <c r="H743" s="302">
        <f t="shared" si="275"/>
        <v>1.631489420322201</v>
      </c>
      <c r="I743" s="303"/>
      <c r="J743" s="302">
        <v>0.89152036231189258</v>
      </c>
      <c r="K743" s="302">
        <v>0.46769864898592473</v>
      </c>
      <c r="L743" s="302">
        <f t="shared" si="276"/>
        <v>1.3592190112978173</v>
      </c>
      <c r="M743" s="236"/>
      <c r="N743" s="236"/>
    </row>
    <row r="744" spans="1:14" x14ac:dyDescent="0.2">
      <c r="A744" s="237" t="str">
        <f>name!E$8</f>
        <v>Skilled trades occupations</v>
      </c>
      <c r="B744" s="302">
        <v>0.25670402631049977</v>
      </c>
      <c r="C744" s="302">
        <v>2.2567352481501204</v>
      </c>
      <c r="D744" s="302">
        <f t="shared" si="274"/>
        <v>2.51343927446062</v>
      </c>
      <c r="E744" s="303"/>
      <c r="F744" s="302">
        <v>0.39724375760268832</v>
      </c>
      <c r="G744" s="302">
        <v>1.4576412700324475</v>
      </c>
      <c r="H744" s="302">
        <f t="shared" si="275"/>
        <v>1.8548850276351359</v>
      </c>
      <c r="I744" s="303"/>
      <c r="J744" s="302">
        <v>0.49477673830824304</v>
      </c>
      <c r="K744" s="302">
        <v>1.3797717112597729</v>
      </c>
      <c r="L744" s="302">
        <f t="shared" si="276"/>
        <v>1.874548449568016</v>
      </c>
      <c r="M744" s="236"/>
      <c r="N744" s="236"/>
    </row>
    <row r="745" spans="1:14" x14ac:dyDescent="0.2">
      <c r="A745" s="237" t="str">
        <f>name!E$9</f>
        <v>Caring, leisure and other service occupations</v>
      </c>
      <c r="B745" s="302">
        <v>0.38713345609168853</v>
      </c>
      <c r="C745" s="302">
        <v>0.71157667126024848</v>
      </c>
      <c r="D745" s="302">
        <f t="shared" si="274"/>
        <v>1.0987101273519371</v>
      </c>
      <c r="E745" s="303"/>
      <c r="F745" s="302">
        <v>0.36120123346276845</v>
      </c>
      <c r="G745" s="302">
        <v>0.60453863903647331</v>
      </c>
      <c r="H745" s="302">
        <f t="shared" si="275"/>
        <v>0.96573987249924176</v>
      </c>
      <c r="I745" s="303"/>
      <c r="J745" s="302">
        <v>0.35798098202551182</v>
      </c>
      <c r="K745" s="302">
        <v>0.82819283769152485</v>
      </c>
      <c r="L745" s="302">
        <f t="shared" si="276"/>
        <v>1.1861738197170366</v>
      </c>
      <c r="M745" s="236"/>
      <c r="N745" s="236"/>
    </row>
    <row r="746" spans="1:14" x14ac:dyDescent="0.2">
      <c r="A746" s="237" t="str">
        <f>name!E$10</f>
        <v>Sales and customer service occupations</v>
      </c>
      <c r="B746" s="302">
        <v>0.560432381765814</v>
      </c>
      <c r="C746" s="302">
        <v>0.7473177310775031</v>
      </c>
      <c r="D746" s="302">
        <f t="shared" si="274"/>
        <v>1.3077501128433171</v>
      </c>
      <c r="E746" s="303"/>
      <c r="F746" s="302">
        <v>0.46006179153986954</v>
      </c>
      <c r="G746" s="302">
        <v>0.61521682656893673</v>
      </c>
      <c r="H746" s="302">
        <f t="shared" si="275"/>
        <v>1.0752786181088063</v>
      </c>
      <c r="I746" s="303"/>
      <c r="J746" s="302">
        <v>0.41845181978374296</v>
      </c>
      <c r="K746" s="302">
        <v>0.78832612601124297</v>
      </c>
      <c r="L746" s="302">
        <f t="shared" si="276"/>
        <v>1.2067779457949859</v>
      </c>
      <c r="M746" s="236"/>
      <c r="N746" s="236"/>
    </row>
    <row r="747" spans="1:14" x14ac:dyDescent="0.2">
      <c r="A747" s="237" t="str">
        <f>name!E$11</f>
        <v>Process, plant and machine operatives</v>
      </c>
      <c r="B747" s="302">
        <v>1.7543316444927633E-2</v>
      </c>
      <c r="C747" s="302">
        <v>0.11726166379403045</v>
      </c>
      <c r="D747" s="302">
        <f t="shared" si="274"/>
        <v>0.13480498023895809</v>
      </c>
      <c r="E747" s="303"/>
      <c r="F747" s="302">
        <v>1.6210588798305371E-2</v>
      </c>
      <c r="G747" s="302">
        <v>8.9119898584649609E-2</v>
      </c>
      <c r="H747" s="302">
        <f t="shared" si="275"/>
        <v>0.10533048738295497</v>
      </c>
      <c r="I747" s="303"/>
      <c r="J747" s="302">
        <v>1.9373367858814904E-2</v>
      </c>
      <c r="K747" s="302">
        <v>9.6295415242471705E-2</v>
      </c>
      <c r="L747" s="302">
        <f t="shared" si="276"/>
        <v>0.11566878310128662</v>
      </c>
      <c r="M747" s="236"/>
      <c r="N747" s="236"/>
    </row>
    <row r="748" spans="1:14" x14ac:dyDescent="0.2">
      <c r="A748" s="237" t="str">
        <f>name!E$12</f>
        <v>Elementary occupations</v>
      </c>
      <c r="B748" s="302">
        <v>0.22590459169173938</v>
      </c>
      <c r="C748" s="302">
        <v>0.42588247179980748</v>
      </c>
      <c r="D748" s="302">
        <f t="shared" si="274"/>
        <v>0.6517870634915468</v>
      </c>
      <c r="E748" s="303"/>
      <c r="F748" s="302">
        <v>0.23745263935094288</v>
      </c>
      <c r="G748" s="302">
        <v>0.36290800456292965</v>
      </c>
      <c r="H748" s="302">
        <f t="shared" si="275"/>
        <v>0.60036064391387256</v>
      </c>
      <c r="I748" s="303"/>
      <c r="J748" s="302">
        <v>0.16573536574575204</v>
      </c>
      <c r="K748" s="302">
        <v>0.29734622550974832</v>
      </c>
      <c r="L748" s="302">
        <f t="shared" si="276"/>
        <v>0.46308159125550036</v>
      </c>
      <c r="M748" s="236"/>
      <c r="N748" s="236"/>
    </row>
    <row r="749" spans="1:14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  <c r="N749" s="236"/>
    </row>
    <row r="750" spans="1:14" x14ac:dyDescent="0.2">
      <c r="A750" s="244" t="s">
        <v>32</v>
      </c>
      <c r="B750" s="311">
        <f>SUM(B740:B748)</f>
        <v>9.3629999999314464</v>
      </c>
      <c r="C750" s="311">
        <f t="shared" ref="C750:D750" si="277">SUM(C740:C748)</f>
        <v>20.257999999986595</v>
      </c>
      <c r="D750" s="311">
        <f t="shared" si="277"/>
        <v>29.620999999918045</v>
      </c>
      <c r="E750" s="311"/>
      <c r="F750" s="311">
        <f t="shared" ref="F750:H750" si="278">SUM(F740:F748)</f>
        <v>10.90999999997659</v>
      </c>
      <c r="G750" s="311">
        <f t="shared" si="278"/>
        <v>17.301000000263279</v>
      </c>
      <c r="H750" s="311">
        <f t="shared" si="278"/>
        <v>28.211000000239874</v>
      </c>
      <c r="I750" s="311"/>
      <c r="J750" s="311">
        <f t="shared" ref="J750:L750" si="279">SUM(J740:J748)</f>
        <v>11.393000000027673</v>
      </c>
      <c r="K750" s="311">
        <f t="shared" si="279"/>
        <v>18.56600000047391</v>
      </c>
      <c r="L750" s="311">
        <f t="shared" si="279"/>
        <v>29.959000000501586</v>
      </c>
      <c r="M750" s="236"/>
      <c r="N750" s="236"/>
    </row>
    <row r="751" spans="1:14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  <c r="N751" s="236"/>
    </row>
    <row r="752" spans="1:14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56" t="s">
        <v>35</v>
      </c>
      <c r="M752" s="236"/>
      <c r="N752" s="236"/>
    </row>
    <row r="753" spans="1:14" x14ac:dyDescent="0.2">
      <c r="A753" s="242"/>
      <c r="B753" s="250"/>
      <c r="C753" s="250"/>
      <c r="D753" s="250"/>
      <c r="E753" s="250"/>
      <c r="F753" s="250"/>
      <c r="G753" s="250"/>
      <c r="H753" s="250"/>
      <c r="I753" s="250"/>
      <c r="J753" s="250"/>
      <c r="K753" s="250"/>
      <c r="L753" s="236"/>
      <c r="M753" s="236"/>
      <c r="N753" s="236"/>
    </row>
    <row r="754" spans="1:14" x14ac:dyDescent="0.2">
      <c r="A754" s="241" t="str">
        <f>name!A47</f>
        <v>Telecommunications</v>
      </c>
      <c r="B754" s="372">
        <f>B$6</f>
        <v>2015</v>
      </c>
      <c r="C754" s="372"/>
      <c r="D754" s="372"/>
      <c r="E754" s="253"/>
      <c r="F754" s="372">
        <f>F737</f>
        <v>2020</v>
      </c>
      <c r="G754" s="372"/>
      <c r="H754" s="372"/>
      <c r="I754" s="253"/>
      <c r="J754" s="372">
        <f>J737</f>
        <v>2035</v>
      </c>
      <c r="K754" s="372"/>
      <c r="L754" s="372"/>
      <c r="M754" s="236"/>
      <c r="N754" s="236"/>
    </row>
    <row r="755" spans="1:14" x14ac:dyDescent="0.2">
      <c r="A755" s="254"/>
      <c r="B755" s="255" t="s">
        <v>352</v>
      </c>
      <c r="C755" s="255" t="s">
        <v>353</v>
      </c>
      <c r="D755" s="255" t="s">
        <v>32</v>
      </c>
      <c r="E755" s="255"/>
      <c r="F755" s="255" t="s">
        <v>352</v>
      </c>
      <c r="G755" s="255" t="s">
        <v>353</v>
      </c>
      <c r="H755" s="255" t="s">
        <v>32</v>
      </c>
      <c r="I755" s="255"/>
      <c r="J755" s="255" t="s">
        <v>352</v>
      </c>
      <c r="K755" s="255" t="s">
        <v>353</v>
      </c>
      <c r="L755" s="255" t="s">
        <v>32</v>
      </c>
      <c r="M755" s="236"/>
      <c r="N755" s="236"/>
    </row>
    <row r="756" spans="1:14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  <c r="N756" s="236"/>
    </row>
    <row r="757" spans="1:14" x14ac:dyDescent="0.2">
      <c r="A757" s="237" t="str">
        <f>name!E$4</f>
        <v>Managers, directors and senior officials</v>
      </c>
      <c r="B757" s="302">
        <v>0.92045621056354032</v>
      </c>
      <c r="C757" s="302">
        <v>6.8778794958789371</v>
      </c>
      <c r="D757" s="302">
        <f>SUM(B757:C757)</f>
        <v>7.7983357064424776</v>
      </c>
      <c r="E757" s="303"/>
      <c r="F757" s="302">
        <v>1.1538568143166061</v>
      </c>
      <c r="G757" s="302">
        <v>6.4271678703033839</v>
      </c>
      <c r="H757" s="302">
        <f>SUM(F757:G757)</f>
        <v>7.5810246846199902</v>
      </c>
      <c r="I757" s="303"/>
      <c r="J757" s="302">
        <v>1.5053942990652709</v>
      </c>
      <c r="K757" s="302">
        <v>7.0377548520135367</v>
      </c>
      <c r="L757" s="302">
        <f>SUM(J757:K757)</f>
        <v>8.5431491510788078</v>
      </c>
      <c r="M757" s="236"/>
      <c r="N757" s="236"/>
    </row>
    <row r="758" spans="1:14" x14ac:dyDescent="0.2">
      <c r="A758" s="237" t="str">
        <f>name!E$5</f>
        <v>Professional occupations</v>
      </c>
      <c r="B758" s="302">
        <v>1.1419699164630925</v>
      </c>
      <c r="C758" s="302">
        <v>10.36413603757623</v>
      </c>
      <c r="D758" s="302">
        <f t="shared" ref="D758:D765" si="280">SUM(B758:C758)</f>
        <v>11.506105954039324</v>
      </c>
      <c r="E758" s="303"/>
      <c r="F758" s="302">
        <v>1.5395528007066397</v>
      </c>
      <c r="G758" s="302">
        <v>10.437528541929364</v>
      </c>
      <c r="H758" s="302">
        <f t="shared" ref="H758:H765" si="281">SUM(F758:G758)</f>
        <v>11.977081342636003</v>
      </c>
      <c r="I758" s="303"/>
      <c r="J758" s="302">
        <v>2.0825214418005125</v>
      </c>
      <c r="K758" s="302">
        <v>12.872103324810583</v>
      </c>
      <c r="L758" s="302">
        <f t="shared" ref="L758:L765" si="282">SUM(J758:K758)</f>
        <v>14.954624766611095</v>
      </c>
      <c r="M758" s="236"/>
      <c r="N758" s="236"/>
    </row>
    <row r="759" spans="1:14" x14ac:dyDescent="0.2">
      <c r="A759" s="237" t="str">
        <f>name!E$6</f>
        <v>Associate professional occupations</v>
      </c>
      <c r="B759" s="302">
        <v>1.0556934724126246</v>
      </c>
      <c r="C759" s="302">
        <v>4.6701882898139555</v>
      </c>
      <c r="D759" s="302">
        <f t="shared" si="280"/>
        <v>5.7258817622265799</v>
      </c>
      <c r="E759" s="303"/>
      <c r="F759" s="302">
        <v>1.2552371166385814</v>
      </c>
      <c r="G759" s="302">
        <v>4.4354819652183357</v>
      </c>
      <c r="H759" s="302">
        <f t="shared" si="281"/>
        <v>5.6907190818569173</v>
      </c>
      <c r="I759" s="303"/>
      <c r="J759" s="302">
        <v>1.4907427746510591</v>
      </c>
      <c r="K759" s="302">
        <v>4.8966440336196939</v>
      </c>
      <c r="L759" s="302">
        <f t="shared" si="282"/>
        <v>6.3873868082707528</v>
      </c>
      <c r="M759" s="236"/>
      <c r="N759" s="236"/>
    </row>
    <row r="760" spans="1:14" x14ac:dyDescent="0.2">
      <c r="A760" s="237" t="str">
        <f>name!E$7</f>
        <v>Administrative and secretarial occupations</v>
      </c>
      <c r="B760" s="302">
        <v>0.86153309462527139</v>
      </c>
      <c r="C760" s="302">
        <v>1.3225149077664919</v>
      </c>
      <c r="D760" s="302">
        <f t="shared" si="280"/>
        <v>2.1840480023917634</v>
      </c>
      <c r="E760" s="303"/>
      <c r="F760" s="302">
        <v>0.84783943003735973</v>
      </c>
      <c r="G760" s="302">
        <v>1.3530020216099454</v>
      </c>
      <c r="H760" s="302">
        <f t="shared" si="281"/>
        <v>2.2008414516473049</v>
      </c>
      <c r="I760" s="303"/>
      <c r="J760" s="302">
        <v>0.82535442691713845</v>
      </c>
      <c r="K760" s="302">
        <v>1.5062785087555999</v>
      </c>
      <c r="L760" s="302">
        <f t="shared" si="282"/>
        <v>2.3316329356727383</v>
      </c>
      <c r="M760" s="236"/>
      <c r="N760" s="236"/>
    </row>
    <row r="761" spans="1:14" x14ac:dyDescent="0.2">
      <c r="A761" s="237" t="str">
        <f>name!E$8</f>
        <v>Skilled trades occupations</v>
      </c>
      <c r="B761" s="302">
        <v>0.10244396203884409</v>
      </c>
      <c r="C761" s="302">
        <v>5.1491574184649167</v>
      </c>
      <c r="D761" s="302">
        <f t="shared" si="280"/>
        <v>5.2516013805037609</v>
      </c>
      <c r="E761" s="303"/>
      <c r="F761" s="302">
        <v>0.12469115009913362</v>
      </c>
      <c r="G761" s="302">
        <v>3.5260715451884184</v>
      </c>
      <c r="H761" s="302">
        <f t="shared" si="281"/>
        <v>3.6507626952875518</v>
      </c>
      <c r="I761" s="303"/>
      <c r="J761" s="302">
        <v>0.19775177030586566</v>
      </c>
      <c r="K761" s="302">
        <v>2.8603929131155938</v>
      </c>
      <c r="L761" s="302">
        <f t="shared" si="282"/>
        <v>3.0581446834214594</v>
      </c>
      <c r="M761" s="236"/>
      <c r="N761" s="236"/>
    </row>
    <row r="762" spans="1:14" x14ac:dyDescent="0.2">
      <c r="A762" s="237" t="str">
        <f>name!E$9</f>
        <v>Caring, leisure and other service occupations</v>
      </c>
      <c r="B762" s="302">
        <v>0.12022060506791331</v>
      </c>
      <c r="C762" s="302">
        <v>1.329679651973128</v>
      </c>
      <c r="D762" s="302">
        <f t="shared" si="280"/>
        <v>1.4499002570410413</v>
      </c>
      <c r="E762" s="303"/>
      <c r="F762" s="302">
        <v>6.607962448626159E-2</v>
      </c>
      <c r="G762" s="302">
        <v>1.1331736158004875</v>
      </c>
      <c r="H762" s="302">
        <f t="shared" si="281"/>
        <v>1.1992532402867491</v>
      </c>
      <c r="I762" s="303"/>
      <c r="J762" s="302">
        <v>6.4393678314231498E-2</v>
      </c>
      <c r="K762" s="302">
        <v>1.6873926986687873</v>
      </c>
      <c r="L762" s="302">
        <f t="shared" si="282"/>
        <v>1.7517863769830189</v>
      </c>
      <c r="M762" s="236"/>
      <c r="N762" s="236"/>
    </row>
    <row r="763" spans="1:14" x14ac:dyDescent="0.2">
      <c r="A763" s="237" t="str">
        <f>name!E$10</f>
        <v>Sales and customer service occupations</v>
      </c>
      <c r="B763" s="302">
        <v>1.3448277558647213</v>
      </c>
      <c r="C763" s="302">
        <v>2.4718476804888998</v>
      </c>
      <c r="D763" s="302">
        <f t="shared" si="280"/>
        <v>3.8166754363536208</v>
      </c>
      <c r="E763" s="303"/>
      <c r="F763" s="302">
        <v>1.4311268969117914</v>
      </c>
      <c r="G763" s="302">
        <v>2.6366002373125146</v>
      </c>
      <c r="H763" s="302">
        <f t="shared" si="281"/>
        <v>4.067727134224306</v>
      </c>
      <c r="I763" s="303"/>
      <c r="J763" s="302">
        <v>1.7040086311147444</v>
      </c>
      <c r="K763" s="302">
        <v>3.7274450117482325</v>
      </c>
      <c r="L763" s="302">
        <f t="shared" si="282"/>
        <v>5.4314536428629765</v>
      </c>
      <c r="M763" s="236"/>
      <c r="N763" s="236"/>
    </row>
    <row r="764" spans="1:14" x14ac:dyDescent="0.2">
      <c r="A764" s="237" t="str">
        <f>name!E$11</f>
        <v>Process, plant and machine operatives</v>
      </c>
      <c r="B764" s="302">
        <v>2.4540134907208945E-2</v>
      </c>
      <c r="C764" s="302">
        <v>0.28153981870613326</v>
      </c>
      <c r="D764" s="302">
        <f t="shared" si="280"/>
        <v>0.30607995361334223</v>
      </c>
      <c r="E764" s="303"/>
      <c r="F764" s="302">
        <v>1.5833175122591636E-2</v>
      </c>
      <c r="G764" s="302">
        <v>0.22037420164643215</v>
      </c>
      <c r="H764" s="302">
        <f t="shared" si="281"/>
        <v>0.23620737676902379</v>
      </c>
      <c r="I764" s="303"/>
      <c r="J764" s="302">
        <v>3.1319284860572921E-2</v>
      </c>
      <c r="K764" s="302">
        <v>0.28893155823609207</v>
      </c>
      <c r="L764" s="302">
        <f t="shared" si="282"/>
        <v>0.32025084309666496</v>
      </c>
      <c r="M764" s="236"/>
      <c r="N764" s="236"/>
    </row>
    <row r="765" spans="1:14" x14ac:dyDescent="0.2">
      <c r="A765" s="237" t="str">
        <f>name!E$12</f>
        <v>Elementary occupations</v>
      </c>
      <c r="B765" s="302">
        <v>6.1314848032567856E-2</v>
      </c>
      <c r="C765" s="302">
        <v>0.45205669885224631</v>
      </c>
      <c r="D765" s="302">
        <f t="shared" si="280"/>
        <v>0.51337154688481412</v>
      </c>
      <c r="E765" s="303"/>
      <c r="F765" s="302">
        <v>4.4782991647205249E-2</v>
      </c>
      <c r="G765" s="302">
        <v>0.3786000011962502</v>
      </c>
      <c r="H765" s="302">
        <f t="shared" si="281"/>
        <v>0.42338299284345543</v>
      </c>
      <c r="I765" s="303"/>
      <c r="J765" s="302">
        <v>4.1513692945841313E-2</v>
      </c>
      <c r="K765" s="302">
        <v>0.50105709946539767</v>
      </c>
      <c r="L765" s="302">
        <f t="shared" si="282"/>
        <v>0.54257079241123896</v>
      </c>
      <c r="M765" s="236"/>
      <c r="N765" s="236"/>
    </row>
    <row r="766" spans="1:14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  <c r="N766" s="236"/>
    </row>
    <row r="767" spans="1:14" x14ac:dyDescent="0.2">
      <c r="A767" s="244" t="s">
        <v>32</v>
      </c>
      <c r="B767" s="311">
        <f>SUM(B757:B765)</f>
        <v>5.6329999999757838</v>
      </c>
      <c r="C767" s="311">
        <f t="shared" ref="C767:D767" si="283">SUM(C757:C765)</f>
        <v>32.918999999520942</v>
      </c>
      <c r="D767" s="311">
        <f t="shared" si="283"/>
        <v>38.551999999496715</v>
      </c>
      <c r="E767" s="311"/>
      <c r="F767" s="311">
        <f t="shared" ref="F767:H767" si="284">SUM(F757:F765)</f>
        <v>6.4789999999661712</v>
      </c>
      <c r="G767" s="311">
        <f t="shared" si="284"/>
        <v>30.548000000205132</v>
      </c>
      <c r="H767" s="311">
        <f t="shared" si="284"/>
        <v>37.027000000171306</v>
      </c>
      <c r="I767" s="311"/>
      <c r="J767" s="311">
        <f t="shared" ref="J767:L767" si="285">SUM(J757:J765)</f>
        <v>7.9429999999752372</v>
      </c>
      <c r="K767" s="311">
        <f t="shared" si="285"/>
        <v>35.378000000433516</v>
      </c>
      <c r="L767" s="311">
        <f t="shared" si="285"/>
        <v>43.321000000408759</v>
      </c>
      <c r="M767" s="236"/>
      <c r="N767" s="236"/>
    </row>
    <row r="768" spans="1:14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  <c r="N768" s="236"/>
    </row>
    <row r="769" spans="1:14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56" t="s">
        <v>35</v>
      </c>
      <c r="M769" s="236"/>
      <c r="N769" s="236"/>
    </row>
    <row r="770" spans="1:14" x14ac:dyDescent="0.2">
      <c r="A770" s="242"/>
      <c r="B770" s="250"/>
      <c r="C770" s="250"/>
      <c r="D770" s="250"/>
      <c r="E770" s="250"/>
      <c r="F770" s="250"/>
      <c r="G770" s="250"/>
      <c r="H770" s="250"/>
      <c r="I770" s="250"/>
      <c r="J770" s="250"/>
      <c r="K770" s="250"/>
      <c r="L770" s="236"/>
      <c r="M770" s="236"/>
      <c r="N770" s="236"/>
    </row>
    <row r="771" spans="1:14" x14ac:dyDescent="0.2">
      <c r="A771" s="241" t="str">
        <f>name!A48</f>
        <v>Computing services</v>
      </c>
      <c r="B771" s="372">
        <f>B$6</f>
        <v>2015</v>
      </c>
      <c r="C771" s="372"/>
      <c r="D771" s="372"/>
      <c r="E771" s="253"/>
      <c r="F771" s="372">
        <f>F$6</f>
        <v>2020</v>
      </c>
      <c r="G771" s="372"/>
      <c r="H771" s="372"/>
      <c r="I771" s="253"/>
      <c r="J771" s="372">
        <f>J$6</f>
        <v>2035</v>
      </c>
      <c r="K771" s="372"/>
      <c r="L771" s="372"/>
      <c r="M771" s="236"/>
      <c r="N771" s="236"/>
    </row>
    <row r="772" spans="1:14" x14ac:dyDescent="0.2">
      <c r="A772" s="254"/>
      <c r="B772" s="255" t="s">
        <v>352</v>
      </c>
      <c r="C772" s="255" t="s">
        <v>353</v>
      </c>
      <c r="D772" s="255" t="s">
        <v>32</v>
      </c>
      <c r="E772" s="255"/>
      <c r="F772" s="255" t="s">
        <v>352</v>
      </c>
      <c r="G772" s="255" t="s">
        <v>353</v>
      </c>
      <c r="H772" s="255" t="s">
        <v>32</v>
      </c>
      <c r="I772" s="255"/>
      <c r="J772" s="255" t="s">
        <v>352</v>
      </c>
      <c r="K772" s="255" t="s">
        <v>353</v>
      </c>
      <c r="L772" s="255" t="s">
        <v>32</v>
      </c>
      <c r="M772" s="236"/>
      <c r="N772" s="236"/>
    </row>
    <row r="773" spans="1:14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  <c r="N773" s="236"/>
    </row>
    <row r="774" spans="1:14" x14ac:dyDescent="0.2">
      <c r="A774" s="237" t="str">
        <f>name!E$4</f>
        <v>Managers, directors and senior officials</v>
      </c>
      <c r="B774" s="302">
        <v>7.7126151145406512</v>
      </c>
      <c r="C774" s="302">
        <v>24.513200554049806</v>
      </c>
      <c r="D774" s="302">
        <f>SUM(B774:C774)</f>
        <v>32.225815668590457</v>
      </c>
      <c r="E774" s="303"/>
      <c r="F774" s="302">
        <v>12.415557329891504</v>
      </c>
      <c r="G774" s="302">
        <v>31.474220663303321</v>
      </c>
      <c r="H774" s="302">
        <f>SUM(F774:G774)</f>
        <v>43.889777993194826</v>
      </c>
      <c r="I774" s="303"/>
      <c r="J774" s="302">
        <v>16.090443705397792</v>
      </c>
      <c r="K774" s="302">
        <v>34.516837325322022</v>
      </c>
      <c r="L774" s="302">
        <f>SUM(J774:K774)</f>
        <v>50.607281030719818</v>
      </c>
      <c r="M774" s="236"/>
      <c r="N774" s="236"/>
    </row>
    <row r="775" spans="1:14" x14ac:dyDescent="0.2">
      <c r="A775" s="237" t="str">
        <f>name!E$5</f>
        <v>Professional occupations</v>
      </c>
      <c r="B775" s="302">
        <v>18.09879562351118</v>
      </c>
      <c r="C775" s="302">
        <v>69.503738644855829</v>
      </c>
      <c r="D775" s="302">
        <f t="shared" ref="D775:D782" si="286">SUM(B775:C775)</f>
        <v>87.602534268367009</v>
      </c>
      <c r="E775" s="303"/>
      <c r="F775" s="302">
        <v>32.096231936013339</v>
      </c>
      <c r="G775" s="302">
        <v>94.2759308289736</v>
      </c>
      <c r="H775" s="302">
        <f t="shared" ref="H775:H782" si="287">SUM(F775:G775)</f>
        <v>126.37216276498694</v>
      </c>
      <c r="I775" s="303"/>
      <c r="J775" s="302">
        <v>42.706932895717081</v>
      </c>
      <c r="K775" s="302">
        <v>113.87586773830843</v>
      </c>
      <c r="L775" s="302">
        <f t="shared" ref="L775:L782" si="288">SUM(J775:K775)</f>
        <v>156.58280063402552</v>
      </c>
      <c r="M775" s="236"/>
      <c r="N775" s="236"/>
    </row>
    <row r="776" spans="1:14" x14ac:dyDescent="0.2">
      <c r="A776" s="237" t="str">
        <f>name!E$6</f>
        <v>Associate professional occupations</v>
      </c>
      <c r="B776" s="302">
        <v>10.721270092237395</v>
      </c>
      <c r="C776" s="302">
        <v>25.294008364109175</v>
      </c>
      <c r="D776" s="302">
        <f t="shared" si="286"/>
        <v>36.015278456346572</v>
      </c>
      <c r="E776" s="303"/>
      <c r="F776" s="302">
        <v>16.001963031232314</v>
      </c>
      <c r="G776" s="302">
        <v>32.65260595197438</v>
      </c>
      <c r="H776" s="302">
        <f t="shared" si="287"/>
        <v>48.654568983206694</v>
      </c>
      <c r="I776" s="303"/>
      <c r="J776" s="302">
        <v>18.74794214149</v>
      </c>
      <c r="K776" s="302">
        <v>35.943496118142328</v>
      </c>
      <c r="L776" s="302">
        <f t="shared" si="288"/>
        <v>54.691438259632328</v>
      </c>
      <c r="M776" s="236"/>
      <c r="N776" s="236"/>
    </row>
    <row r="777" spans="1:14" x14ac:dyDescent="0.2">
      <c r="A777" s="237" t="str">
        <f>name!E$7</f>
        <v>Administrative and secretarial occupations</v>
      </c>
      <c r="B777" s="302">
        <v>7.0838035416116991</v>
      </c>
      <c r="C777" s="302">
        <v>2.5966092881056109</v>
      </c>
      <c r="D777" s="302">
        <f t="shared" si="286"/>
        <v>9.6804128297173104</v>
      </c>
      <c r="E777" s="303"/>
      <c r="F777" s="302">
        <v>7.8368902076025426</v>
      </c>
      <c r="G777" s="302">
        <v>3.2517706851241264</v>
      </c>
      <c r="H777" s="302">
        <f t="shared" si="287"/>
        <v>11.088660892726669</v>
      </c>
      <c r="I777" s="303"/>
      <c r="J777" s="302">
        <v>6.4537398294778887</v>
      </c>
      <c r="K777" s="302">
        <v>2.847032494432721</v>
      </c>
      <c r="L777" s="302">
        <f t="shared" si="288"/>
        <v>9.3007723239106106</v>
      </c>
      <c r="M777" s="236"/>
      <c r="N777" s="236"/>
    </row>
    <row r="778" spans="1:14" x14ac:dyDescent="0.2">
      <c r="A778" s="237" t="str">
        <f>name!E$8</f>
        <v>Skilled trades occupations</v>
      </c>
      <c r="B778" s="302">
        <v>0.55630637047940279</v>
      </c>
      <c r="C778" s="302">
        <v>6.8804471459240713</v>
      </c>
      <c r="D778" s="302">
        <f t="shared" si="286"/>
        <v>7.4367535164034742</v>
      </c>
      <c r="E778" s="303"/>
      <c r="F778" s="302">
        <v>0.88216523540278713</v>
      </c>
      <c r="G778" s="302">
        <v>6.4575247188296485</v>
      </c>
      <c r="H778" s="302">
        <f t="shared" si="287"/>
        <v>7.3396899542324352</v>
      </c>
      <c r="I778" s="303"/>
      <c r="J778" s="302">
        <v>1.0574264451117965</v>
      </c>
      <c r="K778" s="302">
        <v>6.5940607041634181</v>
      </c>
      <c r="L778" s="302">
        <f t="shared" si="288"/>
        <v>7.6514871492752148</v>
      </c>
      <c r="M778" s="236"/>
      <c r="N778" s="236"/>
    </row>
    <row r="779" spans="1:14" x14ac:dyDescent="0.2">
      <c r="A779" s="237" t="str">
        <f>name!E$9</f>
        <v>Caring, leisure and other service occupations</v>
      </c>
      <c r="B779" s="302">
        <v>0.99645292442090527</v>
      </c>
      <c r="C779" s="302">
        <v>1.3200963128469607</v>
      </c>
      <c r="D779" s="302">
        <f t="shared" si="286"/>
        <v>2.316549237267866</v>
      </c>
      <c r="E779" s="303"/>
      <c r="F779" s="302">
        <v>1.225568398977483</v>
      </c>
      <c r="G779" s="302">
        <v>1.5125962902855865</v>
      </c>
      <c r="H779" s="302">
        <f t="shared" si="287"/>
        <v>2.7381646892630696</v>
      </c>
      <c r="I779" s="303"/>
      <c r="J779" s="302">
        <v>1.38458903207727</v>
      </c>
      <c r="K779" s="302">
        <v>2.3369271017997564</v>
      </c>
      <c r="L779" s="302">
        <f t="shared" si="288"/>
        <v>3.7215161338770262</v>
      </c>
      <c r="M779" s="236"/>
      <c r="N779" s="236"/>
    </row>
    <row r="780" spans="1:14" x14ac:dyDescent="0.2">
      <c r="A780" s="237" t="str">
        <f>name!E$10</f>
        <v>Sales and customer service occupations</v>
      </c>
      <c r="B780" s="302">
        <v>2.1055390817445896</v>
      </c>
      <c r="C780" s="302">
        <v>1.1975494963898927</v>
      </c>
      <c r="D780" s="302">
        <f t="shared" si="286"/>
        <v>3.3030885781344823</v>
      </c>
      <c r="E780" s="303"/>
      <c r="F780" s="302">
        <v>2.561850065635602</v>
      </c>
      <c r="G780" s="302">
        <v>1.3791849303923864</v>
      </c>
      <c r="H780" s="302">
        <f t="shared" si="287"/>
        <v>3.9410349960279882</v>
      </c>
      <c r="I780" s="303"/>
      <c r="J780" s="302">
        <v>3.1994170144625569</v>
      </c>
      <c r="K780" s="302">
        <v>1.9269540404266936</v>
      </c>
      <c r="L780" s="302">
        <f t="shared" si="288"/>
        <v>5.1263710548892503</v>
      </c>
      <c r="M780" s="236"/>
      <c r="N780" s="236"/>
    </row>
    <row r="781" spans="1:14" x14ac:dyDescent="0.2">
      <c r="A781" s="237" t="str">
        <f>name!E$11</f>
        <v>Process, plant and machine operatives</v>
      </c>
      <c r="B781" s="302">
        <v>0.41616971929434876</v>
      </c>
      <c r="C781" s="302">
        <v>0.92834711056629793</v>
      </c>
      <c r="D781" s="302">
        <f t="shared" si="286"/>
        <v>1.3445168298606467</v>
      </c>
      <c r="E781" s="303"/>
      <c r="F781" s="302">
        <v>0.4328522873189995</v>
      </c>
      <c r="G781" s="302">
        <v>1.2907948447089095</v>
      </c>
      <c r="H781" s="302">
        <f t="shared" si="287"/>
        <v>1.723647132027909</v>
      </c>
      <c r="I781" s="303"/>
      <c r="J781" s="302">
        <v>0.78773434690706989</v>
      </c>
      <c r="K781" s="302">
        <v>1.6657287526927953</v>
      </c>
      <c r="L781" s="302">
        <f t="shared" si="288"/>
        <v>2.4534630995998654</v>
      </c>
      <c r="M781" s="236"/>
      <c r="N781" s="236"/>
    </row>
    <row r="782" spans="1:14" x14ac:dyDescent="0.2">
      <c r="A782" s="237" t="str">
        <f>name!E$12</f>
        <v>Elementary occupations</v>
      </c>
      <c r="B782" s="302">
        <v>1.0180475316202273</v>
      </c>
      <c r="C782" s="302">
        <v>0.36800308019633166</v>
      </c>
      <c r="D782" s="302">
        <f t="shared" si="286"/>
        <v>1.386050611816559</v>
      </c>
      <c r="E782" s="303"/>
      <c r="F782" s="302">
        <v>0.64692150761701694</v>
      </c>
      <c r="G782" s="302">
        <v>0.33837108879480776</v>
      </c>
      <c r="H782" s="302">
        <f t="shared" si="287"/>
        <v>0.98529259641182465</v>
      </c>
      <c r="I782" s="303"/>
      <c r="J782" s="302">
        <v>0.78977458924642385</v>
      </c>
      <c r="K782" s="302">
        <v>0.22909572845665377</v>
      </c>
      <c r="L782" s="302">
        <f t="shared" si="288"/>
        <v>1.0188703177030776</v>
      </c>
      <c r="M782" s="236"/>
      <c r="N782" s="236"/>
    </row>
    <row r="783" spans="1:14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  <c r="N783" s="236"/>
    </row>
    <row r="784" spans="1:14" x14ac:dyDescent="0.2">
      <c r="A784" s="244" t="s">
        <v>32</v>
      </c>
      <c r="B784" s="311">
        <f>SUM(B774:B782)</f>
        <v>48.708999999460403</v>
      </c>
      <c r="C784" s="311">
        <f t="shared" ref="C784:D784" si="289">SUM(C774:C782)</f>
        <v>132.60199999704398</v>
      </c>
      <c r="D784" s="311">
        <f t="shared" si="289"/>
        <v>181.31099999650442</v>
      </c>
      <c r="E784" s="311"/>
      <c r="F784" s="311">
        <f t="shared" ref="F784:H784" si="290">SUM(F774:F782)</f>
        <v>74.099999999691576</v>
      </c>
      <c r="G784" s="311">
        <f t="shared" si="290"/>
        <v>172.63300000238678</v>
      </c>
      <c r="H784" s="311">
        <f t="shared" si="290"/>
        <v>246.73300000207834</v>
      </c>
      <c r="I784" s="311"/>
      <c r="J784" s="311">
        <f t="shared" ref="J784:L784" si="291">SUM(J774:J782)</f>
        <v>91.21799999988788</v>
      </c>
      <c r="K784" s="311">
        <f t="shared" si="291"/>
        <v>199.93600000374477</v>
      </c>
      <c r="L784" s="311">
        <f t="shared" si="291"/>
        <v>291.15400000363269</v>
      </c>
      <c r="M784" s="236"/>
      <c r="N784" s="236"/>
    </row>
    <row r="785" spans="1:14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  <c r="N785" s="236"/>
    </row>
    <row r="786" spans="1:14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56" t="s">
        <v>35</v>
      </c>
      <c r="M786" s="236"/>
      <c r="N786" s="236"/>
    </row>
    <row r="787" spans="1:14" x14ac:dyDescent="0.2">
      <c r="A787" s="242"/>
      <c r="B787" s="250"/>
      <c r="C787" s="250"/>
      <c r="D787" s="250"/>
      <c r="E787" s="250"/>
      <c r="F787" s="250"/>
      <c r="G787" s="250"/>
      <c r="H787" s="250"/>
      <c r="I787" s="250"/>
      <c r="J787" s="250"/>
      <c r="K787" s="250"/>
      <c r="L787" s="236"/>
      <c r="M787" s="236"/>
      <c r="N787" s="236"/>
    </row>
    <row r="788" spans="1:14" x14ac:dyDescent="0.2">
      <c r="A788" s="241" t="str">
        <f>name!A49</f>
        <v>Information services</v>
      </c>
      <c r="B788" s="372">
        <f>B$6</f>
        <v>2015</v>
      </c>
      <c r="C788" s="372"/>
      <c r="D788" s="372"/>
      <c r="E788" s="253"/>
      <c r="F788" s="372">
        <f>F$6</f>
        <v>2020</v>
      </c>
      <c r="G788" s="372"/>
      <c r="H788" s="372"/>
      <c r="I788" s="253"/>
      <c r="J788" s="372">
        <f>J$6</f>
        <v>2035</v>
      </c>
      <c r="K788" s="372"/>
      <c r="L788" s="372"/>
      <c r="M788" s="236"/>
      <c r="N788" s="236"/>
    </row>
    <row r="789" spans="1:14" x14ac:dyDescent="0.2">
      <c r="A789" s="254"/>
      <c r="B789" s="255" t="s">
        <v>352</v>
      </c>
      <c r="C789" s="255" t="s">
        <v>353</v>
      </c>
      <c r="D789" s="255" t="s">
        <v>32</v>
      </c>
      <c r="E789" s="255"/>
      <c r="F789" s="255" t="s">
        <v>352</v>
      </c>
      <c r="G789" s="255" t="s">
        <v>353</v>
      </c>
      <c r="H789" s="255" t="s">
        <v>32</v>
      </c>
      <c r="I789" s="255"/>
      <c r="J789" s="255" t="s">
        <v>352</v>
      </c>
      <c r="K789" s="255" t="s">
        <v>353</v>
      </c>
      <c r="L789" s="255" t="s">
        <v>32</v>
      </c>
      <c r="M789" s="236"/>
      <c r="N789" s="236"/>
    </row>
    <row r="790" spans="1:14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  <c r="N790" s="236"/>
    </row>
    <row r="791" spans="1:14" x14ac:dyDescent="0.2">
      <c r="A791" s="237" t="str">
        <f>name!E$4</f>
        <v>Managers, directors and senior officials</v>
      </c>
      <c r="B791" s="302">
        <v>2.9097860946798093</v>
      </c>
      <c r="C791" s="302">
        <v>4.0842038774197711</v>
      </c>
      <c r="D791" s="302">
        <f>SUM(B791:C791)</f>
        <v>6.9939899720995804</v>
      </c>
      <c r="E791" s="303"/>
      <c r="F791" s="302">
        <v>3.9286171507987406</v>
      </c>
      <c r="G791" s="302">
        <v>4.2051637250815643</v>
      </c>
      <c r="H791" s="302">
        <f>SUM(F791:G791)</f>
        <v>8.133780875880305</v>
      </c>
      <c r="I791" s="303"/>
      <c r="J791" s="302">
        <v>5.1710908860640723</v>
      </c>
      <c r="K791" s="302">
        <v>4.7247792603667058</v>
      </c>
      <c r="L791" s="302">
        <f>SUM(J791:K791)</f>
        <v>9.8958701464307772</v>
      </c>
      <c r="M791" s="236"/>
      <c r="N791" s="236"/>
    </row>
    <row r="792" spans="1:14" x14ac:dyDescent="0.2">
      <c r="A792" s="237" t="str">
        <f>name!E$5</f>
        <v>Professional occupations</v>
      </c>
      <c r="B792" s="302">
        <v>5.8755207563992107</v>
      </c>
      <c r="C792" s="302">
        <v>10.509101553627392</v>
      </c>
      <c r="D792" s="302">
        <f t="shared" ref="D792:D799" si="292">SUM(B792:C792)</f>
        <v>16.384622310026604</v>
      </c>
      <c r="E792" s="303"/>
      <c r="F792" s="302">
        <v>9.1203408312593162</v>
      </c>
      <c r="G792" s="302">
        <v>11.418462286608476</v>
      </c>
      <c r="H792" s="302">
        <f t="shared" ref="H792:H799" si="293">SUM(F792:G792)</f>
        <v>20.538803117867793</v>
      </c>
      <c r="I792" s="303"/>
      <c r="J792" s="302">
        <v>12.133692632185552</v>
      </c>
      <c r="K792" s="302">
        <v>14.244107314718816</v>
      </c>
      <c r="L792" s="302">
        <f t="shared" ref="L792:L799" si="294">SUM(J792:K792)</f>
        <v>26.377799946904368</v>
      </c>
      <c r="M792" s="236"/>
      <c r="N792" s="236"/>
    </row>
    <row r="793" spans="1:14" x14ac:dyDescent="0.2">
      <c r="A793" s="237" t="str">
        <f>name!E$6</f>
        <v>Associate professional occupations</v>
      </c>
      <c r="B793" s="302">
        <v>3.9228652847111216</v>
      </c>
      <c r="C793" s="302">
        <v>4.8695284780923993</v>
      </c>
      <c r="D793" s="302">
        <f t="shared" si="292"/>
        <v>8.7923937628035205</v>
      </c>
      <c r="E793" s="303"/>
      <c r="F793" s="302">
        <v>5.38475383793888</v>
      </c>
      <c r="G793" s="302">
        <v>4.9302016209383108</v>
      </c>
      <c r="H793" s="302">
        <f t="shared" si="293"/>
        <v>10.31495545887719</v>
      </c>
      <c r="I793" s="303"/>
      <c r="J793" s="302">
        <v>6.2526352043143598</v>
      </c>
      <c r="K793" s="302">
        <v>5.3393580965781275</v>
      </c>
      <c r="L793" s="302">
        <f t="shared" si="294"/>
        <v>11.591993300892486</v>
      </c>
      <c r="M793" s="236"/>
      <c r="N793" s="236"/>
    </row>
    <row r="794" spans="1:14" x14ac:dyDescent="0.2">
      <c r="A794" s="237" t="str">
        <f>name!E$7</f>
        <v>Administrative and secretarial occupations</v>
      </c>
      <c r="B794" s="302">
        <v>2.460986846886954</v>
      </c>
      <c r="C794" s="302">
        <v>0.56720666626117544</v>
      </c>
      <c r="D794" s="302">
        <f t="shared" si="292"/>
        <v>3.0281935131481292</v>
      </c>
      <c r="E794" s="303"/>
      <c r="F794" s="302">
        <v>2.7095066974986377</v>
      </c>
      <c r="G794" s="302">
        <v>0.56951116198208596</v>
      </c>
      <c r="H794" s="302">
        <f t="shared" si="293"/>
        <v>3.2790178594807236</v>
      </c>
      <c r="I794" s="303"/>
      <c r="J794" s="302">
        <v>2.4093450667000305</v>
      </c>
      <c r="K794" s="302">
        <v>0.50302263407105108</v>
      </c>
      <c r="L794" s="302">
        <f t="shared" si="294"/>
        <v>2.9123677007710818</v>
      </c>
      <c r="M794" s="236"/>
      <c r="N794" s="236"/>
    </row>
    <row r="795" spans="1:14" x14ac:dyDescent="0.2">
      <c r="A795" s="237" t="str">
        <f>name!E$8</f>
        <v>Skilled trades occupations</v>
      </c>
      <c r="B795" s="302">
        <v>0.21190665662267866</v>
      </c>
      <c r="C795" s="302">
        <v>1.1593796205545062</v>
      </c>
      <c r="D795" s="302">
        <f t="shared" si="292"/>
        <v>1.3712862771771848</v>
      </c>
      <c r="E795" s="303"/>
      <c r="F795" s="302">
        <v>0.29327555966874047</v>
      </c>
      <c r="G795" s="302">
        <v>0.88339008973910504</v>
      </c>
      <c r="H795" s="302">
        <f t="shared" si="293"/>
        <v>1.1766656494078456</v>
      </c>
      <c r="I795" s="303"/>
      <c r="J795" s="302">
        <v>0.39178374934805082</v>
      </c>
      <c r="K795" s="302">
        <v>0.9242681900887022</v>
      </c>
      <c r="L795" s="302">
        <f t="shared" si="294"/>
        <v>1.3160519394367531</v>
      </c>
      <c r="M795" s="236"/>
      <c r="N795" s="236"/>
    </row>
    <row r="796" spans="1:14" x14ac:dyDescent="0.2">
      <c r="A796" s="237" t="str">
        <f>name!E$9</f>
        <v>Caring, leisure and other service occupations</v>
      </c>
      <c r="B796" s="302">
        <v>0.78521182349361962</v>
      </c>
      <c r="C796" s="302">
        <v>0.29993457855359784</v>
      </c>
      <c r="D796" s="302">
        <f t="shared" si="292"/>
        <v>1.0851464020472175</v>
      </c>
      <c r="E796" s="303"/>
      <c r="F796" s="302">
        <v>0.86995427896864785</v>
      </c>
      <c r="G796" s="302">
        <v>0.32328506640830817</v>
      </c>
      <c r="H796" s="302">
        <f t="shared" si="293"/>
        <v>1.1932393453769561</v>
      </c>
      <c r="I796" s="303"/>
      <c r="J796" s="302">
        <v>1.0689574982985666</v>
      </c>
      <c r="K796" s="302">
        <v>0.43149300676793839</v>
      </c>
      <c r="L796" s="302">
        <f t="shared" si="294"/>
        <v>1.5004505050665049</v>
      </c>
      <c r="M796" s="236"/>
      <c r="N796" s="236"/>
    </row>
    <row r="797" spans="1:14" x14ac:dyDescent="0.2">
      <c r="A797" s="237" t="str">
        <f>name!E$10</f>
        <v>Sales and customer service occupations</v>
      </c>
      <c r="B797" s="302">
        <v>0.93531000795406438</v>
      </c>
      <c r="C797" s="302">
        <v>0.42970361581192934</v>
      </c>
      <c r="D797" s="302">
        <f t="shared" si="292"/>
        <v>1.3650136237659938</v>
      </c>
      <c r="E797" s="303"/>
      <c r="F797" s="302">
        <v>1.0427090266487749</v>
      </c>
      <c r="G797" s="302">
        <v>0.39591381924804298</v>
      </c>
      <c r="H797" s="302">
        <f t="shared" si="293"/>
        <v>1.4386228458968178</v>
      </c>
      <c r="I797" s="303"/>
      <c r="J797" s="302">
        <v>1.3712711598136589</v>
      </c>
      <c r="K797" s="302">
        <v>0.49632841099023917</v>
      </c>
      <c r="L797" s="302">
        <f t="shared" si="294"/>
        <v>1.8675995708038982</v>
      </c>
      <c r="M797" s="236"/>
      <c r="N797" s="236"/>
    </row>
    <row r="798" spans="1:14" x14ac:dyDescent="0.2">
      <c r="A798" s="237" t="str">
        <f>name!E$11</f>
        <v>Process, plant and machine operatives</v>
      </c>
      <c r="B798" s="302">
        <v>0.12305014494177795</v>
      </c>
      <c r="C798" s="302">
        <v>0.23536498651012788</v>
      </c>
      <c r="D798" s="302">
        <f t="shared" si="292"/>
        <v>0.35841513145190584</v>
      </c>
      <c r="E798" s="303"/>
      <c r="F798" s="302">
        <v>0.11138776983761373</v>
      </c>
      <c r="G798" s="302">
        <v>0.29946691766103056</v>
      </c>
      <c r="H798" s="302">
        <f t="shared" si="293"/>
        <v>0.41085468749864429</v>
      </c>
      <c r="I798" s="303"/>
      <c r="J798" s="302">
        <v>0.1579405316482981</v>
      </c>
      <c r="K798" s="302">
        <v>0.38926990275377188</v>
      </c>
      <c r="L798" s="302">
        <f t="shared" si="294"/>
        <v>0.54721043440206996</v>
      </c>
      <c r="M798" s="236"/>
      <c r="N798" s="236"/>
    </row>
    <row r="799" spans="1:14" x14ac:dyDescent="0.2">
      <c r="A799" s="237" t="str">
        <f>name!E$12</f>
        <v>Elementary occupations</v>
      </c>
      <c r="B799" s="302">
        <v>1.3873623842145517</v>
      </c>
      <c r="C799" s="302">
        <v>1.4085766227915184</v>
      </c>
      <c r="D799" s="302">
        <f t="shared" si="292"/>
        <v>2.7959390070060701</v>
      </c>
      <c r="E799" s="303"/>
      <c r="F799" s="302">
        <v>1.2984548472557118</v>
      </c>
      <c r="G799" s="302">
        <v>1.1926053125909357</v>
      </c>
      <c r="H799" s="302">
        <f t="shared" si="293"/>
        <v>2.4910601598466475</v>
      </c>
      <c r="I799" s="303"/>
      <c r="J799" s="302">
        <v>1.7412832715535191</v>
      </c>
      <c r="K799" s="302">
        <v>1.0193731840666289</v>
      </c>
      <c r="L799" s="302">
        <f t="shared" si="294"/>
        <v>2.7606564556201478</v>
      </c>
      <c r="M799" s="236"/>
      <c r="N799" s="236"/>
    </row>
    <row r="800" spans="1:14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  <c r="N800" s="236"/>
    </row>
    <row r="801" spans="1:14" x14ac:dyDescent="0.2">
      <c r="A801" s="244" t="s">
        <v>32</v>
      </c>
      <c r="B801" s="311">
        <f>SUM(B791:B799)</f>
        <v>18.611999999903791</v>
      </c>
      <c r="C801" s="311">
        <f t="shared" ref="C801:D801" si="295">SUM(C791:C799)</f>
        <v>23.562999999622413</v>
      </c>
      <c r="D801" s="311">
        <f t="shared" si="295"/>
        <v>42.174999999526207</v>
      </c>
      <c r="E801" s="311"/>
      <c r="F801" s="311">
        <f t="shared" ref="F801:H801" si="296">SUM(F791:F799)</f>
        <v>24.758999999875066</v>
      </c>
      <c r="G801" s="311">
        <f t="shared" si="296"/>
        <v>24.218000000257856</v>
      </c>
      <c r="H801" s="311">
        <f t="shared" si="296"/>
        <v>48.977000000132918</v>
      </c>
      <c r="I801" s="311"/>
      <c r="J801" s="311">
        <f t="shared" ref="J801:L801" si="297">SUM(J791:J799)</f>
        <v>30.697999999926108</v>
      </c>
      <c r="K801" s="311">
        <f t="shared" si="297"/>
        <v>28.072000000401978</v>
      </c>
      <c r="L801" s="311">
        <f t="shared" si="297"/>
        <v>58.770000000328082</v>
      </c>
      <c r="M801" s="236"/>
      <c r="N801" s="236"/>
    </row>
    <row r="802" spans="1:14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  <c r="N802" s="236"/>
    </row>
    <row r="803" spans="1:14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56" t="s">
        <v>35</v>
      </c>
      <c r="M803" s="236"/>
      <c r="N803" s="236"/>
    </row>
    <row r="804" spans="1:14" x14ac:dyDescent="0.2">
      <c r="A804" s="242"/>
      <c r="B804" s="250"/>
      <c r="C804" s="250"/>
      <c r="D804" s="250"/>
      <c r="E804" s="250"/>
      <c r="F804" s="250"/>
      <c r="G804" s="250"/>
      <c r="H804" s="250"/>
      <c r="I804" s="250"/>
      <c r="J804" s="250"/>
      <c r="K804" s="250"/>
      <c r="L804" s="236"/>
      <c r="M804" s="236"/>
      <c r="N804" s="236"/>
    </row>
    <row r="805" spans="1:14" x14ac:dyDescent="0.2">
      <c r="A805" s="241" t="str">
        <f>name!A50</f>
        <v>Financial services</v>
      </c>
      <c r="B805" s="372">
        <f>B$6</f>
        <v>2015</v>
      </c>
      <c r="C805" s="372"/>
      <c r="D805" s="372"/>
      <c r="E805" s="253"/>
      <c r="F805" s="372">
        <f>F$6</f>
        <v>2020</v>
      </c>
      <c r="G805" s="372"/>
      <c r="H805" s="372"/>
      <c r="I805" s="253"/>
      <c r="J805" s="372">
        <f>J$6</f>
        <v>2035</v>
      </c>
      <c r="K805" s="372"/>
      <c r="L805" s="372"/>
      <c r="M805" s="236"/>
      <c r="N805" s="236"/>
    </row>
    <row r="806" spans="1:14" x14ac:dyDescent="0.2">
      <c r="A806" s="254"/>
      <c r="B806" s="255" t="s">
        <v>352</v>
      </c>
      <c r="C806" s="255" t="s">
        <v>353</v>
      </c>
      <c r="D806" s="255" t="s">
        <v>32</v>
      </c>
      <c r="E806" s="255"/>
      <c r="F806" s="255" t="s">
        <v>352</v>
      </c>
      <c r="G806" s="255" t="s">
        <v>353</v>
      </c>
      <c r="H806" s="255" t="s">
        <v>32</v>
      </c>
      <c r="I806" s="255"/>
      <c r="J806" s="255" t="s">
        <v>352</v>
      </c>
      <c r="K806" s="255" t="s">
        <v>353</v>
      </c>
      <c r="L806" s="255" t="s">
        <v>32</v>
      </c>
      <c r="M806" s="236"/>
      <c r="N806" s="236"/>
    </row>
    <row r="807" spans="1:14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  <c r="N807" s="236"/>
    </row>
    <row r="808" spans="1:14" x14ac:dyDescent="0.2">
      <c r="A808" s="237" t="str">
        <f>name!E$4</f>
        <v>Managers, directors and senior officials</v>
      </c>
      <c r="B808" s="302">
        <v>10.029711709820697</v>
      </c>
      <c r="C808" s="302">
        <v>29.930914829319097</v>
      </c>
      <c r="D808" s="302">
        <f>SUM(B808:C808)</f>
        <v>39.960626539139795</v>
      </c>
      <c r="E808" s="303"/>
      <c r="F808" s="302">
        <v>11.964055082023833</v>
      </c>
      <c r="G808" s="302">
        <v>30.760340853038535</v>
      </c>
      <c r="H808" s="302">
        <f>SUM(F808:G808)</f>
        <v>42.724395935062368</v>
      </c>
      <c r="I808" s="303"/>
      <c r="J808" s="302">
        <v>13.736699580445562</v>
      </c>
      <c r="K808" s="302">
        <v>29.28503237849764</v>
      </c>
      <c r="L808" s="302">
        <f>SUM(J808:K808)</f>
        <v>43.021731958943199</v>
      </c>
      <c r="M808" s="236"/>
      <c r="N808" s="236"/>
    </row>
    <row r="809" spans="1:14" x14ac:dyDescent="0.2">
      <c r="A809" s="237" t="str">
        <f>name!E$5</f>
        <v>Professional occupations</v>
      </c>
      <c r="B809" s="302">
        <v>9.8987852248503767</v>
      </c>
      <c r="C809" s="302">
        <v>29.919536086063363</v>
      </c>
      <c r="D809" s="302">
        <f t="shared" ref="D809:D816" si="298">SUM(B809:C809)</f>
        <v>39.818321310913738</v>
      </c>
      <c r="E809" s="303"/>
      <c r="F809" s="302">
        <v>13.608303867614865</v>
      </c>
      <c r="G809" s="302">
        <v>34.797946330702075</v>
      </c>
      <c r="H809" s="302">
        <f t="shared" ref="H809:H816" si="299">SUM(F809:G809)</f>
        <v>48.40625019831694</v>
      </c>
      <c r="I809" s="303"/>
      <c r="J809" s="302">
        <v>16.561546298500975</v>
      </c>
      <c r="K809" s="302">
        <v>40.640871346029485</v>
      </c>
      <c r="L809" s="302">
        <f t="shared" ref="L809:L816" si="300">SUM(J809:K809)</f>
        <v>57.202417644530456</v>
      </c>
      <c r="M809" s="236"/>
      <c r="N809" s="236"/>
    </row>
    <row r="810" spans="1:14" x14ac:dyDescent="0.2">
      <c r="A810" s="237" t="str">
        <f>name!E$6</f>
        <v>Associate professional occupations</v>
      </c>
      <c r="B810" s="302">
        <v>12.340241745839753</v>
      </c>
      <c r="C810" s="302">
        <v>28.09198824885501</v>
      </c>
      <c r="D810" s="302">
        <f t="shared" si="298"/>
        <v>40.432229994694765</v>
      </c>
      <c r="E810" s="303"/>
      <c r="F810" s="302">
        <v>13.988541160211254</v>
      </c>
      <c r="G810" s="302">
        <v>28.64758217624653</v>
      </c>
      <c r="H810" s="302">
        <f t="shared" si="299"/>
        <v>42.636123336457786</v>
      </c>
      <c r="I810" s="303"/>
      <c r="J810" s="302">
        <v>14.131015944179566</v>
      </c>
      <c r="K810" s="302">
        <v>27.406830951455376</v>
      </c>
      <c r="L810" s="302">
        <f t="shared" si="300"/>
        <v>41.537846895634942</v>
      </c>
      <c r="M810" s="236"/>
      <c r="N810" s="236"/>
    </row>
    <row r="811" spans="1:14" x14ac:dyDescent="0.2">
      <c r="A811" s="237" t="str">
        <f>name!E$7</f>
        <v>Administrative and secretarial occupations</v>
      </c>
      <c r="B811" s="302">
        <v>25.721714949957818</v>
      </c>
      <c r="C811" s="302">
        <v>15.428726697311482</v>
      </c>
      <c r="D811" s="302">
        <f t="shared" si="298"/>
        <v>41.150441647269304</v>
      </c>
      <c r="E811" s="303"/>
      <c r="F811" s="302">
        <v>23.538297395429804</v>
      </c>
      <c r="G811" s="302">
        <v>16.190983365235915</v>
      </c>
      <c r="H811" s="302">
        <f t="shared" si="299"/>
        <v>39.729280760665716</v>
      </c>
      <c r="I811" s="303"/>
      <c r="J811" s="302">
        <v>18.634321765408071</v>
      </c>
      <c r="K811" s="302">
        <v>15.562301607192543</v>
      </c>
      <c r="L811" s="302">
        <f t="shared" si="300"/>
        <v>34.196623372600612</v>
      </c>
      <c r="M811" s="236"/>
      <c r="N811" s="236"/>
    </row>
    <row r="812" spans="1:14" x14ac:dyDescent="0.2">
      <c r="A812" s="237" t="str">
        <f>name!E$8</f>
        <v>Skilled trades occupations</v>
      </c>
      <c r="B812" s="302">
        <v>0.17833476367330503</v>
      </c>
      <c r="C812" s="302">
        <v>2.1682605254720682</v>
      </c>
      <c r="D812" s="302">
        <f t="shared" si="298"/>
        <v>2.3465952891453732</v>
      </c>
      <c r="E812" s="303"/>
      <c r="F812" s="302">
        <v>0.17943887315197446</v>
      </c>
      <c r="G812" s="302">
        <v>1.5385868352967711</v>
      </c>
      <c r="H812" s="302">
        <f t="shared" si="299"/>
        <v>1.7180257084487456</v>
      </c>
      <c r="I812" s="303"/>
      <c r="J812" s="302">
        <v>0.37993944128271023</v>
      </c>
      <c r="K812" s="302">
        <v>1.4065537280469611</v>
      </c>
      <c r="L812" s="302">
        <f t="shared" si="300"/>
        <v>1.7864931693296713</v>
      </c>
      <c r="M812" s="236"/>
      <c r="N812" s="236"/>
    </row>
    <row r="813" spans="1:14" x14ac:dyDescent="0.2">
      <c r="A813" s="237" t="str">
        <f>name!E$9</f>
        <v>Caring, leisure and other service occupations</v>
      </c>
      <c r="B813" s="302">
        <v>0.21644819168643176</v>
      </c>
      <c r="C813" s="302">
        <v>0.26683937044456807</v>
      </c>
      <c r="D813" s="302">
        <f t="shared" si="298"/>
        <v>0.48328756213099983</v>
      </c>
      <c r="E813" s="303"/>
      <c r="F813" s="302">
        <v>0.18868313992868577</v>
      </c>
      <c r="G813" s="302">
        <v>0.22915866748706049</v>
      </c>
      <c r="H813" s="302">
        <f t="shared" si="299"/>
        <v>0.41784180741574628</v>
      </c>
      <c r="I813" s="303"/>
      <c r="J813" s="302">
        <v>0.19448068555737472</v>
      </c>
      <c r="K813" s="302">
        <v>0.27818137262469805</v>
      </c>
      <c r="L813" s="302">
        <f t="shared" si="300"/>
        <v>0.47266205818207274</v>
      </c>
      <c r="M813" s="236"/>
      <c r="N813" s="236"/>
    </row>
    <row r="814" spans="1:14" x14ac:dyDescent="0.2">
      <c r="A814" s="237" t="str">
        <f>name!E$10</f>
        <v>Sales and customer service occupations</v>
      </c>
      <c r="B814" s="302">
        <v>6.390140725778747</v>
      </c>
      <c r="C814" s="302">
        <v>4.1683322241001788</v>
      </c>
      <c r="D814" s="302">
        <f t="shared" si="298"/>
        <v>10.558472949878926</v>
      </c>
      <c r="E814" s="303"/>
      <c r="F814" s="302">
        <v>5.8696016638331541</v>
      </c>
      <c r="G814" s="302">
        <v>3.6980279277668977</v>
      </c>
      <c r="H814" s="302">
        <f t="shared" si="299"/>
        <v>9.5676295916000527</v>
      </c>
      <c r="I814" s="303"/>
      <c r="J814" s="302">
        <v>6.5673019012164273</v>
      </c>
      <c r="K814" s="302">
        <v>4.4573908875534487</v>
      </c>
      <c r="L814" s="302">
        <f t="shared" si="300"/>
        <v>11.024692788769876</v>
      </c>
      <c r="M814" s="236"/>
      <c r="N814" s="236"/>
    </row>
    <row r="815" spans="1:14" x14ac:dyDescent="0.2">
      <c r="A815" s="237" t="str">
        <f>name!E$11</f>
        <v>Process, plant and machine operatives</v>
      </c>
      <c r="B815" s="302">
        <v>0.10220393008663589</v>
      </c>
      <c r="C815" s="302">
        <v>0.61860696504973567</v>
      </c>
      <c r="D815" s="302">
        <f t="shared" si="298"/>
        <v>0.72081089513637153</v>
      </c>
      <c r="E815" s="303"/>
      <c r="F815" s="302">
        <v>7.3129505516919033E-2</v>
      </c>
      <c r="G815" s="302">
        <v>0.47517975989497613</v>
      </c>
      <c r="H815" s="302">
        <f t="shared" si="299"/>
        <v>0.54830926541189517</v>
      </c>
      <c r="I815" s="303"/>
      <c r="J815" s="302">
        <v>9.8586905462661967E-2</v>
      </c>
      <c r="K815" s="302">
        <v>0.53003657080101574</v>
      </c>
      <c r="L815" s="302">
        <f t="shared" si="300"/>
        <v>0.62862347626367776</v>
      </c>
      <c r="M815" s="236"/>
      <c r="N815" s="236"/>
    </row>
    <row r="816" spans="1:14" x14ac:dyDescent="0.2">
      <c r="A816" s="237" t="str">
        <f>name!E$12</f>
        <v>Elementary occupations</v>
      </c>
      <c r="B816" s="302">
        <v>0.45841875800467108</v>
      </c>
      <c r="C816" s="302">
        <v>0.97579505127778854</v>
      </c>
      <c r="D816" s="302">
        <f t="shared" si="298"/>
        <v>1.4342138092824597</v>
      </c>
      <c r="E816" s="303"/>
      <c r="F816" s="302">
        <v>0.30994931196854042</v>
      </c>
      <c r="G816" s="302">
        <v>0.74219408536550524</v>
      </c>
      <c r="H816" s="302">
        <f t="shared" si="299"/>
        <v>1.0521433973340457</v>
      </c>
      <c r="I816" s="303"/>
      <c r="J816" s="302">
        <v>0.31310747807910061</v>
      </c>
      <c r="K816" s="302">
        <v>0.6868011599354864</v>
      </c>
      <c r="L816" s="302">
        <f t="shared" si="300"/>
        <v>0.99990863801458696</v>
      </c>
      <c r="M816" s="236"/>
      <c r="N816" s="236"/>
    </row>
    <row r="817" spans="1:14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  <c r="N817" s="236"/>
    </row>
    <row r="818" spans="1:14" x14ac:dyDescent="0.2">
      <c r="A818" s="244" t="s">
        <v>32</v>
      </c>
      <c r="B818" s="311">
        <f>SUM(B808:B816)</f>
        <v>65.33599999969843</v>
      </c>
      <c r="C818" s="311">
        <f t="shared" ref="C818:D818" si="301">SUM(C808:C816)</f>
        <v>111.56899999789329</v>
      </c>
      <c r="D818" s="311">
        <f t="shared" si="301"/>
        <v>176.90499999759174</v>
      </c>
      <c r="E818" s="311"/>
      <c r="F818" s="311">
        <f t="shared" ref="F818:H818" si="302">SUM(F808:F816)</f>
        <v>69.719999999679032</v>
      </c>
      <c r="G818" s="311">
        <f t="shared" si="302"/>
        <v>117.08000000103426</v>
      </c>
      <c r="H818" s="311">
        <f t="shared" si="302"/>
        <v>186.80000000071331</v>
      </c>
      <c r="I818" s="311"/>
      <c r="J818" s="311">
        <f t="shared" ref="J818:L818" si="303">SUM(J808:J816)</f>
        <v>70.61700000013245</v>
      </c>
      <c r="K818" s="311">
        <f t="shared" si="303"/>
        <v>120.25400000213665</v>
      </c>
      <c r="L818" s="311">
        <f t="shared" si="303"/>
        <v>190.87100000226906</v>
      </c>
      <c r="M818" s="236"/>
      <c r="N818" s="236"/>
    </row>
    <row r="819" spans="1:14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  <c r="N819" s="236"/>
    </row>
    <row r="820" spans="1:14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56" t="s">
        <v>35</v>
      </c>
      <c r="M820" s="236"/>
      <c r="N820" s="236"/>
    </row>
    <row r="821" spans="1:14" x14ac:dyDescent="0.2">
      <c r="A821" s="242"/>
      <c r="B821" s="250"/>
      <c r="C821" s="250"/>
      <c r="D821" s="250"/>
      <c r="E821" s="250"/>
      <c r="F821" s="250"/>
      <c r="G821" s="250"/>
      <c r="H821" s="250"/>
      <c r="I821" s="250"/>
      <c r="J821" s="250"/>
      <c r="K821" s="250"/>
      <c r="L821" s="236"/>
      <c r="M821" s="236"/>
      <c r="N821" s="236"/>
    </row>
    <row r="822" spans="1:14" x14ac:dyDescent="0.2">
      <c r="A822" s="241" t="str">
        <f>name!A51</f>
        <v>Insurance and pensions</v>
      </c>
      <c r="B822" s="372">
        <f>B$6</f>
        <v>2015</v>
      </c>
      <c r="C822" s="372"/>
      <c r="D822" s="372"/>
      <c r="E822" s="253"/>
      <c r="F822" s="372">
        <f>F$6</f>
        <v>2020</v>
      </c>
      <c r="G822" s="372"/>
      <c r="H822" s="372"/>
      <c r="I822" s="253"/>
      <c r="J822" s="372">
        <f>J$6</f>
        <v>2035</v>
      </c>
      <c r="K822" s="372"/>
      <c r="L822" s="372"/>
      <c r="M822" s="236"/>
      <c r="N822" s="236"/>
    </row>
    <row r="823" spans="1:14" x14ac:dyDescent="0.2">
      <c r="A823" s="254"/>
      <c r="B823" s="255" t="s">
        <v>352</v>
      </c>
      <c r="C823" s="255" t="s">
        <v>353</v>
      </c>
      <c r="D823" s="255" t="s">
        <v>32</v>
      </c>
      <c r="E823" s="255"/>
      <c r="F823" s="255" t="s">
        <v>352</v>
      </c>
      <c r="G823" s="255" t="s">
        <v>353</v>
      </c>
      <c r="H823" s="255" t="s">
        <v>32</v>
      </c>
      <c r="I823" s="255"/>
      <c r="J823" s="255" t="s">
        <v>352</v>
      </c>
      <c r="K823" s="255" t="s">
        <v>353</v>
      </c>
      <c r="L823" s="255" t="s">
        <v>32</v>
      </c>
      <c r="M823" s="236"/>
      <c r="N823" s="236"/>
    </row>
    <row r="824" spans="1:14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  <c r="N824" s="236"/>
    </row>
    <row r="825" spans="1:14" x14ac:dyDescent="0.2">
      <c r="A825" s="237" t="str">
        <f>name!E$4</f>
        <v>Managers, directors and senior officials</v>
      </c>
      <c r="B825" s="302">
        <v>2.2206785298660656</v>
      </c>
      <c r="C825" s="302">
        <v>1.6614263730845278</v>
      </c>
      <c r="D825" s="302">
        <f>SUM(B825:C825)</f>
        <v>3.8821049029505934</v>
      </c>
      <c r="E825" s="303"/>
      <c r="F825" s="302">
        <v>2.7847381722974762</v>
      </c>
      <c r="G825" s="302">
        <v>1.9276393699133494</v>
      </c>
      <c r="H825" s="302">
        <f>SUM(F825:G825)</f>
        <v>4.7123775422108256</v>
      </c>
      <c r="I825" s="303"/>
      <c r="J825" s="302">
        <v>3.1722047060170242</v>
      </c>
      <c r="K825" s="302">
        <v>1.8092824145615545</v>
      </c>
      <c r="L825" s="302">
        <f>SUM(J825:K825)</f>
        <v>4.9814871205785787</v>
      </c>
      <c r="M825" s="236"/>
      <c r="N825" s="236"/>
    </row>
    <row r="826" spans="1:14" x14ac:dyDescent="0.2">
      <c r="A826" s="237" t="str">
        <f>name!E$5</f>
        <v>Professional occupations</v>
      </c>
      <c r="B826" s="302">
        <v>4.8574530461645988</v>
      </c>
      <c r="C826" s="302">
        <v>2.6950882853623344</v>
      </c>
      <c r="D826" s="302">
        <f t="shared" ref="D826:D833" si="304">SUM(B826:C826)</f>
        <v>7.5525413315269336</v>
      </c>
      <c r="E826" s="303"/>
      <c r="F826" s="302">
        <v>7.0598018122409094</v>
      </c>
      <c r="G826" s="302">
        <v>3.5949671091444406</v>
      </c>
      <c r="H826" s="302">
        <f t="shared" ref="H826:H833" si="305">SUM(F826:G826)</f>
        <v>10.654768921385351</v>
      </c>
      <c r="I826" s="303"/>
      <c r="J826" s="302">
        <v>8.5142585114501408</v>
      </c>
      <c r="K826" s="302">
        <v>4.2144236281206728</v>
      </c>
      <c r="L826" s="302">
        <f t="shared" ref="L826:L833" si="306">SUM(J826:K826)</f>
        <v>12.728682139570815</v>
      </c>
      <c r="M826" s="236"/>
      <c r="N826" s="236"/>
    </row>
    <row r="827" spans="1:14" x14ac:dyDescent="0.2">
      <c r="A827" s="237" t="str">
        <f>name!E$6</f>
        <v>Associate professional occupations</v>
      </c>
      <c r="B827" s="302">
        <v>4.1556544512717126</v>
      </c>
      <c r="C827" s="302">
        <v>2.9604658000421615</v>
      </c>
      <c r="D827" s="302">
        <f t="shared" si="304"/>
        <v>7.1161202513138742</v>
      </c>
      <c r="E827" s="303"/>
      <c r="F827" s="302">
        <v>4.9851513103309255</v>
      </c>
      <c r="G827" s="302">
        <v>3.3941610496968795</v>
      </c>
      <c r="H827" s="302">
        <f t="shared" si="305"/>
        <v>8.3793123600278054</v>
      </c>
      <c r="I827" s="303"/>
      <c r="J827" s="302">
        <v>4.9993888526735537</v>
      </c>
      <c r="K827" s="302">
        <v>3.0843916731351926</v>
      </c>
      <c r="L827" s="302">
        <f t="shared" si="306"/>
        <v>8.0837805258087467</v>
      </c>
      <c r="M827" s="236"/>
      <c r="N827" s="236"/>
    </row>
    <row r="828" spans="1:14" x14ac:dyDescent="0.2">
      <c r="A828" s="237" t="str">
        <f>name!E$7</f>
        <v>Administrative and secretarial occupations</v>
      </c>
      <c r="B828" s="302">
        <v>5.4343464179261547</v>
      </c>
      <c r="C828" s="302">
        <v>1.6096048683068389</v>
      </c>
      <c r="D828" s="302">
        <f t="shared" si="304"/>
        <v>7.0439512862329936</v>
      </c>
      <c r="E828" s="303"/>
      <c r="F828" s="302">
        <v>5.1376666613326742</v>
      </c>
      <c r="G828" s="302">
        <v>1.8521379170101768</v>
      </c>
      <c r="H828" s="302">
        <f t="shared" si="305"/>
        <v>6.9898045783428513</v>
      </c>
      <c r="I828" s="303"/>
      <c r="J828" s="302">
        <v>3.5439569742682124</v>
      </c>
      <c r="K828" s="302">
        <v>1.6297118296574913</v>
      </c>
      <c r="L828" s="302">
        <f t="shared" si="306"/>
        <v>5.1736688039257039</v>
      </c>
      <c r="M828" s="236"/>
      <c r="N828" s="236"/>
    </row>
    <row r="829" spans="1:14" x14ac:dyDescent="0.2">
      <c r="A829" s="237" t="str">
        <f>name!E$8</f>
        <v>Skilled trades occupations</v>
      </c>
      <c r="B829" s="302">
        <v>0.1837480274827222</v>
      </c>
      <c r="C829" s="302">
        <v>0.38610143638370803</v>
      </c>
      <c r="D829" s="302">
        <f t="shared" si="304"/>
        <v>0.56984946386643021</v>
      </c>
      <c r="E829" s="303"/>
      <c r="F829" s="302">
        <v>0.19000558278321189</v>
      </c>
      <c r="G829" s="302">
        <v>0.30551134904575605</v>
      </c>
      <c r="H829" s="302">
        <f t="shared" si="305"/>
        <v>0.49551693182896794</v>
      </c>
      <c r="I829" s="303"/>
      <c r="J829" s="302">
        <v>0.28170256963527857</v>
      </c>
      <c r="K829" s="302">
        <v>0.25332780387591392</v>
      </c>
      <c r="L829" s="302">
        <f t="shared" si="306"/>
        <v>0.53503037351119254</v>
      </c>
      <c r="M829" s="236"/>
      <c r="N829" s="236"/>
    </row>
    <row r="830" spans="1:14" x14ac:dyDescent="0.2">
      <c r="A830" s="237" t="str">
        <f>name!E$9</f>
        <v>Caring, leisure and other service occupations</v>
      </c>
      <c r="B830" s="302">
        <v>0.47001877783845458</v>
      </c>
      <c r="C830" s="302">
        <v>0.32181927108419472</v>
      </c>
      <c r="D830" s="302">
        <f t="shared" si="304"/>
        <v>0.79183804892264931</v>
      </c>
      <c r="E830" s="303"/>
      <c r="F830" s="302">
        <v>0.4950106683015405</v>
      </c>
      <c r="G830" s="302">
        <v>0.34112106510056789</v>
      </c>
      <c r="H830" s="302">
        <f t="shared" si="305"/>
        <v>0.83613173340210833</v>
      </c>
      <c r="I830" s="303"/>
      <c r="J830" s="302">
        <v>0.51340651207056087</v>
      </c>
      <c r="K830" s="302">
        <v>0.45242252681947781</v>
      </c>
      <c r="L830" s="302">
        <f t="shared" si="306"/>
        <v>0.96582903889003868</v>
      </c>
      <c r="M830" s="236"/>
      <c r="N830" s="236"/>
    </row>
    <row r="831" spans="1:14" x14ac:dyDescent="0.2">
      <c r="A831" s="237" t="str">
        <f>name!E$10</f>
        <v>Sales and customer service occupations</v>
      </c>
      <c r="B831" s="302">
        <v>2.156170761151655</v>
      </c>
      <c r="C831" s="302">
        <v>1.0091364881079532</v>
      </c>
      <c r="D831" s="302">
        <f t="shared" si="304"/>
        <v>3.1653072492596079</v>
      </c>
      <c r="E831" s="303"/>
      <c r="F831" s="302">
        <v>2.0261516091004941</v>
      </c>
      <c r="G831" s="302">
        <v>0.97113550608687071</v>
      </c>
      <c r="H831" s="302">
        <f t="shared" si="305"/>
        <v>2.9972871151873646</v>
      </c>
      <c r="I831" s="303"/>
      <c r="J831" s="302">
        <v>2.0257935926719091</v>
      </c>
      <c r="K831" s="302">
        <v>1.1989910284139111</v>
      </c>
      <c r="L831" s="302">
        <f t="shared" si="306"/>
        <v>3.2247846210858202</v>
      </c>
      <c r="M831" s="236"/>
      <c r="N831" s="236"/>
    </row>
    <row r="832" spans="1:14" x14ac:dyDescent="0.2">
      <c r="A832" s="237" t="str">
        <f>name!E$11</f>
        <v>Process, plant and machine operatives</v>
      </c>
      <c r="B832" s="302">
        <v>5.0208421911428797E-2</v>
      </c>
      <c r="C832" s="302">
        <v>8.4196229218710811E-2</v>
      </c>
      <c r="D832" s="302">
        <f t="shared" si="304"/>
        <v>0.13440465113013961</v>
      </c>
      <c r="E832" s="303"/>
      <c r="F832" s="302">
        <v>3.7715057628050712E-2</v>
      </c>
      <c r="G832" s="302">
        <v>7.0919780651951952E-2</v>
      </c>
      <c r="H832" s="302">
        <f t="shared" si="305"/>
        <v>0.10863483828000267</v>
      </c>
      <c r="I832" s="303"/>
      <c r="J832" s="302">
        <v>5.0017636612365364E-2</v>
      </c>
      <c r="K832" s="302">
        <v>7.0245558978916559E-2</v>
      </c>
      <c r="L832" s="302">
        <f t="shared" si="306"/>
        <v>0.12026319559128193</v>
      </c>
      <c r="M832" s="236"/>
      <c r="N832" s="236"/>
    </row>
    <row r="833" spans="1:14" x14ac:dyDescent="0.2">
      <c r="A833" s="237" t="str">
        <f>name!E$12</f>
        <v>Elementary occupations</v>
      </c>
      <c r="B833" s="302">
        <v>0.15972156624073031</v>
      </c>
      <c r="C833" s="302">
        <v>0.15716124824019953</v>
      </c>
      <c r="D833" s="302">
        <f t="shared" si="304"/>
        <v>0.31688281448092981</v>
      </c>
      <c r="E833" s="303"/>
      <c r="F833" s="302">
        <v>0.11575912590996791</v>
      </c>
      <c r="G833" s="302">
        <v>0.12740685344257158</v>
      </c>
      <c r="H833" s="302">
        <f t="shared" si="305"/>
        <v>0.24316597935253947</v>
      </c>
      <c r="I833" s="303"/>
      <c r="J833" s="302">
        <v>8.3270644660417809E-2</v>
      </c>
      <c r="K833" s="302">
        <v>0.11520353662590049</v>
      </c>
      <c r="L833" s="302">
        <f t="shared" si="306"/>
        <v>0.1984741812863183</v>
      </c>
      <c r="M833" s="236"/>
      <c r="N833" s="236"/>
    </row>
    <row r="834" spans="1:14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  <c r="N834" s="236"/>
    </row>
    <row r="835" spans="1:14" x14ac:dyDescent="0.2">
      <c r="A835" s="244" t="s">
        <v>32</v>
      </c>
      <c r="B835" s="311">
        <f>SUM(B825:B833)</f>
        <v>19.68799999985352</v>
      </c>
      <c r="C835" s="311">
        <f t="shared" ref="C835:D835" si="307">SUM(C825:C833)</f>
        <v>10.884999999830629</v>
      </c>
      <c r="D835" s="311">
        <f t="shared" si="307"/>
        <v>30.57299999968415</v>
      </c>
      <c r="E835" s="311"/>
      <c r="F835" s="311">
        <f t="shared" ref="F835:H835" si="308">SUM(F825:F833)</f>
        <v>22.831999999925252</v>
      </c>
      <c r="G835" s="311">
        <f t="shared" si="308"/>
        <v>12.585000000092567</v>
      </c>
      <c r="H835" s="311">
        <f t="shared" si="308"/>
        <v>35.417000000017815</v>
      </c>
      <c r="I835" s="311"/>
      <c r="J835" s="311">
        <f t="shared" ref="J835:L835" si="309">SUM(J825:J833)</f>
        <v>23.184000000059463</v>
      </c>
      <c r="K835" s="311">
        <f t="shared" si="309"/>
        <v>12.82800000018903</v>
      </c>
      <c r="L835" s="311">
        <f t="shared" si="309"/>
        <v>36.012000000248491</v>
      </c>
      <c r="M835" s="236"/>
      <c r="N835" s="236"/>
    </row>
    <row r="836" spans="1:14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  <c r="N836" s="236"/>
    </row>
    <row r="837" spans="1:14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56" t="s">
        <v>35</v>
      </c>
      <c r="M837" s="236"/>
      <c r="N837" s="236"/>
    </row>
    <row r="838" spans="1:14" x14ac:dyDescent="0.2">
      <c r="A838" s="242"/>
      <c r="B838" s="250"/>
      <c r="C838" s="250"/>
      <c r="D838" s="250"/>
      <c r="E838" s="250"/>
      <c r="F838" s="250"/>
      <c r="G838" s="250"/>
      <c r="H838" s="250"/>
      <c r="I838" s="250"/>
      <c r="J838" s="250"/>
      <c r="K838" s="250"/>
      <c r="L838" s="236"/>
      <c r="M838" s="236"/>
      <c r="N838" s="236"/>
    </row>
    <row r="839" spans="1:14" x14ac:dyDescent="0.2">
      <c r="A839" s="241" t="str">
        <f>name!A52</f>
        <v>Auxiliary financial services</v>
      </c>
      <c r="B839" s="372">
        <f>B$6</f>
        <v>2015</v>
      </c>
      <c r="C839" s="372"/>
      <c r="D839" s="372"/>
      <c r="E839" s="253"/>
      <c r="F839" s="372">
        <f>F$6</f>
        <v>2020</v>
      </c>
      <c r="G839" s="372"/>
      <c r="H839" s="372"/>
      <c r="I839" s="253"/>
      <c r="J839" s="372">
        <f>J$6</f>
        <v>2035</v>
      </c>
      <c r="K839" s="372"/>
      <c r="L839" s="372"/>
      <c r="M839" s="236"/>
      <c r="N839" s="236"/>
    </row>
    <row r="840" spans="1:14" x14ac:dyDescent="0.2">
      <c r="A840" s="254"/>
      <c r="B840" s="255" t="s">
        <v>352</v>
      </c>
      <c r="C840" s="255" t="s">
        <v>353</v>
      </c>
      <c r="D840" s="255" t="s">
        <v>32</v>
      </c>
      <c r="E840" s="255"/>
      <c r="F840" s="255" t="s">
        <v>352</v>
      </c>
      <c r="G840" s="255" t="s">
        <v>353</v>
      </c>
      <c r="H840" s="255" t="s">
        <v>32</v>
      </c>
      <c r="I840" s="255"/>
      <c r="J840" s="255" t="s">
        <v>352</v>
      </c>
      <c r="K840" s="255" t="s">
        <v>353</v>
      </c>
      <c r="L840" s="255" t="s">
        <v>32</v>
      </c>
      <c r="M840" s="236"/>
      <c r="N840" s="236"/>
    </row>
    <row r="841" spans="1:14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  <c r="N841" s="236"/>
    </row>
    <row r="842" spans="1:14" x14ac:dyDescent="0.2">
      <c r="A842" s="237" t="str">
        <f>name!E$4</f>
        <v>Managers, directors and senior officials</v>
      </c>
      <c r="B842" s="302">
        <v>7.7927700569998946</v>
      </c>
      <c r="C842" s="302">
        <v>21.895657213931091</v>
      </c>
      <c r="D842" s="302">
        <f>SUM(B842:C842)</f>
        <v>29.688427270930987</v>
      </c>
      <c r="E842" s="303"/>
      <c r="F842" s="302">
        <v>8.8947138701229758</v>
      </c>
      <c r="G842" s="302">
        <v>24.236880974221375</v>
      </c>
      <c r="H842" s="302">
        <f>SUM(F842:G842)</f>
        <v>33.131594844344349</v>
      </c>
      <c r="I842" s="303"/>
      <c r="J842" s="302">
        <v>10.15487958596972</v>
      </c>
      <c r="K842" s="302">
        <v>24.125967823176023</v>
      </c>
      <c r="L842" s="302">
        <f>SUM(J842:K842)</f>
        <v>34.280847409145743</v>
      </c>
      <c r="M842" s="236"/>
      <c r="N842" s="236"/>
    </row>
    <row r="843" spans="1:14" x14ac:dyDescent="0.2">
      <c r="A843" s="237" t="str">
        <f>name!E$5</f>
        <v>Professional occupations</v>
      </c>
      <c r="B843" s="302">
        <v>14.353957543437222</v>
      </c>
      <c r="C843" s="302">
        <v>26.976421439026765</v>
      </c>
      <c r="D843" s="302">
        <f t="shared" ref="D843:D850" si="310">SUM(B843:C843)</f>
        <v>41.330378982463984</v>
      </c>
      <c r="E843" s="303"/>
      <c r="F843" s="302">
        <v>18.99013130056813</v>
      </c>
      <c r="G843" s="302">
        <v>34.003870924371654</v>
      </c>
      <c r="H843" s="302">
        <f t="shared" ref="H843:H850" si="311">SUM(F843:G843)</f>
        <v>52.994002224939784</v>
      </c>
      <c r="I843" s="303"/>
      <c r="J843" s="302">
        <v>23.266124612866648</v>
      </c>
      <c r="K843" s="302">
        <v>41.015906410095162</v>
      </c>
      <c r="L843" s="302">
        <f t="shared" ref="L843:L850" si="312">SUM(J843:K843)</f>
        <v>64.282031022961803</v>
      </c>
      <c r="M843" s="236"/>
      <c r="N843" s="236"/>
    </row>
    <row r="844" spans="1:14" x14ac:dyDescent="0.2">
      <c r="A844" s="237" t="str">
        <f>name!E$6</f>
        <v>Associate professional occupations</v>
      </c>
      <c r="B844" s="302">
        <v>19.924817339737285</v>
      </c>
      <c r="C844" s="302">
        <v>37.809214748124106</v>
      </c>
      <c r="D844" s="302">
        <f t="shared" si="310"/>
        <v>57.734032087861394</v>
      </c>
      <c r="E844" s="303"/>
      <c r="F844" s="302">
        <v>21.260819959320983</v>
      </c>
      <c r="G844" s="302">
        <v>41.544859064395737</v>
      </c>
      <c r="H844" s="302">
        <f t="shared" si="311"/>
        <v>62.805679023716721</v>
      </c>
      <c r="I844" s="303"/>
      <c r="J844" s="302">
        <v>22.039303990479354</v>
      </c>
      <c r="K844" s="302">
        <v>40.285377694461864</v>
      </c>
      <c r="L844" s="302">
        <f t="shared" si="312"/>
        <v>62.324681684941218</v>
      </c>
      <c r="M844" s="236"/>
      <c r="N844" s="236"/>
    </row>
    <row r="845" spans="1:14" x14ac:dyDescent="0.2">
      <c r="A845" s="237" t="str">
        <f>name!E$7</f>
        <v>Administrative and secretarial occupations</v>
      </c>
      <c r="B845" s="302">
        <v>18.306770056172542</v>
      </c>
      <c r="C845" s="302">
        <v>5.5887093893780886</v>
      </c>
      <c r="D845" s="302">
        <f t="shared" si="310"/>
        <v>23.895479445550631</v>
      </c>
      <c r="E845" s="303"/>
      <c r="F845" s="302">
        <v>15.957163459802896</v>
      </c>
      <c r="G845" s="302">
        <v>5.9816364361581469</v>
      </c>
      <c r="H845" s="302">
        <f t="shared" si="311"/>
        <v>21.938799895961044</v>
      </c>
      <c r="I845" s="303"/>
      <c r="J845" s="302">
        <v>10.550001435778329</v>
      </c>
      <c r="K845" s="302">
        <v>4.8161170830190656</v>
      </c>
      <c r="L845" s="302">
        <f t="shared" si="312"/>
        <v>15.366118518797395</v>
      </c>
      <c r="M845" s="236"/>
      <c r="N845" s="236"/>
    </row>
    <row r="846" spans="1:14" x14ac:dyDescent="0.2">
      <c r="A846" s="237" t="str">
        <f>name!E$8</f>
        <v>Skilled trades occupations</v>
      </c>
      <c r="B846" s="302">
        <v>0.37095737874338192</v>
      </c>
      <c r="C846" s="302">
        <v>1.8232990266775388</v>
      </c>
      <c r="D846" s="302">
        <f t="shared" si="310"/>
        <v>2.1942564054209206</v>
      </c>
      <c r="E846" s="303"/>
      <c r="F846" s="302">
        <v>0.32381031821836176</v>
      </c>
      <c r="G846" s="302">
        <v>1.5226879619826446</v>
      </c>
      <c r="H846" s="302">
        <f t="shared" si="311"/>
        <v>1.8464982802010064</v>
      </c>
      <c r="I846" s="303"/>
      <c r="J846" s="302">
        <v>0.44961078014794026</v>
      </c>
      <c r="K846" s="302">
        <v>1.4558975406368397</v>
      </c>
      <c r="L846" s="302">
        <f t="shared" si="312"/>
        <v>1.9055083207847801</v>
      </c>
      <c r="M846" s="236"/>
      <c r="N846" s="236"/>
    </row>
    <row r="847" spans="1:14" x14ac:dyDescent="0.2">
      <c r="A847" s="237" t="str">
        <f>name!E$9</f>
        <v>Caring, leisure and other service occupations</v>
      </c>
      <c r="B847" s="302">
        <v>0.44857307906480742</v>
      </c>
      <c r="C847" s="302">
        <v>0.48758794507865394</v>
      </c>
      <c r="D847" s="302">
        <f t="shared" si="310"/>
        <v>0.93616102414346136</v>
      </c>
      <c r="E847" s="303"/>
      <c r="F847" s="302">
        <v>0.34970420198809177</v>
      </c>
      <c r="G847" s="302">
        <v>0.50741414407539953</v>
      </c>
      <c r="H847" s="302">
        <f t="shared" si="311"/>
        <v>0.85711834606349124</v>
      </c>
      <c r="I847" s="303"/>
      <c r="J847" s="302">
        <v>0.44454537981618197</v>
      </c>
      <c r="K847" s="302">
        <v>0.72678129652078138</v>
      </c>
      <c r="L847" s="302">
        <f t="shared" si="312"/>
        <v>1.1713266763369634</v>
      </c>
      <c r="M847" s="236"/>
      <c r="N847" s="236"/>
    </row>
    <row r="848" spans="1:14" x14ac:dyDescent="0.2">
      <c r="A848" s="237" t="str">
        <f>name!E$10</f>
        <v>Sales and customer service occupations</v>
      </c>
      <c r="B848" s="302">
        <v>3.6097890998686908</v>
      </c>
      <c r="C848" s="302">
        <v>2.6584700487285278</v>
      </c>
      <c r="D848" s="302">
        <f t="shared" si="310"/>
        <v>6.2682591485972186</v>
      </c>
      <c r="E848" s="303"/>
      <c r="F848" s="302">
        <v>3.1261586294492543</v>
      </c>
      <c r="G848" s="302">
        <v>2.6203232832356265</v>
      </c>
      <c r="H848" s="302">
        <f t="shared" si="311"/>
        <v>5.7464819126848807</v>
      </c>
      <c r="I848" s="303"/>
      <c r="J848" s="302">
        <v>3.1876392876633681</v>
      </c>
      <c r="K848" s="302">
        <v>2.8947521930992317</v>
      </c>
      <c r="L848" s="302">
        <f t="shared" si="312"/>
        <v>6.0823914807625998</v>
      </c>
      <c r="M848" s="236"/>
      <c r="N848" s="236"/>
    </row>
    <row r="849" spans="1:14" x14ac:dyDescent="0.2">
      <c r="A849" s="237" t="str">
        <f>name!E$11</f>
        <v>Process, plant and machine operatives</v>
      </c>
      <c r="B849" s="302">
        <v>0.27045919107567978</v>
      </c>
      <c r="C849" s="302">
        <v>0.92829660114141455</v>
      </c>
      <c r="D849" s="302">
        <f t="shared" si="310"/>
        <v>1.1987557922170944</v>
      </c>
      <c r="E849" s="303"/>
      <c r="F849" s="302">
        <v>0.1915887420127626</v>
      </c>
      <c r="G849" s="302">
        <v>1.012272774999448</v>
      </c>
      <c r="H849" s="302">
        <f t="shared" si="311"/>
        <v>1.2038615170122107</v>
      </c>
      <c r="I849" s="303"/>
      <c r="J849" s="302">
        <v>0.33930703946923424</v>
      </c>
      <c r="K849" s="302">
        <v>1.2894617361414484</v>
      </c>
      <c r="L849" s="302">
        <f t="shared" si="312"/>
        <v>1.6287687756106828</v>
      </c>
      <c r="M849" s="236"/>
      <c r="N849" s="236"/>
    </row>
    <row r="850" spans="1:14" x14ac:dyDescent="0.2">
      <c r="A850" s="237" t="str">
        <f>name!E$12</f>
        <v>Elementary occupations</v>
      </c>
      <c r="B850" s="302">
        <v>0.7169062543915008</v>
      </c>
      <c r="C850" s="302">
        <v>0.78334358588272124</v>
      </c>
      <c r="D850" s="302">
        <f t="shared" si="310"/>
        <v>1.5002498402742219</v>
      </c>
      <c r="E850" s="303"/>
      <c r="F850" s="302">
        <v>0.48090951824515132</v>
      </c>
      <c r="G850" s="302">
        <v>0.66305443791883889</v>
      </c>
      <c r="H850" s="302">
        <f t="shared" si="311"/>
        <v>1.1439639561639903</v>
      </c>
      <c r="I850" s="303"/>
      <c r="J850" s="302">
        <v>0.42558788798630692</v>
      </c>
      <c r="K850" s="302">
        <v>0.57373822544840436</v>
      </c>
      <c r="L850" s="302">
        <f t="shared" si="312"/>
        <v>0.99932611343471134</v>
      </c>
      <c r="M850" s="236"/>
      <c r="N850" s="236"/>
    </row>
    <row r="851" spans="1:14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  <c r="N851" s="236"/>
    </row>
    <row r="852" spans="1:14" x14ac:dyDescent="0.2">
      <c r="A852" s="244" t="s">
        <v>32</v>
      </c>
      <c r="B852" s="311">
        <f>SUM(B842:B850)</f>
        <v>65.794999999490997</v>
      </c>
      <c r="C852" s="311">
        <f t="shared" ref="C852:D852" si="313">SUM(C842:C850)</f>
        <v>98.950999997968907</v>
      </c>
      <c r="D852" s="311">
        <f t="shared" si="313"/>
        <v>164.74599999745993</v>
      </c>
      <c r="E852" s="311"/>
      <c r="F852" s="311">
        <f t="shared" ref="F852:H852" si="314">SUM(F842:F850)</f>
        <v>69.574999999728618</v>
      </c>
      <c r="G852" s="311">
        <f t="shared" si="314"/>
        <v>112.09300000135886</v>
      </c>
      <c r="H852" s="311">
        <f t="shared" si="314"/>
        <v>181.66800000108748</v>
      </c>
      <c r="I852" s="311"/>
      <c r="J852" s="311">
        <f t="shared" ref="J852:L852" si="315">SUM(J842:J850)</f>
        <v>70.857000000177081</v>
      </c>
      <c r="K852" s="311">
        <f t="shared" si="315"/>
        <v>117.18400000259882</v>
      </c>
      <c r="L852" s="311">
        <f t="shared" si="315"/>
        <v>188.04100000277592</v>
      </c>
      <c r="M852" s="236"/>
      <c r="N852" s="236"/>
    </row>
    <row r="853" spans="1:14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  <c r="N853" s="236"/>
    </row>
    <row r="854" spans="1:14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56" t="s">
        <v>35</v>
      </c>
      <c r="M854" s="236"/>
      <c r="N854" s="236"/>
    </row>
    <row r="855" spans="1:14" x14ac:dyDescent="0.2">
      <c r="A855" s="242"/>
      <c r="B855" s="250"/>
      <c r="C855" s="250"/>
      <c r="D855" s="250"/>
      <c r="E855" s="250"/>
      <c r="F855" s="250"/>
      <c r="G855" s="250"/>
      <c r="H855" s="250"/>
      <c r="I855" s="250"/>
      <c r="J855" s="250"/>
      <c r="K855" s="250"/>
      <c r="L855" s="236"/>
      <c r="M855" s="236"/>
      <c r="N855" s="236"/>
    </row>
    <row r="856" spans="1:14" x14ac:dyDescent="0.2">
      <c r="A856" s="241" t="str">
        <f>name!A53</f>
        <v>Real estate</v>
      </c>
      <c r="B856" s="372">
        <f>B$6</f>
        <v>2015</v>
      </c>
      <c r="C856" s="372"/>
      <c r="D856" s="372"/>
      <c r="E856" s="253"/>
      <c r="F856" s="372">
        <f>F$6</f>
        <v>2020</v>
      </c>
      <c r="G856" s="372"/>
      <c r="H856" s="372"/>
      <c r="I856" s="253"/>
      <c r="J856" s="372">
        <f>J$6</f>
        <v>2035</v>
      </c>
      <c r="K856" s="372"/>
      <c r="L856" s="372"/>
      <c r="M856" s="236"/>
      <c r="N856" s="236"/>
    </row>
    <row r="857" spans="1:14" x14ac:dyDescent="0.2">
      <c r="A857" s="254"/>
      <c r="B857" s="255" t="s">
        <v>352</v>
      </c>
      <c r="C857" s="255" t="s">
        <v>353</v>
      </c>
      <c r="D857" s="255" t="s">
        <v>32</v>
      </c>
      <c r="E857" s="255"/>
      <c r="F857" s="255" t="s">
        <v>352</v>
      </c>
      <c r="G857" s="255" t="s">
        <v>353</v>
      </c>
      <c r="H857" s="255" t="s">
        <v>32</v>
      </c>
      <c r="I857" s="255"/>
      <c r="J857" s="255" t="s">
        <v>352</v>
      </c>
      <c r="K857" s="255" t="s">
        <v>353</v>
      </c>
      <c r="L857" s="255" t="s">
        <v>32</v>
      </c>
      <c r="M857" s="236"/>
      <c r="N857" s="236"/>
    </row>
    <row r="858" spans="1:14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  <c r="N858" s="236"/>
    </row>
    <row r="859" spans="1:14" x14ac:dyDescent="0.2">
      <c r="A859" s="237" t="str">
        <f>name!E$4</f>
        <v>Managers, directors and senior officials</v>
      </c>
      <c r="B859" s="302">
        <v>12.028664724986028</v>
      </c>
      <c r="C859" s="302">
        <v>18.502574614729355</v>
      </c>
      <c r="D859" s="302">
        <f>SUM(B859:C859)</f>
        <v>30.531239339715384</v>
      </c>
      <c r="E859" s="303"/>
      <c r="F859" s="302">
        <v>13.508526386839145</v>
      </c>
      <c r="G859" s="302">
        <v>24.417802219240578</v>
      </c>
      <c r="H859" s="302">
        <f>SUM(F859:G859)</f>
        <v>37.926328606079721</v>
      </c>
      <c r="I859" s="303"/>
      <c r="J859" s="302">
        <v>14.850641331187544</v>
      </c>
      <c r="K859" s="302">
        <v>25.867950756164404</v>
      </c>
      <c r="L859" s="302">
        <f>SUM(J859:K859)</f>
        <v>40.718592087351951</v>
      </c>
      <c r="M859" s="236"/>
      <c r="N859" s="236"/>
    </row>
    <row r="860" spans="1:14" x14ac:dyDescent="0.2">
      <c r="A860" s="237" t="str">
        <f>name!E$5</f>
        <v>Professional occupations</v>
      </c>
      <c r="B860" s="302">
        <v>16.550760073252022</v>
      </c>
      <c r="C860" s="302">
        <v>16.963706425476964</v>
      </c>
      <c r="D860" s="302">
        <f t="shared" ref="D860:D867" si="316">SUM(B860:C860)</f>
        <v>33.514466498728986</v>
      </c>
      <c r="E860" s="303"/>
      <c r="F860" s="302">
        <v>19.710108770454763</v>
      </c>
      <c r="G860" s="302">
        <v>26.673774170631209</v>
      </c>
      <c r="H860" s="302">
        <f t="shared" ref="H860:H867" si="317">SUM(F860:G860)</f>
        <v>46.383882941085972</v>
      </c>
      <c r="I860" s="303"/>
      <c r="J860" s="302">
        <v>21.472426365909019</v>
      </c>
      <c r="K860" s="302">
        <v>28.367045629304979</v>
      </c>
      <c r="L860" s="302">
        <f t="shared" ref="L860:L867" si="318">SUM(J860:K860)</f>
        <v>49.839471995213998</v>
      </c>
      <c r="M860" s="236"/>
      <c r="N860" s="236"/>
    </row>
    <row r="861" spans="1:14" x14ac:dyDescent="0.2">
      <c r="A861" s="237" t="str">
        <f>name!E$6</f>
        <v>Associate professional occupations</v>
      </c>
      <c r="B861" s="302">
        <v>14.869010631888152</v>
      </c>
      <c r="C861" s="302">
        <v>13.527705048248871</v>
      </c>
      <c r="D861" s="302">
        <f t="shared" si="316"/>
        <v>28.396715680137021</v>
      </c>
      <c r="E861" s="303"/>
      <c r="F861" s="302">
        <v>16.69333658772587</v>
      </c>
      <c r="G861" s="302">
        <v>18.622680098000913</v>
      </c>
      <c r="H861" s="302">
        <f t="shared" si="317"/>
        <v>35.31601668572678</v>
      </c>
      <c r="I861" s="303"/>
      <c r="J861" s="302">
        <v>17.089899285295658</v>
      </c>
      <c r="K861" s="302">
        <v>15.919362997799318</v>
      </c>
      <c r="L861" s="302">
        <f t="shared" si="318"/>
        <v>33.009262283094976</v>
      </c>
      <c r="M861" s="236"/>
      <c r="N861" s="236"/>
    </row>
    <row r="862" spans="1:14" x14ac:dyDescent="0.2">
      <c r="A862" s="237" t="str">
        <f>name!E$7</f>
        <v>Administrative and secretarial occupations</v>
      </c>
      <c r="B862" s="302">
        <v>15.721403037753419</v>
      </c>
      <c r="C862" s="302">
        <v>2.1373544325783098</v>
      </c>
      <c r="D862" s="302">
        <f t="shared" si="316"/>
        <v>17.858757470331728</v>
      </c>
      <c r="E862" s="303"/>
      <c r="F862" s="302">
        <v>14.498659130845565</v>
      </c>
      <c r="G862" s="302">
        <v>2.8514013387624542</v>
      </c>
      <c r="H862" s="302">
        <f t="shared" si="317"/>
        <v>17.350060469608021</v>
      </c>
      <c r="I862" s="303"/>
      <c r="J862" s="302">
        <v>11.526170041987648</v>
      </c>
      <c r="K862" s="302">
        <v>2.2536580407327174</v>
      </c>
      <c r="L862" s="302">
        <f t="shared" si="318"/>
        <v>13.779828082720364</v>
      </c>
      <c r="M862" s="236"/>
      <c r="N862" s="236"/>
    </row>
    <row r="863" spans="1:14" x14ac:dyDescent="0.2">
      <c r="A863" s="237" t="str">
        <f>name!E$8</f>
        <v>Skilled trades occupations</v>
      </c>
      <c r="B863" s="302">
        <v>1.9804894783087874</v>
      </c>
      <c r="C863" s="302">
        <v>5.6141803922557232</v>
      </c>
      <c r="D863" s="302">
        <f t="shared" si="316"/>
        <v>7.5946698705645108</v>
      </c>
      <c r="E863" s="303"/>
      <c r="F863" s="302">
        <v>2.1991707907444962</v>
      </c>
      <c r="G863" s="302">
        <v>4.8446015348663352</v>
      </c>
      <c r="H863" s="302">
        <f t="shared" si="317"/>
        <v>7.0437723256108313</v>
      </c>
      <c r="I863" s="303"/>
      <c r="J863" s="302">
        <v>3.7082193430730346</v>
      </c>
      <c r="K863" s="302">
        <v>4.8696921384536296</v>
      </c>
      <c r="L863" s="302">
        <f t="shared" si="318"/>
        <v>8.5779114815266642</v>
      </c>
      <c r="M863" s="236"/>
      <c r="N863" s="236"/>
    </row>
    <row r="864" spans="1:14" x14ac:dyDescent="0.2">
      <c r="A864" s="237" t="str">
        <f>name!E$9</f>
        <v>Caring, leisure and other service occupations</v>
      </c>
      <c r="B864" s="302">
        <v>1.8350377057835798</v>
      </c>
      <c r="C864" s="302">
        <v>1.2601498682760264</v>
      </c>
      <c r="D864" s="302">
        <f t="shared" si="316"/>
        <v>3.0951875740596062</v>
      </c>
      <c r="E864" s="303"/>
      <c r="F864" s="302">
        <v>1.6050348019655876</v>
      </c>
      <c r="G864" s="302">
        <v>1.4177717566884498</v>
      </c>
      <c r="H864" s="302">
        <f t="shared" si="317"/>
        <v>3.0228065586540374</v>
      </c>
      <c r="I864" s="303"/>
      <c r="J864" s="302">
        <v>1.5752912952952838</v>
      </c>
      <c r="K864" s="302">
        <v>1.4069135487406816</v>
      </c>
      <c r="L864" s="302">
        <f t="shared" si="318"/>
        <v>2.9822048440359654</v>
      </c>
      <c r="M864" s="236"/>
      <c r="N864" s="236"/>
    </row>
    <row r="865" spans="1:14" x14ac:dyDescent="0.2">
      <c r="A865" s="237" t="str">
        <f>name!E$10</f>
        <v>Sales and customer service occupations</v>
      </c>
      <c r="B865" s="302">
        <v>6.9906439681871779</v>
      </c>
      <c r="C865" s="302">
        <v>3.9168809282890504</v>
      </c>
      <c r="D865" s="302">
        <f t="shared" si="316"/>
        <v>10.907524896476229</v>
      </c>
      <c r="E865" s="303"/>
      <c r="F865" s="302">
        <v>5.8379390362721031</v>
      </c>
      <c r="G865" s="302">
        <v>4.2978027884238728</v>
      </c>
      <c r="H865" s="302">
        <f t="shared" si="317"/>
        <v>10.135741824695977</v>
      </c>
      <c r="I865" s="303"/>
      <c r="J865" s="302">
        <v>5.1367416628597455</v>
      </c>
      <c r="K865" s="302">
        <v>3.768997493239961</v>
      </c>
      <c r="L865" s="302">
        <f t="shared" si="318"/>
        <v>8.9057391560997061</v>
      </c>
      <c r="M865" s="236"/>
      <c r="N865" s="236"/>
    </row>
    <row r="866" spans="1:14" x14ac:dyDescent="0.2">
      <c r="A866" s="237" t="str">
        <f>name!E$11</f>
        <v>Process, plant and machine operatives</v>
      </c>
      <c r="B866" s="302">
        <v>0.17742434838976914</v>
      </c>
      <c r="C866" s="302">
        <v>0.71154034862442572</v>
      </c>
      <c r="D866" s="302">
        <f t="shared" si="316"/>
        <v>0.88896469701419489</v>
      </c>
      <c r="E866" s="303"/>
      <c r="F866" s="302">
        <v>0.13200427861216096</v>
      </c>
      <c r="G866" s="302">
        <v>0.74442946850301195</v>
      </c>
      <c r="H866" s="302">
        <f t="shared" si="317"/>
        <v>0.87643374711517286</v>
      </c>
      <c r="I866" s="303"/>
      <c r="J866" s="302">
        <v>0.24010836616395556</v>
      </c>
      <c r="K866" s="302">
        <v>0.64655360143101825</v>
      </c>
      <c r="L866" s="302">
        <f t="shared" si="318"/>
        <v>0.88666196759497384</v>
      </c>
      <c r="M866" s="236"/>
      <c r="N866" s="236"/>
    </row>
    <row r="867" spans="1:14" x14ac:dyDescent="0.2">
      <c r="A867" s="237" t="str">
        <f>name!E$12</f>
        <v>Elementary occupations</v>
      </c>
      <c r="B867" s="302">
        <v>2.7165660315152782</v>
      </c>
      <c r="C867" s="302">
        <v>0.89290794069611379</v>
      </c>
      <c r="D867" s="302">
        <f t="shared" si="316"/>
        <v>3.6094739722113918</v>
      </c>
      <c r="E867" s="303"/>
      <c r="F867" s="302">
        <v>1.823220216007565</v>
      </c>
      <c r="G867" s="302">
        <v>0.89873662540767529</v>
      </c>
      <c r="H867" s="302">
        <f t="shared" si="317"/>
        <v>2.7219568414152402</v>
      </c>
      <c r="I867" s="303"/>
      <c r="J867" s="302">
        <v>1.4825023079487836</v>
      </c>
      <c r="K867" s="302">
        <v>0.63782579513566617</v>
      </c>
      <c r="L867" s="302">
        <f t="shared" si="318"/>
        <v>2.1203281030844496</v>
      </c>
      <c r="M867" s="236"/>
      <c r="N867" s="236"/>
    </row>
    <row r="868" spans="1:14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  <c r="N868" s="236"/>
    </row>
    <row r="869" spans="1:14" x14ac:dyDescent="0.2">
      <c r="A869" s="244" t="s">
        <v>32</v>
      </c>
      <c r="B869" s="311">
        <f>SUM(B859:B867)</f>
        <v>72.870000000064209</v>
      </c>
      <c r="C869" s="311">
        <f t="shared" ref="C869:D869" si="319">SUM(C859:C867)</f>
        <v>63.526999999174841</v>
      </c>
      <c r="D869" s="311">
        <f t="shared" si="319"/>
        <v>136.39699999923906</v>
      </c>
      <c r="E869" s="311"/>
      <c r="F869" s="311">
        <f t="shared" ref="F869:H869" si="320">SUM(F859:F867)</f>
        <v>76.007999999467273</v>
      </c>
      <c r="G869" s="311">
        <f t="shared" si="320"/>
        <v>84.769000000524514</v>
      </c>
      <c r="H869" s="311">
        <f t="shared" si="320"/>
        <v>160.77699999999174</v>
      </c>
      <c r="I869" s="311"/>
      <c r="J869" s="311">
        <f t="shared" ref="J869:L869" si="321">SUM(J859:J867)</f>
        <v>77.081999999720679</v>
      </c>
      <c r="K869" s="311">
        <f t="shared" si="321"/>
        <v>83.738000001002391</v>
      </c>
      <c r="L869" s="311">
        <f t="shared" si="321"/>
        <v>160.82000000072307</v>
      </c>
      <c r="M869" s="236"/>
      <c r="N869" s="236"/>
    </row>
    <row r="870" spans="1:14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  <c r="N870" s="236"/>
    </row>
    <row r="871" spans="1:14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56" t="s">
        <v>35</v>
      </c>
      <c r="M871" s="236"/>
      <c r="N871" s="236"/>
    </row>
    <row r="872" spans="1:14" x14ac:dyDescent="0.2">
      <c r="A872" s="242"/>
      <c r="B872" s="250"/>
      <c r="C872" s="250"/>
      <c r="D872" s="250"/>
      <c r="E872" s="250"/>
      <c r="F872" s="250"/>
      <c r="G872" s="250"/>
      <c r="H872" s="250"/>
      <c r="I872" s="250"/>
      <c r="J872" s="250"/>
      <c r="K872" s="250"/>
      <c r="L872" s="236"/>
      <c r="M872" s="236"/>
      <c r="N872" s="236"/>
    </row>
    <row r="873" spans="1:14" x14ac:dyDescent="0.2">
      <c r="A873" s="241" t="str">
        <f>name!A54</f>
        <v>Legal and accounting</v>
      </c>
      <c r="B873" s="372">
        <f>B$6</f>
        <v>2015</v>
      </c>
      <c r="C873" s="372"/>
      <c r="D873" s="372"/>
      <c r="E873" s="253"/>
      <c r="F873" s="372">
        <f>F$6</f>
        <v>2020</v>
      </c>
      <c r="G873" s="372"/>
      <c r="H873" s="372"/>
      <c r="I873" s="253"/>
      <c r="J873" s="372">
        <f>J$6</f>
        <v>2035</v>
      </c>
      <c r="K873" s="372"/>
      <c r="L873" s="372"/>
      <c r="M873" s="236"/>
      <c r="N873" s="236"/>
    </row>
    <row r="874" spans="1:14" x14ac:dyDescent="0.2">
      <c r="A874" s="254"/>
      <c r="B874" s="255" t="s">
        <v>352</v>
      </c>
      <c r="C874" s="255" t="s">
        <v>353</v>
      </c>
      <c r="D874" s="255" t="s">
        <v>32</v>
      </c>
      <c r="E874" s="255"/>
      <c r="F874" s="255" t="s">
        <v>352</v>
      </c>
      <c r="G874" s="255" t="s">
        <v>353</v>
      </c>
      <c r="H874" s="255" t="s">
        <v>32</v>
      </c>
      <c r="I874" s="255"/>
      <c r="J874" s="255" t="s">
        <v>352</v>
      </c>
      <c r="K874" s="255" t="s">
        <v>353</v>
      </c>
      <c r="L874" s="255" t="s">
        <v>32</v>
      </c>
      <c r="M874" s="236"/>
      <c r="N874" s="236"/>
    </row>
    <row r="875" spans="1:14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  <c r="N875" s="236"/>
    </row>
    <row r="876" spans="1:14" x14ac:dyDescent="0.2">
      <c r="A876" s="237" t="str">
        <f>name!E$4</f>
        <v>Managers, directors and senior officials</v>
      </c>
      <c r="B876" s="302">
        <v>11.741105448210938</v>
      </c>
      <c r="C876" s="302">
        <v>16.486932401006193</v>
      </c>
      <c r="D876" s="302">
        <f>SUM(B876:C876)</f>
        <v>28.228037849217131</v>
      </c>
      <c r="E876" s="303"/>
      <c r="F876" s="302">
        <v>14.572457352537054</v>
      </c>
      <c r="G876" s="302">
        <v>17.053194814688677</v>
      </c>
      <c r="H876" s="302">
        <f>SUM(F876:G876)</f>
        <v>31.625652167225731</v>
      </c>
      <c r="I876" s="303"/>
      <c r="J876" s="302">
        <v>16.542252945347755</v>
      </c>
      <c r="K876" s="302">
        <v>19.634260850482516</v>
      </c>
      <c r="L876" s="302">
        <f>SUM(J876:K876)</f>
        <v>36.176513795830274</v>
      </c>
      <c r="M876" s="236"/>
      <c r="N876" s="236"/>
    </row>
    <row r="877" spans="1:14" x14ac:dyDescent="0.2">
      <c r="A877" s="237" t="str">
        <f>name!E$5</f>
        <v>Professional occupations</v>
      </c>
      <c r="B877" s="302">
        <v>39.546063654919315</v>
      </c>
      <c r="C877" s="302">
        <v>52.102504703284325</v>
      </c>
      <c r="D877" s="302">
        <f t="shared" ref="D877:D884" si="322">SUM(B877:C877)</f>
        <v>91.648568358203647</v>
      </c>
      <c r="E877" s="303"/>
      <c r="F877" s="302">
        <v>52.746832602830395</v>
      </c>
      <c r="G877" s="302">
        <v>58.131737388312992</v>
      </c>
      <c r="H877" s="302">
        <f t="shared" ref="H877:H884" si="323">SUM(F877:G877)</f>
        <v>110.87856999114339</v>
      </c>
      <c r="I877" s="303"/>
      <c r="J877" s="302">
        <v>64.643195240090336</v>
      </c>
      <c r="K877" s="302">
        <v>70.157951768053309</v>
      </c>
      <c r="L877" s="302">
        <f t="shared" ref="L877:L884" si="324">SUM(J877:K877)</f>
        <v>134.80114700814363</v>
      </c>
      <c r="M877" s="236"/>
      <c r="N877" s="236"/>
    </row>
    <row r="878" spans="1:14" x14ac:dyDescent="0.2">
      <c r="A878" s="237" t="str">
        <f>name!E$6</f>
        <v>Associate professional occupations</v>
      </c>
      <c r="B878" s="302">
        <v>24.003102377281206</v>
      </c>
      <c r="C878" s="302">
        <v>21.965061985988861</v>
      </c>
      <c r="D878" s="302">
        <f t="shared" si="322"/>
        <v>45.968164363270063</v>
      </c>
      <c r="E878" s="303"/>
      <c r="F878" s="302">
        <v>26.651706141311845</v>
      </c>
      <c r="G878" s="302">
        <v>22.727616587133934</v>
      </c>
      <c r="H878" s="302">
        <f t="shared" si="323"/>
        <v>49.379322728445779</v>
      </c>
      <c r="I878" s="303"/>
      <c r="J878" s="302">
        <v>29.101602429556575</v>
      </c>
      <c r="K878" s="302">
        <v>23.810080117214014</v>
      </c>
      <c r="L878" s="302">
        <f t="shared" si="324"/>
        <v>52.911682546770592</v>
      </c>
      <c r="M878" s="236"/>
      <c r="N878" s="236"/>
    </row>
    <row r="879" spans="1:14" x14ac:dyDescent="0.2">
      <c r="A879" s="237" t="str">
        <f>name!E$7</f>
        <v>Administrative and secretarial occupations</v>
      </c>
      <c r="B879" s="302">
        <v>23.432513593776598</v>
      </c>
      <c r="C879" s="302">
        <v>3.6628645032806877</v>
      </c>
      <c r="D879" s="302">
        <f t="shared" si="322"/>
        <v>27.095378097057285</v>
      </c>
      <c r="E879" s="303"/>
      <c r="F879" s="302">
        <v>23.027829704106356</v>
      </c>
      <c r="G879" s="302">
        <v>3.6193277885064137</v>
      </c>
      <c r="H879" s="302">
        <f t="shared" si="323"/>
        <v>26.64715749261277</v>
      </c>
      <c r="I879" s="303"/>
      <c r="J879" s="302">
        <v>17.822791980298618</v>
      </c>
      <c r="K879" s="302">
        <v>3.3482576205250161</v>
      </c>
      <c r="L879" s="302">
        <f t="shared" si="324"/>
        <v>21.171049600823633</v>
      </c>
      <c r="M879" s="236"/>
      <c r="N879" s="236"/>
    </row>
    <row r="880" spans="1:14" x14ac:dyDescent="0.2">
      <c r="A880" s="237" t="str">
        <f>name!E$8</f>
        <v>Skilled trades occupations</v>
      </c>
      <c r="B880" s="302">
        <v>0.67290349566552932</v>
      </c>
      <c r="C880" s="302">
        <v>3.1975636946889376</v>
      </c>
      <c r="D880" s="302">
        <f t="shared" si="322"/>
        <v>3.870467190354467</v>
      </c>
      <c r="E880" s="303"/>
      <c r="F880" s="302">
        <v>0.74725871631226159</v>
      </c>
      <c r="G880" s="302">
        <v>2.201799126782777</v>
      </c>
      <c r="H880" s="302">
        <f t="shared" si="323"/>
        <v>2.9490578430950385</v>
      </c>
      <c r="I880" s="303"/>
      <c r="J880" s="302">
        <v>1.4650870101098501</v>
      </c>
      <c r="K880" s="302">
        <v>2.0262586586814137</v>
      </c>
      <c r="L880" s="302">
        <f t="shared" si="324"/>
        <v>3.4913456687912641</v>
      </c>
      <c r="M880" s="236"/>
      <c r="N880" s="236"/>
    </row>
    <row r="881" spans="1:14" x14ac:dyDescent="0.2">
      <c r="A881" s="237" t="str">
        <f>name!E$9</f>
        <v>Caring, leisure and other service occupations</v>
      </c>
      <c r="B881" s="302">
        <v>0.41060675358899756</v>
      </c>
      <c r="C881" s="302">
        <v>0.33459833897115299</v>
      </c>
      <c r="D881" s="302">
        <f t="shared" si="322"/>
        <v>0.74520509256015055</v>
      </c>
      <c r="E881" s="303"/>
      <c r="F881" s="302">
        <v>0.37843703885920643</v>
      </c>
      <c r="G881" s="302">
        <v>0.34198555504496098</v>
      </c>
      <c r="H881" s="302">
        <f t="shared" si="323"/>
        <v>0.72042259390416741</v>
      </c>
      <c r="I881" s="303"/>
      <c r="J881" s="302">
        <v>0.36780955507328139</v>
      </c>
      <c r="K881" s="302">
        <v>0.59836639200023134</v>
      </c>
      <c r="L881" s="302">
        <f t="shared" si="324"/>
        <v>0.96617594707351273</v>
      </c>
      <c r="M881" s="236"/>
      <c r="N881" s="236"/>
    </row>
    <row r="882" spans="1:14" x14ac:dyDescent="0.2">
      <c r="A882" s="237" t="str">
        <f>name!E$10</f>
        <v>Sales and customer service occupations</v>
      </c>
      <c r="B882" s="302">
        <v>4.0311104946891252</v>
      </c>
      <c r="C882" s="302">
        <v>1.6172471907606856</v>
      </c>
      <c r="D882" s="302">
        <f t="shared" si="322"/>
        <v>5.6483576854498105</v>
      </c>
      <c r="E882" s="303"/>
      <c r="F882" s="302">
        <v>3.7898023318119569</v>
      </c>
      <c r="G882" s="302">
        <v>1.4233025838550795</v>
      </c>
      <c r="H882" s="302">
        <f t="shared" si="323"/>
        <v>5.2131049156670368</v>
      </c>
      <c r="I882" s="303"/>
      <c r="J882" s="302">
        <v>3.8027658350935045</v>
      </c>
      <c r="K882" s="302">
        <v>1.7544463907024137</v>
      </c>
      <c r="L882" s="302">
        <f t="shared" si="324"/>
        <v>5.5572122257959187</v>
      </c>
      <c r="M882" s="236"/>
      <c r="N882" s="236"/>
    </row>
    <row r="883" spans="1:14" x14ac:dyDescent="0.2">
      <c r="A883" s="237" t="str">
        <f>name!E$11</f>
        <v>Process, plant and machine operatives</v>
      </c>
      <c r="B883" s="302">
        <v>0.35270536736318053</v>
      </c>
      <c r="C883" s="302">
        <v>0.76024967345139727</v>
      </c>
      <c r="D883" s="302">
        <f t="shared" si="322"/>
        <v>1.1129550408145779</v>
      </c>
      <c r="E883" s="303"/>
      <c r="F883" s="302">
        <v>0.30974199805104252</v>
      </c>
      <c r="G883" s="302">
        <v>0.63024800631210587</v>
      </c>
      <c r="H883" s="302">
        <f t="shared" si="323"/>
        <v>0.93999000436314839</v>
      </c>
      <c r="I883" s="303"/>
      <c r="J883" s="302">
        <v>0.66029613537787701</v>
      </c>
      <c r="K883" s="302">
        <v>0.68134509891693207</v>
      </c>
      <c r="L883" s="302">
        <f t="shared" si="324"/>
        <v>1.341641234294809</v>
      </c>
      <c r="M883" s="236"/>
      <c r="N883" s="236"/>
    </row>
    <row r="884" spans="1:14" x14ac:dyDescent="0.2">
      <c r="A884" s="237" t="str">
        <f>name!E$12</f>
        <v>Elementary occupations</v>
      </c>
      <c r="B884" s="302">
        <v>1.6998888128048069</v>
      </c>
      <c r="C884" s="302">
        <v>0.5809775060555521</v>
      </c>
      <c r="D884" s="302">
        <f t="shared" si="322"/>
        <v>2.2808663188603591</v>
      </c>
      <c r="E884" s="303"/>
      <c r="F884" s="302">
        <v>1.3759341142747477</v>
      </c>
      <c r="G884" s="302">
        <v>0.43278815157661849</v>
      </c>
      <c r="H884" s="302">
        <f t="shared" si="323"/>
        <v>1.8087222658513662</v>
      </c>
      <c r="I884" s="303"/>
      <c r="J884" s="302">
        <v>1.4681988695331907</v>
      </c>
      <c r="K884" s="302">
        <v>0.34103310687794258</v>
      </c>
      <c r="L884" s="302">
        <f t="shared" si="324"/>
        <v>1.8092319764111333</v>
      </c>
      <c r="M884" s="236"/>
      <c r="N884" s="236"/>
    </row>
    <row r="885" spans="1:14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  <c r="N885" s="236"/>
    </row>
    <row r="886" spans="1:14" x14ac:dyDescent="0.2">
      <c r="A886" s="244" t="s">
        <v>32</v>
      </c>
      <c r="B886" s="311">
        <f>SUM(B876:B884)</f>
        <v>105.8899999982997</v>
      </c>
      <c r="C886" s="311">
        <f t="shared" ref="C886:D886" si="325">SUM(C876:C884)</f>
        <v>100.70799999748776</v>
      </c>
      <c r="D886" s="311">
        <f t="shared" si="325"/>
        <v>206.59799999578749</v>
      </c>
      <c r="E886" s="311"/>
      <c r="F886" s="311">
        <f t="shared" ref="F886:H886" si="326">SUM(F876:F884)</f>
        <v>123.60000000009485</v>
      </c>
      <c r="G886" s="311">
        <f t="shared" si="326"/>
        <v>106.56200000221354</v>
      </c>
      <c r="H886" s="311">
        <f t="shared" si="326"/>
        <v>230.16200000230842</v>
      </c>
      <c r="I886" s="311"/>
      <c r="J886" s="311">
        <f t="shared" ref="J886:L886" si="327">SUM(J876:J884)</f>
        <v>135.87400000048098</v>
      </c>
      <c r="K886" s="311">
        <f t="shared" si="327"/>
        <v>122.3520000034538</v>
      </c>
      <c r="L886" s="311">
        <f t="shared" si="327"/>
        <v>258.22600000393476</v>
      </c>
      <c r="M886" s="236"/>
      <c r="N886" s="236"/>
    </row>
    <row r="887" spans="1:14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  <c r="N887" s="236"/>
    </row>
    <row r="888" spans="1:14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56" t="s">
        <v>35</v>
      </c>
      <c r="M888" s="236"/>
      <c r="N888" s="236"/>
    </row>
    <row r="889" spans="1:14" x14ac:dyDescent="0.2">
      <c r="A889" s="242"/>
      <c r="B889" s="250"/>
      <c r="C889" s="250"/>
      <c r="D889" s="250"/>
      <c r="E889" s="250"/>
      <c r="F889" s="250"/>
      <c r="G889" s="250"/>
      <c r="H889" s="250"/>
      <c r="I889" s="250"/>
      <c r="J889" s="250"/>
      <c r="K889" s="250"/>
      <c r="L889" s="236"/>
      <c r="M889" s="236"/>
      <c r="N889" s="236"/>
    </row>
    <row r="890" spans="1:14" x14ac:dyDescent="0.2">
      <c r="A890" s="241" t="str">
        <f>name!A55</f>
        <v>Head offices, etc</v>
      </c>
      <c r="B890" s="372">
        <f>B$6</f>
        <v>2015</v>
      </c>
      <c r="C890" s="372"/>
      <c r="D890" s="372"/>
      <c r="E890" s="253"/>
      <c r="F890" s="372">
        <f>F$6</f>
        <v>2020</v>
      </c>
      <c r="G890" s="372"/>
      <c r="H890" s="372"/>
      <c r="I890" s="253"/>
      <c r="J890" s="372">
        <f>J$6</f>
        <v>2035</v>
      </c>
      <c r="K890" s="372"/>
      <c r="L890" s="372"/>
      <c r="M890" s="236"/>
      <c r="N890" s="236"/>
    </row>
    <row r="891" spans="1:14" x14ac:dyDescent="0.2">
      <c r="A891" s="254"/>
      <c r="B891" s="255" t="s">
        <v>352</v>
      </c>
      <c r="C891" s="255" t="s">
        <v>353</v>
      </c>
      <c r="D891" s="255" t="s">
        <v>32</v>
      </c>
      <c r="E891" s="255"/>
      <c r="F891" s="255" t="s">
        <v>352</v>
      </c>
      <c r="G891" s="255" t="s">
        <v>353</v>
      </c>
      <c r="H891" s="255" t="s">
        <v>32</v>
      </c>
      <c r="I891" s="255"/>
      <c r="J891" s="255" t="s">
        <v>352</v>
      </c>
      <c r="K891" s="255" t="s">
        <v>353</v>
      </c>
      <c r="L891" s="255" t="s">
        <v>32</v>
      </c>
      <c r="M891" s="236"/>
      <c r="N891" s="236"/>
    </row>
    <row r="892" spans="1:14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  <c r="N892" s="236"/>
    </row>
    <row r="893" spans="1:14" x14ac:dyDescent="0.2">
      <c r="A893" s="237" t="str">
        <f>name!E$4</f>
        <v>Managers, directors and senior officials</v>
      </c>
      <c r="B893" s="302">
        <v>14.000145010941981</v>
      </c>
      <c r="C893" s="302">
        <v>24.403345544622738</v>
      </c>
      <c r="D893" s="302">
        <f>SUM(B893:C893)</f>
        <v>38.403490555564716</v>
      </c>
      <c r="E893" s="303"/>
      <c r="F893" s="302">
        <v>13.459492450396592</v>
      </c>
      <c r="G893" s="302">
        <v>21.212637777201937</v>
      </c>
      <c r="H893" s="302">
        <f>SUM(F893:G893)</f>
        <v>34.672130227598529</v>
      </c>
      <c r="I893" s="303"/>
      <c r="J893" s="302">
        <v>15.975249380247151</v>
      </c>
      <c r="K893" s="302">
        <v>22.316361744698895</v>
      </c>
      <c r="L893" s="302">
        <f>SUM(J893:K893)</f>
        <v>38.291611124946044</v>
      </c>
      <c r="M893" s="236"/>
      <c r="N893" s="236"/>
    </row>
    <row r="894" spans="1:14" x14ac:dyDescent="0.2">
      <c r="A894" s="237" t="str">
        <f>name!E$5</f>
        <v>Professional occupations</v>
      </c>
      <c r="B894" s="302">
        <v>45.972922642552632</v>
      </c>
      <c r="C894" s="302">
        <v>72.241294294407638</v>
      </c>
      <c r="D894" s="302">
        <f t="shared" ref="D894:D901" si="328">SUM(B894:C894)</f>
        <v>118.21421693696027</v>
      </c>
      <c r="E894" s="303"/>
      <c r="F894" s="302">
        <v>47.218079060672615</v>
      </c>
      <c r="G894" s="302">
        <v>69.550522993833582</v>
      </c>
      <c r="H894" s="302">
        <f t="shared" ref="H894:H901" si="329">SUM(F894:G894)</f>
        <v>116.7686020545062</v>
      </c>
      <c r="I894" s="303"/>
      <c r="J894" s="302">
        <v>60.069728101593704</v>
      </c>
      <c r="K894" s="302">
        <v>79.486309057725677</v>
      </c>
      <c r="L894" s="302">
        <f t="shared" ref="L894:L901" si="330">SUM(J894:K894)</f>
        <v>139.55603715931937</v>
      </c>
      <c r="M894" s="236"/>
      <c r="N894" s="236"/>
    </row>
    <row r="895" spans="1:14" x14ac:dyDescent="0.2">
      <c r="A895" s="237" t="str">
        <f>name!E$6</f>
        <v>Associate professional occupations</v>
      </c>
      <c r="B895" s="302">
        <v>28.036284322423242</v>
      </c>
      <c r="C895" s="302">
        <v>32.335392415344394</v>
      </c>
      <c r="D895" s="302">
        <f t="shared" si="328"/>
        <v>60.371676737767636</v>
      </c>
      <c r="E895" s="303"/>
      <c r="F895" s="302">
        <v>23.816125291680688</v>
      </c>
      <c r="G895" s="302">
        <v>28.368307034261349</v>
      </c>
      <c r="H895" s="302">
        <f t="shared" si="329"/>
        <v>52.184432325942041</v>
      </c>
      <c r="I895" s="303"/>
      <c r="J895" s="302">
        <v>26.933076329990573</v>
      </c>
      <c r="K895" s="302">
        <v>27.364931525488341</v>
      </c>
      <c r="L895" s="302">
        <f t="shared" si="330"/>
        <v>54.298007855478915</v>
      </c>
      <c r="M895" s="236"/>
      <c r="N895" s="236"/>
    </row>
    <row r="896" spans="1:14" x14ac:dyDescent="0.2">
      <c r="A896" s="237" t="str">
        <f>name!E$7</f>
        <v>Administrative and secretarial occupations</v>
      </c>
      <c r="B896" s="302">
        <v>30.434366990829435</v>
      </c>
      <c r="C896" s="302">
        <v>5.7617161089102726</v>
      </c>
      <c r="D896" s="302">
        <f t="shared" si="328"/>
        <v>36.19608309973971</v>
      </c>
      <c r="E896" s="303"/>
      <c r="F896" s="302">
        <v>22.16880768773229</v>
      </c>
      <c r="G896" s="302">
        <v>4.841279796474752</v>
      </c>
      <c r="H896" s="302">
        <f t="shared" si="329"/>
        <v>27.010087484207041</v>
      </c>
      <c r="I896" s="303"/>
      <c r="J896" s="302">
        <v>18.124832541705885</v>
      </c>
      <c r="K896" s="302">
        <v>3.862379648612305</v>
      </c>
      <c r="L896" s="302">
        <f t="shared" si="330"/>
        <v>21.987212190318189</v>
      </c>
      <c r="M896" s="236"/>
      <c r="N896" s="236"/>
    </row>
    <row r="897" spans="1:14" x14ac:dyDescent="0.2">
      <c r="A897" s="237" t="str">
        <f>name!E$8</f>
        <v>Skilled trades occupations</v>
      </c>
      <c r="B897" s="302">
        <v>0.79765849052262727</v>
      </c>
      <c r="C897" s="302">
        <v>4.9478022300332842</v>
      </c>
      <c r="D897" s="302">
        <f t="shared" si="328"/>
        <v>5.7454607205559114</v>
      </c>
      <c r="E897" s="303"/>
      <c r="F897" s="302">
        <v>0.66470188517359619</v>
      </c>
      <c r="G897" s="302">
        <v>2.803551744771247</v>
      </c>
      <c r="H897" s="302">
        <f t="shared" si="329"/>
        <v>3.4682536299448432</v>
      </c>
      <c r="I897" s="303"/>
      <c r="J897" s="302">
        <v>1.3523180602261069</v>
      </c>
      <c r="K897" s="302">
        <v>2.331235394040271</v>
      </c>
      <c r="L897" s="302">
        <f t="shared" si="330"/>
        <v>3.6835534542663781</v>
      </c>
      <c r="M897" s="236"/>
      <c r="N897" s="236"/>
    </row>
    <row r="898" spans="1:14" x14ac:dyDescent="0.2">
      <c r="A898" s="237" t="str">
        <f>name!E$9</f>
        <v>Caring, leisure and other service occupations</v>
      </c>
      <c r="B898" s="302">
        <v>0.49151255733296267</v>
      </c>
      <c r="C898" s="302">
        <v>0.42896597299083394</v>
      </c>
      <c r="D898" s="302">
        <f t="shared" si="328"/>
        <v>0.92047853032379656</v>
      </c>
      <c r="E898" s="303"/>
      <c r="F898" s="302">
        <v>0.34014648882317283</v>
      </c>
      <c r="G898" s="302">
        <v>0.35726029510446233</v>
      </c>
      <c r="H898" s="302">
        <f t="shared" si="329"/>
        <v>0.69740678392763522</v>
      </c>
      <c r="I898" s="303"/>
      <c r="J898" s="302">
        <v>0.3393299548462802</v>
      </c>
      <c r="K898" s="302">
        <v>0.53147424926711007</v>
      </c>
      <c r="L898" s="302">
        <f t="shared" si="330"/>
        <v>0.87080420411339032</v>
      </c>
      <c r="M898" s="236"/>
      <c r="N898" s="236"/>
    </row>
    <row r="899" spans="1:14" x14ac:dyDescent="0.2">
      <c r="A899" s="237" t="str">
        <f>name!E$10</f>
        <v>Sales and customer service occupations</v>
      </c>
      <c r="B899" s="302">
        <v>4.992880348575361</v>
      </c>
      <c r="C899" s="302">
        <v>2.4790498883563306</v>
      </c>
      <c r="D899" s="302">
        <f t="shared" si="328"/>
        <v>7.4719302369316916</v>
      </c>
      <c r="E899" s="303"/>
      <c r="F899" s="302">
        <v>3.5654544744779861</v>
      </c>
      <c r="G899" s="302">
        <v>1.8307359167193933</v>
      </c>
      <c r="H899" s="302">
        <f t="shared" si="329"/>
        <v>5.3961903911973792</v>
      </c>
      <c r="I899" s="303"/>
      <c r="J899" s="302">
        <v>3.7692541722908071</v>
      </c>
      <c r="K899" s="302">
        <v>2.106173636735083</v>
      </c>
      <c r="L899" s="302">
        <f t="shared" si="330"/>
        <v>5.87542780902589</v>
      </c>
      <c r="M899" s="236"/>
      <c r="N899" s="236"/>
    </row>
    <row r="900" spans="1:14" x14ac:dyDescent="0.2">
      <c r="A900" s="237" t="str">
        <f>name!E$11</f>
        <v>Process, plant and machine operatives</v>
      </c>
      <c r="B900" s="302">
        <v>0.47318095673675953</v>
      </c>
      <c r="C900" s="302">
        <v>1.2405023452523225</v>
      </c>
      <c r="D900" s="302">
        <f t="shared" si="328"/>
        <v>1.713683301989082</v>
      </c>
      <c r="E900" s="303"/>
      <c r="F900" s="302">
        <v>0.2874278265265407</v>
      </c>
      <c r="G900" s="302">
        <v>0.84776834601762729</v>
      </c>
      <c r="H900" s="302">
        <f t="shared" si="329"/>
        <v>1.1351961725441679</v>
      </c>
      <c r="I900" s="303"/>
      <c r="J900" s="302">
        <v>0.60367286646632867</v>
      </c>
      <c r="K900" s="302">
        <v>0.84427182871737316</v>
      </c>
      <c r="L900" s="302">
        <f t="shared" si="330"/>
        <v>1.4479446951837018</v>
      </c>
      <c r="M900" s="236"/>
      <c r="N900" s="236"/>
    </row>
    <row r="901" spans="1:14" x14ac:dyDescent="0.2">
      <c r="A901" s="237" t="str">
        <f>name!E$12</f>
        <v>Elementary occupations</v>
      </c>
      <c r="B901" s="302">
        <v>2.3690486781945319</v>
      </c>
      <c r="C901" s="302">
        <v>0.99293119605519076</v>
      </c>
      <c r="D901" s="302">
        <f t="shared" si="328"/>
        <v>3.3619798742497227</v>
      </c>
      <c r="E901" s="303"/>
      <c r="F901" s="302">
        <v>1.3637648346070723</v>
      </c>
      <c r="G901" s="302">
        <v>0.61193609791365999</v>
      </c>
      <c r="H901" s="302">
        <f t="shared" si="329"/>
        <v>1.9757009325207324</v>
      </c>
      <c r="I901" s="303"/>
      <c r="J901" s="302">
        <v>1.393538593072212</v>
      </c>
      <c r="K901" s="302">
        <v>0.44886291806395406</v>
      </c>
      <c r="L901" s="302">
        <f t="shared" si="330"/>
        <v>1.842401511136166</v>
      </c>
      <c r="M901" s="236"/>
      <c r="N901" s="236"/>
    </row>
    <row r="902" spans="1:14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  <c r="N902" s="236"/>
    </row>
    <row r="903" spans="1:14" x14ac:dyDescent="0.2">
      <c r="A903" s="244" t="s">
        <v>32</v>
      </c>
      <c r="B903" s="311">
        <f>SUM(B893:B901)</f>
        <v>127.56799999810951</v>
      </c>
      <c r="C903" s="311">
        <f t="shared" ref="C903:D903" si="331">SUM(C893:C901)</f>
        <v>144.830999995973</v>
      </c>
      <c r="D903" s="311">
        <f t="shared" si="331"/>
        <v>272.39899999408254</v>
      </c>
      <c r="E903" s="311"/>
      <c r="F903" s="311">
        <f t="shared" ref="F903:H903" si="332">SUM(F893:F901)</f>
        <v>112.88400000009054</v>
      </c>
      <c r="G903" s="311">
        <f t="shared" si="332"/>
        <v>130.42400000229802</v>
      </c>
      <c r="H903" s="311">
        <f t="shared" si="332"/>
        <v>243.30800000238861</v>
      </c>
      <c r="I903" s="311"/>
      <c r="J903" s="311">
        <f t="shared" ref="J903:L903" si="333">SUM(J893:J901)</f>
        <v>128.56100000043904</v>
      </c>
      <c r="K903" s="311">
        <f t="shared" si="333"/>
        <v>139.29200000334905</v>
      </c>
      <c r="L903" s="311">
        <f t="shared" si="333"/>
        <v>267.85300000378805</v>
      </c>
      <c r="M903" s="236"/>
      <c r="N903" s="236"/>
    </row>
    <row r="904" spans="1:14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  <c r="N904" s="236"/>
    </row>
    <row r="905" spans="1:14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56" t="s">
        <v>35</v>
      </c>
      <c r="M905" s="236"/>
      <c r="N905" s="236"/>
    </row>
    <row r="906" spans="1:14" x14ac:dyDescent="0.2">
      <c r="A906" s="242"/>
      <c r="B906" s="250"/>
      <c r="C906" s="250"/>
      <c r="D906" s="250"/>
      <c r="E906" s="250"/>
      <c r="F906" s="250"/>
      <c r="G906" s="250"/>
      <c r="H906" s="250"/>
      <c r="I906" s="250"/>
      <c r="J906" s="250"/>
      <c r="K906" s="250"/>
      <c r="L906" s="236"/>
      <c r="M906" s="236"/>
      <c r="N906" s="236"/>
    </row>
    <row r="907" spans="1:14" x14ac:dyDescent="0.2">
      <c r="A907" s="241" t="str">
        <f>name!A56</f>
        <v>Architectural and related</v>
      </c>
      <c r="B907" s="372">
        <f>B$6</f>
        <v>2015</v>
      </c>
      <c r="C907" s="372"/>
      <c r="D907" s="372"/>
      <c r="E907" s="253"/>
      <c r="F907" s="372">
        <f>F$6</f>
        <v>2020</v>
      </c>
      <c r="G907" s="372"/>
      <c r="H907" s="372"/>
      <c r="I907" s="253"/>
      <c r="J907" s="372">
        <f>J$6</f>
        <v>2035</v>
      </c>
      <c r="K907" s="372"/>
      <c r="L907" s="372"/>
      <c r="M907" s="236"/>
      <c r="N907" s="236"/>
    </row>
    <row r="908" spans="1:14" x14ac:dyDescent="0.2">
      <c r="A908" s="254"/>
      <c r="B908" s="255" t="s">
        <v>352</v>
      </c>
      <c r="C908" s="255" t="s">
        <v>353</v>
      </c>
      <c r="D908" s="255" t="s">
        <v>32</v>
      </c>
      <c r="E908" s="255"/>
      <c r="F908" s="255" t="s">
        <v>352</v>
      </c>
      <c r="G908" s="255" t="s">
        <v>353</v>
      </c>
      <c r="H908" s="255" t="s">
        <v>32</v>
      </c>
      <c r="I908" s="255"/>
      <c r="J908" s="255" t="s">
        <v>352</v>
      </c>
      <c r="K908" s="255" t="s">
        <v>353</v>
      </c>
      <c r="L908" s="255" t="s">
        <v>32</v>
      </c>
      <c r="M908" s="236"/>
      <c r="N908" s="236"/>
    </row>
    <row r="909" spans="1:14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  <c r="N909" s="236"/>
    </row>
    <row r="910" spans="1:14" x14ac:dyDescent="0.2">
      <c r="A910" s="237" t="str">
        <f>name!E$4</f>
        <v>Managers, directors and senior officials</v>
      </c>
      <c r="B910" s="302">
        <v>3.6170004645954701</v>
      </c>
      <c r="C910" s="302">
        <v>10.420479803424485</v>
      </c>
      <c r="D910" s="302">
        <f>SUM(B910:C910)</f>
        <v>14.037480268019955</v>
      </c>
      <c r="E910" s="303"/>
      <c r="F910" s="302">
        <v>4.1931674035943942</v>
      </c>
      <c r="G910" s="302">
        <v>11.964169797357236</v>
      </c>
      <c r="H910" s="302">
        <f>SUM(F910:G910)</f>
        <v>16.157337200951631</v>
      </c>
      <c r="I910" s="303"/>
      <c r="J910" s="302">
        <v>4.6634508518069193</v>
      </c>
      <c r="K910" s="302">
        <v>11.416370363229037</v>
      </c>
      <c r="L910" s="302">
        <f>SUM(J910:K910)</f>
        <v>16.079821215035956</v>
      </c>
      <c r="M910" s="236"/>
      <c r="N910" s="236"/>
    </row>
    <row r="911" spans="1:14" x14ac:dyDescent="0.2">
      <c r="A911" s="237" t="str">
        <f>name!E$5</f>
        <v>Professional occupations</v>
      </c>
      <c r="B911" s="302">
        <v>12.237268155425085</v>
      </c>
      <c r="C911" s="302">
        <v>31.980959576300098</v>
      </c>
      <c r="D911" s="302">
        <f t="shared" ref="D911:D918" si="334">SUM(B911:C911)</f>
        <v>44.218227731725179</v>
      </c>
      <c r="E911" s="303"/>
      <c r="F911" s="302">
        <v>15.556546074712832</v>
      </c>
      <c r="G911" s="302">
        <v>40.564634982360715</v>
      </c>
      <c r="H911" s="302">
        <f t="shared" ref="H911:H918" si="335">SUM(F911:G911)</f>
        <v>56.121181057073549</v>
      </c>
      <c r="I911" s="303"/>
      <c r="J911" s="302">
        <v>18.884422658354978</v>
      </c>
      <c r="K911" s="302">
        <v>41.632503780237641</v>
      </c>
      <c r="L911" s="302">
        <f t="shared" ref="L911:L918" si="336">SUM(J911:K911)</f>
        <v>60.51692643859262</v>
      </c>
      <c r="M911" s="236"/>
      <c r="N911" s="236"/>
    </row>
    <row r="912" spans="1:14" x14ac:dyDescent="0.2">
      <c r="A912" s="237" t="str">
        <f>name!E$6</f>
        <v>Associate professional occupations</v>
      </c>
      <c r="B912" s="302">
        <v>7.3506256243131389</v>
      </c>
      <c r="C912" s="302">
        <v>13.726150897270402</v>
      </c>
      <c r="D912" s="302">
        <f t="shared" si="334"/>
        <v>21.07677652158354</v>
      </c>
      <c r="E912" s="303"/>
      <c r="F912" s="302">
        <v>7.7803737545384255</v>
      </c>
      <c r="G912" s="302">
        <v>15.95363339423046</v>
      </c>
      <c r="H912" s="302">
        <f t="shared" si="335"/>
        <v>23.734007148768885</v>
      </c>
      <c r="I912" s="303"/>
      <c r="J912" s="302">
        <v>8.2603803899118429</v>
      </c>
      <c r="K912" s="302">
        <v>14.116365367626248</v>
      </c>
      <c r="L912" s="302">
        <f t="shared" si="336"/>
        <v>22.376745757538089</v>
      </c>
      <c r="M912" s="236"/>
      <c r="N912" s="236"/>
    </row>
    <row r="913" spans="1:14" x14ac:dyDescent="0.2">
      <c r="A913" s="237" t="str">
        <f>name!E$7</f>
        <v>Administrative and secretarial occupations</v>
      </c>
      <c r="B913" s="302">
        <v>7.1177100592919382</v>
      </c>
      <c r="C913" s="302">
        <v>2.1593313389501319</v>
      </c>
      <c r="D913" s="302">
        <f t="shared" si="334"/>
        <v>9.2770413982420692</v>
      </c>
      <c r="E913" s="303"/>
      <c r="F913" s="302">
        <v>6.5445928067314911</v>
      </c>
      <c r="G913" s="302">
        <v>2.4514252508353773</v>
      </c>
      <c r="H913" s="302">
        <f t="shared" si="335"/>
        <v>8.996018057566868</v>
      </c>
      <c r="I913" s="303"/>
      <c r="J913" s="302">
        <v>4.7351222756958435</v>
      </c>
      <c r="K913" s="302">
        <v>1.9538967733693346</v>
      </c>
      <c r="L913" s="302">
        <f t="shared" si="336"/>
        <v>6.6890190490651786</v>
      </c>
      <c r="M913" s="236"/>
      <c r="N913" s="236"/>
    </row>
    <row r="914" spans="1:14" x14ac:dyDescent="0.2">
      <c r="A914" s="237" t="str">
        <f>name!E$8</f>
        <v>Skilled trades occupations</v>
      </c>
      <c r="B914" s="302">
        <v>0.20364123985279881</v>
      </c>
      <c r="C914" s="302">
        <v>1.9953606410818794</v>
      </c>
      <c r="D914" s="302">
        <f t="shared" si="334"/>
        <v>2.1990018809346781</v>
      </c>
      <c r="E914" s="303"/>
      <c r="F914" s="302">
        <v>0.21475339652213885</v>
      </c>
      <c r="G914" s="302">
        <v>1.5683051487971083</v>
      </c>
      <c r="H914" s="302">
        <f t="shared" si="335"/>
        <v>1.7830585453192471</v>
      </c>
      <c r="I914" s="303"/>
      <c r="J914" s="302">
        <v>0.41656353811735553</v>
      </c>
      <c r="K914" s="302">
        <v>1.175772121180916</v>
      </c>
      <c r="L914" s="302">
        <f t="shared" si="336"/>
        <v>1.5923356592982716</v>
      </c>
      <c r="M914" s="236"/>
      <c r="N914" s="236"/>
    </row>
    <row r="915" spans="1:14" x14ac:dyDescent="0.2">
      <c r="A915" s="237" t="str">
        <f>name!E$9</f>
        <v>Caring, leisure and other service occupations</v>
      </c>
      <c r="B915" s="302">
        <v>0.12393083159877465</v>
      </c>
      <c r="C915" s="302">
        <v>0.17784891437397465</v>
      </c>
      <c r="D915" s="302">
        <f t="shared" si="334"/>
        <v>0.30177974597274931</v>
      </c>
      <c r="E915" s="303"/>
      <c r="F915" s="302">
        <v>0.10703359378169794</v>
      </c>
      <c r="G915" s="302">
        <v>0.21103375308127353</v>
      </c>
      <c r="H915" s="302">
        <f t="shared" si="335"/>
        <v>0.31806734686297145</v>
      </c>
      <c r="I915" s="303"/>
      <c r="J915" s="302">
        <v>0.10263330569417618</v>
      </c>
      <c r="K915" s="302">
        <v>0.30467606038306649</v>
      </c>
      <c r="L915" s="302">
        <f t="shared" si="336"/>
        <v>0.40730936607724266</v>
      </c>
      <c r="M915" s="236"/>
      <c r="N915" s="236"/>
    </row>
    <row r="916" spans="1:14" x14ac:dyDescent="0.2">
      <c r="A916" s="237" t="str">
        <f>name!E$10</f>
        <v>Sales and customer service occupations</v>
      </c>
      <c r="B916" s="302">
        <v>1.2399160645575666</v>
      </c>
      <c r="C916" s="302">
        <v>0.95310386889494725</v>
      </c>
      <c r="D916" s="302">
        <f t="shared" si="334"/>
        <v>2.193019933452514</v>
      </c>
      <c r="E916" s="303"/>
      <c r="F916" s="302">
        <v>1.0974738508491899</v>
      </c>
      <c r="G916" s="302">
        <v>0.96162020763513578</v>
      </c>
      <c r="H916" s="302">
        <f t="shared" si="335"/>
        <v>2.0590940584843258</v>
      </c>
      <c r="I916" s="303"/>
      <c r="J916" s="302">
        <v>1.0662812569410784</v>
      </c>
      <c r="K916" s="302">
        <v>1.003449880721083</v>
      </c>
      <c r="L916" s="302">
        <f t="shared" si="336"/>
        <v>2.0697311376621617</v>
      </c>
      <c r="M916" s="236"/>
      <c r="N916" s="236"/>
    </row>
    <row r="917" spans="1:14" x14ac:dyDescent="0.2">
      <c r="A917" s="237" t="str">
        <f>name!E$11</f>
        <v>Process, plant and machine operatives</v>
      </c>
      <c r="B917" s="302">
        <v>9.7449964087077623E-2</v>
      </c>
      <c r="C917" s="302">
        <v>0.44532579032886183</v>
      </c>
      <c r="D917" s="302">
        <f t="shared" si="334"/>
        <v>0.5427757544159395</v>
      </c>
      <c r="E917" s="303"/>
      <c r="F917" s="302">
        <v>8.0302823306852011E-2</v>
      </c>
      <c r="G917" s="302">
        <v>0.41087163421692735</v>
      </c>
      <c r="H917" s="302">
        <f t="shared" si="335"/>
        <v>0.49117445752377936</v>
      </c>
      <c r="I917" s="303"/>
      <c r="J917" s="302">
        <v>0.14964451013079041</v>
      </c>
      <c r="K917" s="302">
        <v>0.37909326848125691</v>
      </c>
      <c r="L917" s="302">
        <f t="shared" si="336"/>
        <v>0.52873777861204729</v>
      </c>
      <c r="M917" s="236"/>
      <c r="N917" s="236"/>
    </row>
    <row r="918" spans="1:14" x14ac:dyDescent="0.2">
      <c r="A918" s="237" t="str">
        <f>name!E$12</f>
        <v>Elementary occupations</v>
      </c>
      <c r="B918" s="302">
        <v>0.46645759573203271</v>
      </c>
      <c r="C918" s="302">
        <v>0.34043916766155036</v>
      </c>
      <c r="D918" s="302">
        <f t="shared" si="334"/>
        <v>0.80689676339358307</v>
      </c>
      <c r="E918" s="303"/>
      <c r="F918" s="302">
        <v>0.36275629599412823</v>
      </c>
      <c r="G918" s="302">
        <v>0.29430583291112838</v>
      </c>
      <c r="H918" s="302">
        <f t="shared" si="335"/>
        <v>0.65706212890525661</v>
      </c>
      <c r="I918" s="303"/>
      <c r="J918" s="302">
        <v>0.32850121348628375</v>
      </c>
      <c r="K918" s="302">
        <v>0.19287238668218296</v>
      </c>
      <c r="L918" s="302">
        <f t="shared" si="336"/>
        <v>0.52137360016846668</v>
      </c>
      <c r="M918" s="236"/>
      <c r="N918" s="236"/>
    </row>
    <row r="919" spans="1:14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  <c r="N919" s="236"/>
    </row>
    <row r="920" spans="1:14" x14ac:dyDescent="0.2">
      <c r="A920" s="244" t="s">
        <v>32</v>
      </c>
      <c r="B920" s="311">
        <f>SUM(B910:B918)</f>
        <v>32.453999999453877</v>
      </c>
      <c r="C920" s="311">
        <f t="shared" ref="C920:D920" si="337">SUM(C910:C918)</f>
        <v>62.198999998286325</v>
      </c>
      <c r="D920" s="311">
        <f t="shared" si="337"/>
        <v>94.652999997740196</v>
      </c>
      <c r="E920" s="311"/>
      <c r="F920" s="311">
        <f t="shared" ref="F920:H920" si="338">SUM(F910:F918)</f>
        <v>35.937000000031162</v>
      </c>
      <c r="G920" s="311">
        <f t="shared" si="338"/>
        <v>74.380000001425358</v>
      </c>
      <c r="H920" s="311">
        <f t="shared" si="338"/>
        <v>110.31700000145651</v>
      </c>
      <c r="I920" s="311"/>
      <c r="J920" s="311">
        <f t="shared" ref="J920:L920" si="339">SUM(J910:J918)</f>
        <v>38.60700000013928</v>
      </c>
      <c r="K920" s="311">
        <f t="shared" si="339"/>
        <v>72.17500000191076</v>
      </c>
      <c r="L920" s="311">
        <f t="shared" si="339"/>
        <v>110.78200000205003</v>
      </c>
      <c r="M920" s="236"/>
      <c r="N920" s="236"/>
    </row>
    <row r="921" spans="1:14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  <c r="N921" s="236"/>
    </row>
    <row r="922" spans="1:14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56" t="s">
        <v>35</v>
      </c>
      <c r="M922" s="236"/>
      <c r="N922" s="236"/>
    </row>
    <row r="923" spans="1:14" x14ac:dyDescent="0.2">
      <c r="A923" s="242"/>
      <c r="B923" s="250"/>
      <c r="C923" s="250"/>
      <c r="D923" s="250"/>
      <c r="E923" s="250"/>
      <c r="F923" s="250"/>
      <c r="G923" s="250"/>
      <c r="H923" s="250"/>
      <c r="I923" s="250"/>
      <c r="J923" s="250"/>
      <c r="K923" s="250"/>
      <c r="L923" s="236"/>
      <c r="M923" s="236"/>
      <c r="N923" s="236"/>
    </row>
    <row r="924" spans="1:14" x14ac:dyDescent="0.2">
      <c r="A924" s="241" t="str">
        <f>name!A57</f>
        <v>Scientific research and development</v>
      </c>
      <c r="B924" s="372">
        <f>B$6</f>
        <v>2015</v>
      </c>
      <c r="C924" s="372"/>
      <c r="D924" s="372"/>
      <c r="E924" s="253"/>
      <c r="F924" s="372">
        <f>F$6</f>
        <v>2020</v>
      </c>
      <c r="G924" s="372"/>
      <c r="H924" s="372"/>
      <c r="I924" s="253"/>
      <c r="J924" s="372">
        <f>J$6</f>
        <v>2035</v>
      </c>
      <c r="K924" s="372"/>
      <c r="L924" s="372"/>
      <c r="M924" s="236"/>
      <c r="N924" s="236"/>
    </row>
    <row r="925" spans="1:14" x14ac:dyDescent="0.2">
      <c r="A925" s="254"/>
      <c r="B925" s="255" t="s">
        <v>352</v>
      </c>
      <c r="C925" s="255" t="s">
        <v>353</v>
      </c>
      <c r="D925" s="255" t="s">
        <v>32</v>
      </c>
      <c r="E925" s="255"/>
      <c r="F925" s="255" t="s">
        <v>352</v>
      </c>
      <c r="G925" s="255" t="s">
        <v>353</v>
      </c>
      <c r="H925" s="255" t="s">
        <v>32</v>
      </c>
      <c r="I925" s="255"/>
      <c r="J925" s="255" t="s">
        <v>352</v>
      </c>
      <c r="K925" s="255" t="s">
        <v>353</v>
      </c>
      <c r="L925" s="255" t="s">
        <v>32</v>
      </c>
      <c r="M925" s="236"/>
      <c r="N925" s="236"/>
    </row>
    <row r="926" spans="1:14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  <c r="N926" s="236"/>
    </row>
    <row r="927" spans="1:14" x14ac:dyDescent="0.2">
      <c r="A927" s="237" t="str">
        <f>name!E$4</f>
        <v>Managers, directors and senior officials</v>
      </c>
      <c r="B927" s="302">
        <v>0.74215406745738255</v>
      </c>
      <c r="C927" s="302">
        <v>1.6511881388571226</v>
      </c>
      <c r="D927" s="302">
        <f>SUM(B927:C927)</f>
        <v>2.3933422063145051</v>
      </c>
      <c r="E927" s="303"/>
      <c r="F927" s="302">
        <v>0.94940115697988181</v>
      </c>
      <c r="G927" s="302">
        <v>1.8739047261793937</v>
      </c>
      <c r="H927" s="302">
        <f>SUM(F927:G927)</f>
        <v>2.8233058831592754</v>
      </c>
      <c r="I927" s="303"/>
      <c r="J927" s="302">
        <v>1.0544596170737772</v>
      </c>
      <c r="K927" s="302">
        <v>2.1926985216761969</v>
      </c>
      <c r="L927" s="302">
        <f>SUM(J927:K927)</f>
        <v>3.2471581387499739</v>
      </c>
      <c r="M927" s="236"/>
      <c r="N927" s="236"/>
    </row>
    <row r="928" spans="1:14" x14ac:dyDescent="0.2">
      <c r="A928" s="237" t="str">
        <f>name!E$5</f>
        <v>Professional occupations</v>
      </c>
      <c r="B928" s="302">
        <v>4.4134825720904187</v>
      </c>
      <c r="C928" s="302">
        <v>6.8281445447314324</v>
      </c>
      <c r="D928" s="302">
        <f t="shared" ref="D928:D935" si="340">SUM(B928:C928)</f>
        <v>11.241627116821851</v>
      </c>
      <c r="E928" s="303"/>
      <c r="F928" s="302">
        <v>5.7769857440237757</v>
      </c>
      <c r="G928" s="302">
        <v>7.9935797486166091</v>
      </c>
      <c r="H928" s="302">
        <f t="shared" ref="H928:H935" si="341">SUM(F928:G928)</f>
        <v>13.770565492640385</v>
      </c>
      <c r="I928" s="303"/>
      <c r="J928" s="302">
        <v>7.2801287640618764</v>
      </c>
      <c r="K928" s="302">
        <v>9.9166131441547201</v>
      </c>
      <c r="L928" s="302">
        <f t="shared" ref="L928:L935" si="342">SUM(J928:K928)</f>
        <v>17.196741908216595</v>
      </c>
      <c r="M928" s="236"/>
      <c r="N928" s="236"/>
    </row>
    <row r="929" spans="1:14" x14ac:dyDescent="0.2">
      <c r="A929" s="237" t="str">
        <f>name!E$6</f>
        <v>Associate professional occupations</v>
      </c>
      <c r="B929" s="302">
        <v>1.3302916711213084</v>
      </c>
      <c r="C929" s="302">
        <v>1.8778740123236257</v>
      </c>
      <c r="D929" s="302">
        <f t="shared" si="340"/>
        <v>3.2081656834449341</v>
      </c>
      <c r="E929" s="303"/>
      <c r="F929" s="302">
        <v>1.5958398594178111</v>
      </c>
      <c r="G929" s="302">
        <v>2.052131786652696</v>
      </c>
      <c r="H929" s="302">
        <f t="shared" si="341"/>
        <v>3.6479716460705074</v>
      </c>
      <c r="I929" s="303"/>
      <c r="J929" s="302">
        <v>1.8201738280394244</v>
      </c>
      <c r="K929" s="302">
        <v>2.0817907713587451</v>
      </c>
      <c r="L929" s="302">
        <f t="shared" si="342"/>
        <v>3.9019645993981698</v>
      </c>
      <c r="M929" s="236"/>
      <c r="N929" s="236"/>
    </row>
    <row r="930" spans="1:14" x14ac:dyDescent="0.2">
      <c r="A930" s="237" t="str">
        <f>name!E$7</f>
        <v>Administrative and secretarial occupations</v>
      </c>
      <c r="B930" s="302">
        <v>0.95276393572677176</v>
      </c>
      <c r="C930" s="302">
        <v>0.30763697774864651</v>
      </c>
      <c r="D930" s="302">
        <f t="shared" si="340"/>
        <v>1.2604009134754182</v>
      </c>
      <c r="E930" s="303"/>
      <c r="F930" s="302">
        <v>0.9467160539548809</v>
      </c>
      <c r="G930" s="302">
        <v>0.291959417638262</v>
      </c>
      <c r="H930" s="302">
        <f t="shared" si="341"/>
        <v>1.238675471593143</v>
      </c>
      <c r="I930" s="303"/>
      <c r="J930" s="302">
        <v>0.748922302756584</v>
      </c>
      <c r="K930" s="302">
        <v>0.32065274812752309</v>
      </c>
      <c r="L930" s="302">
        <f t="shared" si="342"/>
        <v>1.0695750508841071</v>
      </c>
      <c r="M930" s="236"/>
      <c r="N930" s="236"/>
    </row>
    <row r="931" spans="1:14" x14ac:dyDescent="0.2">
      <c r="A931" s="237" t="str">
        <f>name!E$8</f>
        <v>Skilled trades occupations</v>
      </c>
      <c r="B931" s="302">
        <v>7.5208118146018757E-2</v>
      </c>
      <c r="C931" s="302">
        <v>0.46206488808766977</v>
      </c>
      <c r="D931" s="302">
        <f t="shared" si="340"/>
        <v>0.53727300623368857</v>
      </c>
      <c r="E931" s="303"/>
      <c r="F931" s="302">
        <v>8.2892185148377623E-2</v>
      </c>
      <c r="G931" s="302">
        <v>0.34269437965238447</v>
      </c>
      <c r="H931" s="302">
        <f t="shared" si="341"/>
        <v>0.42558656480076207</v>
      </c>
      <c r="I931" s="303"/>
      <c r="J931" s="302">
        <v>0.12636035677597726</v>
      </c>
      <c r="K931" s="302">
        <v>0.31747034722108652</v>
      </c>
      <c r="L931" s="302">
        <f t="shared" si="342"/>
        <v>0.44383070399706381</v>
      </c>
      <c r="M931" s="236"/>
      <c r="N931" s="236"/>
    </row>
    <row r="932" spans="1:14" x14ac:dyDescent="0.2">
      <c r="A932" s="237" t="str">
        <f>name!E$9</f>
        <v>Caring, leisure and other service occupations</v>
      </c>
      <c r="B932" s="302">
        <v>0.36966958540563283</v>
      </c>
      <c r="C932" s="302">
        <v>0.15548962954065368</v>
      </c>
      <c r="D932" s="302">
        <f t="shared" si="340"/>
        <v>0.52515921494628648</v>
      </c>
      <c r="E932" s="303"/>
      <c r="F932" s="302">
        <v>0.38891775557174091</v>
      </c>
      <c r="G932" s="302">
        <v>0.13928045861355154</v>
      </c>
      <c r="H932" s="302">
        <f t="shared" si="341"/>
        <v>0.52819821418529245</v>
      </c>
      <c r="I932" s="303"/>
      <c r="J932" s="302">
        <v>0.41348318366429426</v>
      </c>
      <c r="K932" s="302">
        <v>0.18885600764934787</v>
      </c>
      <c r="L932" s="302">
        <f t="shared" si="342"/>
        <v>0.60233919131364211</v>
      </c>
      <c r="M932" s="236"/>
      <c r="N932" s="236"/>
    </row>
    <row r="933" spans="1:14" x14ac:dyDescent="0.2">
      <c r="A933" s="237" t="str">
        <f>name!E$10</f>
        <v>Sales and customer service occupations</v>
      </c>
      <c r="B933" s="302">
        <v>0.20473659992539345</v>
      </c>
      <c r="C933" s="302">
        <v>0.20994213172290199</v>
      </c>
      <c r="D933" s="302">
        <f t="shared" si="340"/>
        <v>0.41467873164829544</v>
      </c>
      <c r="E933" s="303"/>
      <c r="F933" s="302">
        <v>0.19979181702469181</v>
      </c>
      <c r="G933" s="302">
        <v>0.16977498592719883</v>
      </c>
      <c r="H933" s="302">
        <f t="shared" si="341"/>
        <v>0.36956680295189065</v>
      </c>
      <c r="I933" s="303"/>
      <c r="J933" s="302">
        <v>0.26342703866650002</v>
      </c>
      <c r="K933" s="302">
        <v>0.21898178357701703</v>
      </c>
      <c r="L933" s="302">
        <f t="shared" si="342"/>
        <v>0.48240882224351705</v>
      </c>
      <c r="M933" s="236"/>
      <c r="N933" s="236"/>
    </row>
    <row r="934" spans="1:14" x14ac:dyDescent="0.2">
      <c r="A934" s="237" t="str">
        <f>name!E$11</f>
        <v>Process, plant and machine operatives</v>
      </c>
      <c r="B934" s="302">
        <v>5.9850351278559429E-2</v>
      </c>
      <c r="C934" s="302">
        <v>0.14123566189708706</v>
      </c>
      <c r="D934" s="302">
        <f t="shared" si="340"/>
        <v>0.20108601317564648</v>
      </c>
      <c r="E934" s="303"/>
      <c r="F934" s="302">
        <v>5.5993392665039436E-2</v>
      </c>
      <c r="G934" s="302">
        <v>0.10940986443908909</v>
      </c>
      <c r="H934" s="302">
        <f t="shared" si="341"/>
        <v>0.16540325710412854</v>
      </c>
      <c r="I934" s="303"/>
      <c r="J934" s="302">
        <v>0.10818024299173894</v>
      </c>
      <c r="K934" s="302">
        <v>0.10300666412753123</v>
      </c>
      <c r="L934" s="302">
        <f t="shared" si="342"/>
        <v>0.21118690711927018</v>
      </c>
      <c r="M934" s="236"/>
      <c r="N934" s="236"/>
    </row>
    <row r="935" spans="1:14" x14ac:dyDescent="0.2">
      <c r="A935" s="237" t="str">
        <f>name!E$12</f>
        <v>Elementary occupations</v>
      </c>
      <c r="B935" s="302">
        <v>0.91084309880686143</v>
      </c>
      <c r="C935" s="302">
        <v>9.0424014935257188E-2</v>
      </c>
      <c r="D935" s="302">
        <f t="shared" si="340"/>
        <v>1.0012671137421185</v>
      </c>
      <c r="E935" s="303"/>
      <c r="F935" s="302">
        <v>0.7474620353683521</v>
      </c>
      <c r="G935" s="302">
        <v>7.2264632698978995E-2</v>
      </c>
      <c r="H935" s="302">
        <f t="shared" si="341"/>
        <v>0.81972666806733108</v>
      </c>
      <c r="I935" s="303"/>
      <c r="J935" s="302">
        <v>1.6178646660944793</v>
      </c>
      <c r="K935" s="302">
        <v>5.7930012536949307E-2</v>
      </c>
      <c r="L935" s="302">
        <f t="shared" si="342"/>
        <v>1.6757946786314286</v>
      </c>
      <c r="M935" s="236"/>
      <c r="N935" s="236"/>
    </row>
    <row r="936" spans="1:14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  <c r="N936" s="236"/>
    </row>
    <row r="937" spans="1:14" x14ac:dyDescent="0.2">
      <c r="A937" s="244" t="s">
        <v>32</v>
      </c>
      <c r="B937" s="311">
        <f>SUM(B927:B935)</f>
        <v>9.0589999999583473</v>
      </c>
      <c r="C937" s="311">
        <f t="shared" ref="C937:D937" si="343">SUM(C927:C935)</f>
        <v>11.723999999844397</v>
      </c>
      <c r="D937" s="311">
        <f t="shared" si="343"/>
        <v>20.782999999802747</v>
      </c>
      <c r="E937" s="311"/>
      <c r="F937" s="311">
        <f t="shared" ref="F937:H937" si="344">SUM(F927:F935)</f>
        <v>10.744000000154552</v>
      </c>
      <c r="G937" s="311">
        <f t="shared" si="344"/>
        <v>13.045000000418161</v>
      </c>
      <c r="H937" s="311">
        <f t="shared" si="344"/>
        <v>23.789000000572717</v>
      </c>
      <c r="I937" s="311"/>
      <c r="J937" s="311">
        <f t="shared" ref="J937:L937" si="345">SUM(J927:J935)</f>
        <v>13.433000000124652</v>
      </c>
      <c r="K937" s="311">
        <f t="shared" si="345"/>
        <v>15.398000000429118</v>
      </c>
      <c r="L937" s="311">
        <f t="shared" si="345"/>
        <v>28.831000000553772</v>
      </c>
      <c r="M937" s="236"/>
      <c r="N937" s="236"/>
    </row>
    <row r="938" spans="1:14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  <c r="N938" s="236"/>
    </row>
    <row r="939" spans="1:14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56" t="s">
        <v>35</v>
      </c>
      <c r="M939" s="236"/>
      <c r="N939" s="236"/>
    </row>
    <row r="940" spans="1:14" x14ac:dyDescent="0.2">
      <c r="A940" s="242"/>
      <c r="B940" s="250"/>
      <c r="C940" s="250"/>
      <c r="D940" s="250"/>
      <c r="E940" s="250"/>
      <c r="F940" s="250"/>
      <c r="G940" s="250"/>
      <c r="H940" s="250"/>
      <c r="I940" s="250"/>
      <c r="J940" s="250"/>
      <c r="K940" s="250"/>
      <c r="L940" s="236"/>
      <c r="M940" s="236"/>
      <c r="N940" s="236"/>
    </row>
    <row r="941" spans="1:14" x14ac:dyDescent="0.2">
      <c r="A941" s="241" t="str">
        <f>name!A58</f>
        <v>Advertising, etc</v>
      </c>
      <c r="B941" s="372">
        <f>B$6</f>
        <v>2015</v>
      </c>
      <c r="C941" s="372"/>
      <c r="D941" s="372"/>
      <c r="E941" s="253"/>
      <c r="F941" s="372">
        <f>F$6</f>
        <v>2020</v>
      </c>
      <c r="G941" s="372"/>
      <c r="H941" s="372"/>
      <c r="I941" s="253"/>
      <c r="J941" s="372">
        <f>J$6</f>
        <v>2035</v>
      </c>
      <c r="K941" s="372"/>
      <c r="L941" s="372"/>
      <c r="M941" s="236"/>
      <c r="N941" s="236"/>
    </row>
    <row r="942" spans="1:14" x14ac:dyDescent="0.2">
      <c r="A942" s="254"/>
      <c r="B942" s="255" t="s">
        <v>352</v>
      </c>
      <c r="C942" s="255" t="s">
        <v>353</v>
      </c>
      <c r="D942" s="255" t="s">
        <v>32</v>
      </c>
      <c r="E942" s="255"/>
      <c r="F942" s="255" t="s">
        <v>352</v>
      </c>
      <c r="G942" s="255" t="s">
        <v>353</v>
      </c>
      <c r="H942" s="255" t="s">
        <v>32</v>
      </c>
      <c r="I942" s="255"/>
      <c r="J942" s="255" t="s">
        <v>352</v>
      </c>
      <c r="K942" s="255" t="s">
        <v>353</v>
      </c>
      <c r="L942" s="255" t="s">
        <v>32</v>
      </c>
      <c r="M942" s="236"/>
      <c r="N942" s="236"/>
    </row>
    <row r="943" spans="1:14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  <c r="N943" s="236"/>
    </row>
    <row r="944" spans="1:14" x14ac:dyDescent="0.2">
      <c r="A944" s="237" t="str">
        <f>name!E$4</f>
        <v>Managers, directors and senior officials</v>
      </c>
      <c r="B944" s="302">
        <v>7.0857260785116143</v>
      </c>
      <c r="C944" s="302">
        <v>7.4612144456159735</v>
      </c>
      <c r="D944" s="302">
        <f>SUM(B944:C944)</f>
        <v>14.546940524127589</v>
      </c>
      <c r="E944" s="303"/>
      <c r="F944" s="302">
        <v>7.9086568758899292</v>
      </c>
      <c r="G944" s="302">
        <v>7.1696944808212848</v>
      </c>
      <c r="H944" s="302">
        <f>SUM(F944:G944)</f>
        <v>15.078351356711213</v>
      </c>
      <c r="I944" s="303"/>
      <c r="J944" s="302">
        <v>9.6241460939901824</v>
      </c>
      <c r="K944" s="302">
        <v>8.6118420849537767</v>
      </c>
      <c r="L944" s="302">
        <f>SUM(J944:K944)</f>
        <v>18.235988178943959</v>
      </c>
      <c r="M944" s="236"/>
      <c r="N944" s="236"/>
    </row>
    <row r="945" spans="1:14" x14ac:dyDescent="0.2">
      <c r="A945" s="237" t="str">
        <f>name!E$5</f>
        <v>Professional occupations</v>
      </c>
      <c r="B945" s="302">
        <v>24.114117821276707</v>
      </c>
      <c r="C945" s="302">
        <v>24.410591012112825</v>
      </c>
      <c r="D945" s="302">
        <f t="shared" ref="D945:D952" si="346">SUM(B945:C945)</f>
        <v>48.524708833389532</v>
      </c>
      <c r="E945" s="303"/>
      <c r="F945" s="302">
        <v>29.45964030438742</v>
      </c>
      <c r="G945" s="302">
        <v>25.063322151336443</v>
      </c>
      <c r="H945" s="302">
        <f t="shared" ref="H945:H952" si="347">SUM(F945:G945)</f>
        <v>54.522962455723864</v>
      </c>
      <c r="I945" s="303"/>
      <c r="J945" s="302">
        <v>40.223640050651781</v>
      </c>
      <c r="K945" s="302">
        <v>30.76630263631246</v>
      </c>
      <c r="L945" s="302">
        <f t="shared" ref="L945:L952" si="348">SUM(J945:K945)</f>
        <v>70.989942686964241</v>
      </c>
      <c r="M945" s="236"/>
      <c r="N945" s="236"/>
    </row>
    <row r="946" spans="1:14" x14ac:dyDescent="0.2">
      <c r="A946" s="237" t="str">
        <f>name!E$6</f>
        <v>Associate professional occupations</v>
      </c>
      <c r="B946" s="302">
        <v>14.963486362950841</v>
      </c>
      <c r="C946" s="302">
        <v>10.030961570014126</v>
      </c>
      <c r="D946" s="302">
        <f t="shared" si="346"/>
        <v>24.994447932964967</v>
      </c>
      <c r="E946" s="303"/>
      <c r="F946" s="302">
        <v>15.272295422668474</v>
      </c>
      <c r="G946" s="302">
        <v>9.5335880688854076</v>
      </c>
      <c r="H946" s="302">
        <f t="shared" si="347"/>
        <v>24.805883491553882</v>
      </c>
      <c r="I946" s="303"/>
      <c r="J946" s="302">
        <v>18.8633295271955</v>
      </c>
      <c r="K946" s="302">
        <v>10.32193787400805</v>
      </c>
      <c r="L946" s="302">
        <f t="shared" si="348"/>
        <v>29.18526740120355</v>
      </c>
      <c r="M946" s="236"/>
      <c r="N946" s="236"/>
    </row>
    <row r="947" spans="1:14" x14ac:dyDescent="0.2">
      <c r="A947" s="237" t="str">
        <f>name!E$7</f>
        <v>Administrative and secretarial occupations</v>
      </c>
      <c r="B947" s="302">
        <v>13.546994109261115</v>
      </c>
      <c r="C947" s="302">
        <v>1.7094785324955968</v>
      </c>
      <c r="D947" s="302">
        <f t="shared" si="346"/>
        <v>15.256472641756712</v>
      </c>
      <c r="E947" s="303"/>
      <c r="F947" s="302">
        <v>11.413096767468275</v>
      </c>
      <c r="G947" s="302">
        <v>1.4237391613779433</v>
      </c>
      <c r="H947" s="302">
        <f t="shared" si="347"/>
        <v>12.836835928846218</v>
      </c>
      <c r="I947" s="303"/>
      <c r="J947" s="302">
        <v>9.4347087533427185</v>
      </c>
      <c r="K947" s="302">
        <v>1.4502580618017478</v>
      </c>
      <c r="L947" s="302">
        <f t="shared" si="348"/>
        <v>10.884966815144466</v>
      </c>
      <c r="M947" s="236"/>
      <c r="N947" s="236"/>
    </row>
    <row r="948" spans="1:14" x14ac:dyDescent="0.2">
      <c r="A948" s="237" t="str">
        <f>name!E$8</f>
        <v>Skilled trades occupations</v>
      </c>
      <c r="B948" s="302">
        <v>0.42647831066339986</v>
      </c>
      <c r="C948" s="302">
        <v>1.4438275460874839</v>
      </c>
      <c r="D948" s="302">
        <f t="shared" si="346"/>
        <v>1.8703058567508837</v>
      </c>
      <c r="E948" s="303"/>
      <c r="F948" s="302">
        <v>0.44661357505643728</v>
      </c>
      <c r="G948" s="302">
        <v>0.91453435808726269</v>
      </c>
      <c r="H948" s="302">
        <f t="shared" si="347"/>
        <v>1.3611479331437</v>
      </c>
      <c r="I948" s="303"/>
      <c r="J948" s="302">
        <v>0.95435021823000465</v>
      </c>
      <c r="K948" s="302">
        <v>0.88023694740497938</v>
      </c>
      <c r="L948" s="302">
        <f t="shared" si="348"/>
        <v>1.8345871656349839</v>
      </c>
      <c r="M948" s="236"/>
      <c r="N948" s="236"/>
    </row>
    <row r="949" spans="1:14" x14ac:dyDescent="0.2">
      <c r="A949" s="237" t="str">
        <f>name!E$9</f>
        <v>Caring, leisure and other service occupations</v>
      </c>
      <c r="B949" s="302">
        <v>0.25978786084748812</v>
      </c>
      <c r="C949" s="302">
        <v>0.1729693545708324</v>
      </c>
      <c r="D949" s="302">
        <f t="shared" si="346"/>
        <v>0.43275721541832052</v>
      </c>
      <c r="E949" s="303"/>
      <c r="F949" s="302">
        <v>0.22758252840452783</v>
      </c>
      <c r="G949" s="302">
        <v>0.15478308248350198</v>
      </c>
      <c r="H949" s="302">
        <f t="shared" si="347"/>
        <v>0.38236561088802978</v>
      </c>
      <c r="I949" s="303"/>
      <c r="J949" s="302">
        <v>0.2444191084167561</v>
      </c>
      <c r="K949" s="302">
        <v>0.31298684669970972</v>
      </c>
      <c r="L949" s="302">
        <f t="shared" si="348"/>
        <v>0.55740595511646585</v>
      </c>
      <c r="M949" s="236"/>
      <c r="N949" s="236"/>
    </row>
    <row r="950" spans="1:14" x14ac:dyDescent="0.2">
      <c r="A950" s="237" t="str">
        <f>name!E$10</f>
        <v>Sales and customer service occupations</v>
      </c>
      <c r="B950" s="302">
        <v>2.3602401573407414</v>
      </c>
      <c r="C950" s="302">
        <v>0.75973247142399214</v>
      </c>
      <c r="D950" s="302">
        <f t="shared" si="346"/>
        <v>3.1199726287647334</v>
      </c>
      <c r="E950" s="303"/>
      <c r="F950" s="302">
        <v>1.9266235609315345</v>
      </c>
      <c r="G950" s="302">
        <v>0.57701895091340061</v>
      </c>
      <c r="H950" s="302">
        <f t="shared" si="347"/>
        <v>2.503642511844935</v>
      </c>
      <c r="I950" s="303"/>
      <c r="J950" s="302">
        <v>2.0552186368867873</v>
      </c>
      <c r="K950" s="302">
        <v>0.73642392788201505</v>
      </c>
      <c r="L950" s="302">
        <f t="shared" si="348"/>
        <v>2.7916425647688023</v>
      </c>
      <c r="M950" s="236"/>
      <c r="N950" s="236"/>
    </row>
    <row r="951" spans="1:14" x14ac:dyDescent="0.2">
      <c r="A951" s="237" t="str">
        <f>name!E$11</f>
        <v>Process, plant and machine operatives</v>
      </c>
      <c r="B951" s="302">
        <v>0.24574911701281901</v>
      </c>
      <c r="C951" s="302">
        <v>0.35291889112980346</v>
      </c>
      <c r="D951" s="302">
        <f t="shared" si="346"/>
        <v>0.59866800814262244</v>
      </c>
      <c r="E951" s="303"/>
      <c r="F951" s="302">
        <v>0.20142210013156325</v>
      </c>
      <c r="G951" s="302">
        <v>0.24379896222048858</v>
      </c>
      <c r="H951" s="302">
        <f t="shared" si="347"/>
        <v>0.44522106235205183</v>
      </c>
      <c r="I951" s="303"/>
      <c r="J951" s="302">
        <v>0.52910768874142244</v>
      </c>
      <c r="K951" s="302">
        <v>0.278893635478212</v>
      </c>
      <c r="L951" s="302">
        <f t="shared" si="348"/>
        <v>0.80800132421963444</v>
      </c>
      <c r="M951" s="236"/>
      <c r="N951" s="236"/>
    </row>
    <row r="952" spans="1:14" x14ac:dyDescent="0.2">
      <c r="A952" s="237" t="str">
        <f>name!E$12</f>
        <v>Elementary occupations</v>
      </c>
      <c r="B952" s="302">
        <v>1.1614201811606513</v>
      </c>
      <c r="C952" s="302">
        <v>0.26630617549759611</v>
      </c>
      <c r="D952" s="302">
        <f t="shared" si="346"/>
        <v>1.4277263566582474</v>
      </c>
      <c r="E952" s="303"/>
      <c r="F952" s="302">
        <v>0.7340688650931344</v>
      </c>
      <c r="G952" s="302">
        <v>0.1625207848907145</v>
      </c>
      <c r="H952" s="302">
        <f t="shared" si="347"/>
        <v>0.89658964998384894</v>
      </c>
      <c r="I952" s="303"/>
      <c r="J952" s="302">
        <v>1.0960799228610594</v>
      </c>
      <c r="K952" s="302">
        <v>0.1311179871627185</v>
      </c>
      <c r="L952" s="302">
        <f t="shared" si="348"/>
        <v>1.227197910023778</v>
      </c>
      <c r="M952" s="236"/>
      <c r="N952" s="236"/>
    </row>
    <row r="953" spans="1:14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  <c r="N953" s="236"/>
    </row>
    <row r="954" spans="1:14" x14ac:dyDescent="0.2">
      <c r="A954" s="244" t="s">
        <v>32</v>
      </c>
      <c r="B954" s="311">
        <f>SUM(B944:B952)</f>
        <v>64.163999999025378</v>
      </c>
      <c r="C954" s="311">
        <f t="shared" ref="C954:D954" si="349">SUM(C944:C952)</f>
        <v>46.60799999894823</v>
      </c>
      <c r="D954" s="311">
        <f t="shared" si="349"/>
        <v>110.77199999797359</v>
      </c>
      <c r="E954" s="311"/>
      <c r="F954" s="311">
        <f t="shared" ref="F954:H954" si="350">SUM(F944:F952)</f>
        <v>67.590000000031296</v>
      </c>
      <c r="G954" s="311">
        <f t="shared" si="350"/>
        <v>45.243000001016448</v>
      </c>
      <c r="H954" s="311">
        <f t="shared" si="350"/>
        <v>112.83300000104774</v>
      </c>
      <c r="I954" s="311"/>
      <c r="J954" s="311">
        <f t="shared" ref="J954:L954" si="351">SUM(J944:J952)</f>
        <v>83.025000000316211</v>
      </c>
      <c r="K954" s="311">
        <f t="shared" si="351"/>
        <v>53.49000000170367</v>
      </c>
      <c r="L954" s="311">
        <f t="shared" si="351"/>
        <v>136.51500000201992</v>
      </c>
      <c r="M954" s="236"/>
      <c r="N954" s="236"/>
    </row>
    <row r="955" spans="1:14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  <c r="N955" s="236"/>
    </row>
    <row r="956" spans="1:14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56" t="s">
        <v>35</v>
      </c>
      <c r="M956" s="236"/>
      <c r="N956" s="236"/>
    </row>
    <row r="957" spans="1:14" x14ac:dyDescent="0.2">
      <c r="A957" s="242"/>
      <c r="B957" s="250"/>
      <c r="C957" s="250"/>
      <c r="D957" s="250"/>
      <c r="E957" s="250"/>
      <c r="F957" s="250"/>
      <c r="G957" s="250"/>
      <c r="H957" s="250"/>
      <c r="I957" s="250"/>
      <c r="J957" s="250"/>
      <c r="K957" s="250"/>
      <c r="L957" s="236"/>
      <c r="M957" s="236"/>
      <c r="N957" s="236"/>
    </row>
    <row r="958" spans="1:14" x14ac:dyDescent="0.2">
      <c r="A958" s="241" t="str">
        <f>name!A59</f>
        <v>Other professional</v>
      </c>
      <c r="B958" s="372">
        <f>B$6</f>
        <v>2015</v>
      </c>
      <c r="C958" s="372"/>
      <c r="D958" s="372"/>
      <c r="E958" s="253"/>
      <c r="F958" s="372">
        <f>F$6</f>
        <v>2020</v>
      </c>
      <c r="G958" s="372"/>
      <c r="H958" s="372"/>
      <c r="I958" s="253"/>
      <c r="J958" s="372">
        <f>J$6</f>
        <v>2035</v>
      </c>
      <c r="K958" s="372"/>
      <c r="L958" s="372"/>
      <c r="M958" s="236"/>
      <c r="N958" s="236"/>
    </row>
    <row r="959" spans="1:14" x14ac:dyDescent="0.2">
      <c r="A959" s="254"/>
      <c r="B959" s="255" t="s">
        <v>352</v>
      </c>
      <c r="C959" s="255" t="s">
        <v>353</v>
      </c>
      <c r="D959" s="255" t="s">
        <v>32</v>
      </c>
      <c r="E959" s="255"/>
      <c r="F959" s="255" t="s">
        <v>352</v>
      </c>
      <c r="G959" s="255" t="s">
        <v>353</v>
      </c>
      <c r="H959" s="255" t="s">
        <v>32</v>
      </c>
      <c r="I959" s="255"/>
      <c r="J959" s="255" t="s">
        <v>352</v>
      </c>
      <c r="K959" s="255" t="s">
        <v>353</v>
      </c>
      <c r="L959" s="255" t="s">
        <v>32</v>
      </c>
      <c r="M959" s="236"/>
      <c r="N959" s="236"/>
    </row>
    <row r="960" spans="1:14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  <c r="N960" s="236"/>
    </row>
    <row r="961" spans="1:14" x14ac:dyDescent="0.2">
      <c r="A961" s="237" t="str">
        <f>name!E$4</f>
        <v>Managers, directors and senior officials</v>
      </c>
      <c r="B961" s="302">
        <v>1.6839883081126017</v>
      </c>
      <c r="C961" s="302">
        <v>4.4958104191277801</v>
      </c>
      <c r="D961" s="302">
        <f>SUM(B961:C961)</f>
        <v>6.1797987272403816</v>
      </c>
      <c r="E961" s="303"/>
      <c r="F961" s="302">
        <v>2.3078385339392988</v>
      </c>
      <c r="G961" s="302">
        <v>4.8918886971587145</v>
      </c>
      <c r="H961" s="302">
        <f>SUM(F961:G961)</f>
        <v>7.1997272310980129</v>
      </c>
      <c r="I961" s="303"/>
      <c r="J961" s="302">
        <v>2.8120750604036187</v>
      </c>
      <c r="K961" s="302">
        <v>5.8401545828548889</v>
      </c>
      <c r="L961" s="302">
        <f>SUM(J961:K961)</f>
        <v>8.652229643258508</v>
      </c>
      <c r="M961" s="236"/>
      <c r="N961" s="236"/>
    </row>
    <row r="962" spans="1:14" x14ac:dyDescent="0.2">
      <c r="A962" s="237" t="str">
        <f>name!E$5</f>
        <v>Professional occupations</v>
      </c>
      <c r="B962" s="302">
        <v>4.9993306623085552</v>
      </c>
      <c r="C962" s="302">
        <v>13.394782254552787</v>
      </c>
      <c r="D962" s="302">
        <f t="shared" ref="D962:D969" si="352">SUM(B962:C962)</f>
        <v>18.394112916861342</v>
      </c>
      <c r="E962" s="303"/>
      <c r="F962" s="302">
        <v>7.105339274059852</v>
      </c>
      <c r="G962" s="302">
        <v>15.777911827317261</v>
      </c>
      <c r="H962" s="302">
        <f t="shared" ref="H962:H969" si="353">SUM(F962:G962)</f>
        <v>22.883251101377112</v>
      </c>
      <c r="I962" s="303"/>
      <c r="J962" s="302">
        <v>9.5684855855745106</v>
      </c>
      <c r="K962" s="302">
        <v>20.531339539988927</v>
      </c>
      <c r="L962" s="302">
        <f t="shared" ref="L962:L969" si="354">SUM(J962:K962)</f>
        <v>30.099825125563438</v>
      </c>
      <c r="M962" s="236"/>
      <c r="N962" s="236"/>
    </row>
    <row r="963" spans="1:14" x14ac:dyDescent="0.2">
      <c r="A963" s="237" t="str">
        <f>name!E$6</f>
        <v>Associate professional occupations</v>
      </c>
      <c r="B963" s="302">
        <v>3.8292739084329597</v>
      </c>
      <c r="C963" s="302">
        <v>6.43699634876908</v>
      </c>
      <c r="D963" s="302">
        <f t="shared" si="352"/>
        <v>10.26627025720204</v>
      </c>
      <c r="E963" s="303"/>
      <c r="F963" s="302">
        <v>4.6497113263951215</v>
      </c>
      <c r="G963" s="302">
        <v>6.8640555820450011</v>
      </c>
      <c r="H963" s="302">
        <f t="shared" si="353"/>
        <v>11.513766908440122</v>
      </c>
      <c r="I963" s="303"/>
      <c r="J963" s="302">
        <v>5.6532302570776665</v>
      </c>
      <c r="K963" s="302">
        <v>7.107689855503339</v>
      </c>
      <c r="L963" s="302">
        <f t="shared" si="354"/>
        <v>12.760920112581005</v>
      </c>
      <c r="M963" s="236"/>
      <c r="N963" s="236"/>
    </row>
    <row r="964" spans="1:14" x14ac:dyDescent="0.2">
      <c r="A964" s="237" t="str">
        <f>name!E$7</f>
        <v>Administrative and secretarial occupations</v>
      </c>
      <c r="B964" s="302">
        <v>2.9652519505001775</v>
      </c>
      <c r="C964" s="302">
        <v>1.040766352031979</v>
      </c>
      <c r="D964" s="302">
        <f t="shared" si="352"/>
        <v>4.0060183025321567</v>
      </c>
      <c r="E964" s="303"/>
      <c r="F964" s="302">
        <v>3.2788486267216941</v>
      </c>
      <c r="G964" s="302">
        <v>1.045078424173508</v>
      </c>
      <c r="H964" s="302">
        <f t="shared" si="353"/>
        <v>4.3239270508952021</v>
      </c>
      <c r="I964" s="303"/>
      <c r="J964" s="302">
        <v>2.9936457296798036</v>
      </c>
      <c r="K964" s="302">
        <v>1.079965741822053</v>
      </c>
      <c r="L964" s="302">
        <f t="shared" si="354"/>
        <v>4.0736114715018568</v>
      </c>
      <c r="M964" s="236"/>
      <c r="N964" s="236"/>
    </row>
    <row r="965" spans="1:14" x14ac:dyDescent="0.2">
      <c r="A965" s="237" t="str">
        <f>name!E$8</f>
        <v>Skilled trades occupations</v>
      </c>
      <c r="B965" s="302">
        <v>0.13138617538746264</v>
      </c>
      <c r="C965" s="302">
        <v>0.94006012085942703</v>
      </c>
      <c r="D965" s="302">
        <f t="shared" si="352"/>
        <v>1.0714462962468896</v>
      </c>
      <c r="E965" s="303"/>
      <c r="F965" s="302">
        <v>0.16476153993095585</v>
      </c>
      <c r="G965" s="302">
        <v>0.6735007805867228</v>
      </c>
      <c r="H965" s="302">
        <f t="shared" si="353"/>
        <v>0.83826232051767868</v>
      </c>
      <c r="I965" s="303"/>
      <c r="J965" s="302">
        <v>0.28970014089684359</v>
      </c>
      <c r="K965" s="302">
        <v>0.56300693374005473</v>
      </c>
      <c r="L965" s="302">
        <f t="shared" si="354"/>
        <v>0.85270707463689832</v>
      </c>
      <c r="M965" s="236"/>
      <c r="N965" s="236"/>
    </row>
    <row r="966" spans="1:14" x14ac:dyDescent="0.2">
      <c r="A966" s="237" t="str">
        <f>name!E$9</f>
        <v>Caring, leisure and other service occupations</v>
      </c>
      <c r="B966" s="302">
        <v>0.56868216362067114</v>
      </c>
      <c r="C966" s="302">
        <v>0.25370819496547065</v>
      </c>
      <c r="D966" s="302">
        <f t="shared" si="352"/>
        <v>0.82239035858614185</v>
      </c>
      <c r="E966" s="303"/>
      <c r="F966" s="302">
        <v>0.69174104260204594</v>
      </c>
      <c r="G966" s="302">
        <v>0.24964390990398433</v>
      </c>
      <c r="H966" s="302">
        <f t="shared" si="353"/>
        <v>0.94138495250603027</v>
      </c>
      <c r="I966" s="303"/>
      <c r="J966" s="302">
        <v>0.80951152778664881</v>
      </c>
      <c r="K966" s="302">
        <v>0.32430154779944953</v>
      </c>
      <c r="L966" s="302">
        <f t="shared" si="354"/>
        <v>1.1338130755860982</v>
      </c>
      <c r="M966" s="236"/>
      <c r="N966" s="236"/>
    </row>
    <row r="967" spans="1:14" x14ac:dyDescent="0.2">
      <c r="A967" s="237" t="str">
        <f>name!E$10</f>
        <v>Sales and customer service occupations</v>
      </c>
      <c r="B967" s="302">
        <v>0.62402328375234295</v>
      </c>
      <c r="C967" s="302">
        <v>0.66068622910619035</v>
      </c>
      <c r="D967" s="302">
        <f t="shared" si="352"/>
        <v>1.2847095128585333</v>
      </c>
      <c r="E967" s="303"/>
      <c r="F967" s="302">
        <v>0.68312698235732572</v>
      </c>
      <c r="G967" s="302">
        <v>0.57974647063373685</v>
      </c>
      <c r="H967" s="302">
        <f t="shared" si="353"/>
        <v>1.2628734529910626</v>
      </c>
      <c r="I967" s="303"/>
      <c r="J967" s="302">
        <v>0.88068496728261203</v>
      </c>
      <c r="K967" s="302">
        <v>0.68421679921630285</v>
      </c>
      <c r="L967" s="302">
        <f t="shared" si="354"/>
        <v>1.5649017664989149</v>
      </c>
      <c r="M967" s="236"/>
      <c r="N967" s="236"/>
    </row>
    <row r="968" spans="1:14" x14ac:dyDescent="0.2">
      <c r="A968" s="237" t="str">
        <f>name!E$11</f>
        <v>Process, plant and machine operatives</v>
      </c>
      <c r="B968" s="302">
        <v>7.8087081036201891E-2</v>
      </c>
      <c r="C968" s="302">
        <v>0.32713432164342382</v>
      </c>
      <c r="D968" s="302">
        <f t="shared" si="352"/>
        <v>0.4052214026796257</v>
      </c>
      <c r="E968" s="303"/>
      <c r="F968" s="302">
        <v>8.4865366670205361E-2</v>
      </c>
      <c r="G968" s="302">
        <v>0.28446829479859137</v>
      </c>
      <c r="H968" s="302">
        <f t="shared" si="353"/>
        <v>0.36933366146879676</v>
      </c>
      <c r="I968" s="303"/>
      <c r="J968" s="302">
        <v>0.21802123450470248</v>
      </c>
      <c r="K968" s="302">
        <v>0.32786611376858921</v>
      </c>
      <c r="L968" s="302">
        <f t="shared" si="354"/>
        <v>0.54588734827329166</v>
      </c>
      <c r="M968" s="236"/>
      <c r="N968" s="236"/>
    </row>
    <row r="969" spans="1:14" x14ac:dyDescent="0.2">
      <c r="A969" s="237" t="str">
        <f>name!E$12</f>
        <v>Elementary occupations</v>
      </c>
      <c r="B969" s="302">
        <v>3.1979764667830142</v>
      </c>
      <c r="C969" s="302">
        <v>1.650055758444269</v>
      </c>
      <c r="D969" s="302">
        <f t="shared" si="352"/>
        <v>4.8480322252272829</v>
      </c>
      <c r="E969" s="303"/>
      <c r="F969" s="302">
        <v>2.9547673072292806</v>
      </c>
      <c r="G969" s="302">
        <v>1.2747060140286779</v>
      </c>
      <c r="H969" s="302">
        <f t="shared" si="353"/>
        <v>4.2294733212579585</v>
      </c>
      <c r="I969" s="303"/>
      <c r="J969" s="302">
        <v>4.0666454968438295</v>
      </c>
      <c r="K969" s="302">
        <v>1.0714588864498604</v>
      </c>
      <c r="L969" s="302">
        <f t="shared" si="354"/>
        <v>5.1381043832936903</v>
      </c>
      <c r="M969" s="236"/>
      <c r="N969" s="236"/>
    </row>
    <row r="970" spans="1:14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  <c r="N970" s="236"/>
    </row>
    <row r="971" spans="1:14" x14ac:dyDescent="0.2">
      <c r="A971" s="244" t="s">
        <v>32</v>
      </c>
      <c r="B971" s="311">
        <f>SUM(B961:B969)</f>
        <v>18.077999999933986</v>
      </c>
      <c r="C971" s="311">
        <f t="shared" ref="C971:D971" si="355">SUM(C961:C969)</f>
        <v>29.199999999500402</v>
      </c>
      <c r="D971" s="311">
        <f t="shared" si="355"/>
        <v>47.2779999994344</v>
      </c>
      <c r="E971" s="311"/>
      <c r="F971" s="311">
        <f t="shared" ref="F971:H971" si="356">SUM(F961:F969)</f>
        <v>21.920999999905781</v>
      </c>
      <c r="G971" s="311">
        <f t="shared" si="356"/>
        <v>31.641000000646194</v>
      </c>
      <c r="H971" s="311">
        <f t="shared" si="356"/>
        <v>53.562000000551969</v>
      </c>
      <c r="I971" s="311"/>
      <c r="J971" s="311">
        <f t="shared" ref="J971:L971" si="357">SUM(J961:J969)</f>
        <v>27.292000000050241</v>
      </c>
      <c r="K971" s="311">
        <f t="shared" si="357"/>
        <v>37.530000001143463</v>
      </c>
      <c r="L971" s="311">
        <f t="shared" si="357"/>
        <v>64.8220000011937</v>
      </c>
      <c r="M971" s="236"/>
      <c r="N971" s="236"/>
    </row>
    <row r="972" spans="1:14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  <c r="N972" s="236"/>
    </row>
    <row r="973" spans="1:14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56" t="s">
        <v>35</v>
      </c>
      <c r="M973" s="236"/>
      <c r="N973" s="236"/>
    </row>
    <row r="974" spans="1:14" x14ac:dyDescent="0.2">
      <c r="A974" s="242"/>
      <c r="B974" s="250"/>
      <c r="C974" s="250"/>
      <c r="D974" s="250"/>
      <c r="E974" s="250"/>
      <c r="F974" s="250"/>
      <c r="G974" s="250"/>
      <c r="H974" s="250"/>
      <c r="I974" s="250"/>
      <c r="J974" s="250"/>
      <c r="K974" s="250"/>
      <c r="L974" s="236"/>
      <c r="M974" s="236"/>
      <c r="N974" s="236"/>
    </row>
    <row r="975" spans="1:14" x14ac:dyDescent="0.2">
      <c r="A975" s="241" t="str">
        <f>name!A60</f>
        <v>Veterinary</v>
      </c>
      <c r="B975" s="372">
        <f>B$6</f>
        <v>2015</v>
      </c>
      <c r="C975" s="372"/>
      <c r="D975" s="372"/>
      <c r="E975" s="253"/>
      <c r="F975" s="372">
        <f>F$6</f>
        <v>2020</v>
      </c>
      <c r="G975" s="372"/>
      <c r="H975" s="372"/>
      <c r="I975" s="253"/>
      <c r="J975" s="372">
        <f>J$6</f>
        <v>2035</v>
      </c>
      <c r="K975" s="372"/>
      <c r="L975" s="372"/>
      <c r="M975" s="236"/>
      <c r="N975" s="236"/>
    </row>
    <row r="976" spans="1:14" x14ac:dyDescent="0.2">
      <c r="A976" s="254"/>
      <c r="B976" s="255" t="s">
        <v>352</v>
      </c>
      <c r="C976" s="255" t="s">
        <v>353</v>
      </c>
      <c r="D976" s="255" t="s">
        <v>32</v>
      </c>
      <c r="E976" s="255"/>
      <c r="F976" s="255" t="s">
        <v>352</v>
      </c>
      <c r="G976" s="255" t="s">
        <v>353</v>
      </c>
      <c r="H976" s="255" t="s">
        <v>32</v>
      </c>
      <c r="I976" s="255"/>
      <c r="J976" s="255" t="s">
        <v>352</v>
      </c>
      <c r="K976" s="255" t="s">
        <v>353</v>
      </c>
      <c r="L976" s="255" t="s">
        <v>32</v>
      </c>
      <c r="M976" s="236"/>
      <c r="N976" s="236"/>
    </row>
    <row r="977" spans="1:14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  <c r="N977" s="236"/>
    </row>
    <row r="978" spans="1:14" x14ac:dyDescent="0.2">
      <c r="A978" s="237" t="str">
        <f>name!E$4</f>
        <v>Managers, directors and senior officials</v>
      </c>
      <c r="B978" s="302">
        <v>0.13710344673771635</v>
      </c>
      <c r="C978" s="302">
        <v>0.14012509634347542</v>
      </c>
      <c r="D978" s="302">
        <f>SUM(B978:C978)</f>
        <v>0.27722854308119177</v>
      </c>
      <c r="E978" s="303"/>
      <c r="F978" s="302">
        <v>0.10857755851941951</v>
      </c>
      <c r="G978" s="302">
        <v>8.383142255785242E-2</v>
      </c>
      <c r="H978" s="302">
        <f>SUM(F978:G978)</f>
        <v>0.19240898107727195</v>
      </c>
      <c r="I978" s="303"/>
      <c r="J978" s="302">
        <v>0.13257184269399844</v>
      </c>
      <c r="K978" s="302">
        <v>8.4453943651558061E-2</v>
      </c>
      <c r="L978" s="302">
        <f>SUM(J978:K978)</f>
        <v>0.2170257863455565</v>
      </c>
      <c r="M978" s="236"/>
      <c r="N978" s="236"/>
    </row>
    <row r="979" spans="1:14" x14ac:dyDescent="0.2">
      <c r="A979" s="237" t="str">
        <f>name!E$5</f>
        <v>Professional occupations</v>
      </c>
      <c r="B979" s="302">
        <v>1.2555484057070672</v>
      </c>
      <c r="C979" s="302">
        <v>0.80313172182189896</v>
      </c>
      <c r="D979" s="302">
        <f t="shared" ref="D979:D986" si="358">SUM(B979:C979)</f>
        <v>2.0586801275289659</v>
      </c>
      <c r="E979" s="303"/>
      <c r="F979" s="302">
        <v>1.0510733014853619</v>
      </c>
      <c r="G979" s="302">
        <v>0.56114967847566266</v>
      </c>
      <c r="H979" s="302">
        <f t="shared" ref="H979:H986" si="359">SUM(F979:G979)</f>
        <v>1.6122229799610246</v>
      </c>
      <c r="I979" s="303"/>
      <c r="J979" s="302">
        <v>1.3944192327867617</v>
      </c>
      <c r="K979" s="302">
        <v>0.62432118005098713</v>
      </c>
      <c r="L979" s="302">
        <f t="shared" ref="L979:L986" si="360">SUM(J979:K979)</f>
        <v>2.0187404128377491</v>
      </c>
      <c r="M979" s="236"/>
      <c r="N979" s="236"/>
    </row>
    <row r="980" spans="1:14" x14ac:dyDescent="0.2">
      <c r="A980" s="237" t="str">
        <f>name!E$6</f>
        <v>Associate professional occupations</v>
      </c>
      <c r="B980" s="302">
        <v>0.51776723898500587</v>
      </c>
      <c r="C980" s="302">
        <v>0.35056094438269814</v>
      </c>
      <c r="D980" s="302">
        <f t="shared" si="358"/>
        <v>0.86832818336770401</v>
      </c>
      <c r="E980" s="303"/>
      <c r="F980" s="302">
        <v>0.40690315005341143</v>
      </c>
      <c r="G980" s="302">
        <v>0.20700884547285148</v>
      </c>
      <c r="H980" s="302">
        <f t="shared" si="359"/>
        <v>0.61391199552626285</v>
      </c>
      <c r="I980" s="303"/>
      <c r="J980" s="302">
        <v>0.51660566985463219</v>
      </c>
      <c r="K980" s="302">
        <v>0.20851951994407394</v>
      </c>
      <c r="L980" s="302">
        <f t="shared" si="360"/>
        <v>0.7251251897987061</v>
      </c>
      <c r="M980" s="236"/>
      <c r="N980" s="236"/>
    </row>
    <row r="981" spans="1:14" x14ac:dyDescent="0.2">
      <c r="A981" s="237" t="str">
        <f>name!E$7</f>
        <v>Administrative and secretarial occupations</v>
      </c>
      <c r="B981" s="302">
        <v>0.27573114865640791</v>
      </c>
      <c r="C981" s="302">
        <v>7.0281449096160076E-2</v>
      </c>
      <c r="D981" s="302">
        <f t="shared" si="358"/>
        <v>0.34601259775256799</v>
      </c>
      <c r="E981" s="303"/>
      <c r="F981" s="302">
        <v>0.16198705430101479</v>
      </c>
      <c r="G981" s="302">
        <v>3.7093427109018973E-2</v>
      </c>
      <c r="H981" s="302">
        <f t="shared" si="359"/>
        <v>0.19908048141003376</v>
      </c>
      <c r="I981" s="303"/>
      <c r="J981" s="302">
        <v>0.1387542597479208</v>
      </c>
      <c r="K981" s="302">
        <v>3.8683274984671244E-2</v>
      </c>
      <c r="L981" s="302">
        <f t="shared" si="360"/>
        <v>0.17743753473259205</v>
      </c>
      <c r="M981" s="236"/>
      <c r="N981" s="236"/>
    </row>
    <row r="982" spans="1:14" x14ac:dyDescent="0.2">
      <c r="A982" s="237" t="str">
        <f>name!E$8</f>
        <v>Skilled trades occupations</v>
      </c>
      <c r="B982" s="302">
        <v>1.1467076699900243E-2</v>
      </c>
      <c r="C982" s="302">
        <v>3.0880077541194498E-2</v>
      </c>
      <c r="D982" s="302">
        <f t="shared" si="358"/>
        <v>4.2347154241094739E-2</v>
      </c>
      <c r="E982" s="303"/>
      <c r="F982" s="302">
        <v>7.7355785651939003E-3</v>
      </c>
      <c r="G982" s="302">
        <v>1.3133022754347481E-2</v>
      </c>
      <c r="H982" s="302">
        <f t="shared" si="359"/>
        <v>2.086860131954138E-2</v>
      </c>
      <c r="I982" s="303"/>
      <c r="J982" s="302">
        <v>4.9015482598648696E-3</v>
      </c>
      <c r="K982" s="302">
        <v>9.2533031993685833E-3</v>
      </c>
      <c r="L982" s="302">
        <f t="shared" si="360"/>
        <v>1.4154851459233453E-2</v>
      </c>
      <c r="M982" s="236"/>
      <c r="N982" s="236"/>
    </row>
    <row r="983" spans="1:14" x14ac:dyDescent="0.2">
      <c r="A983" s="237" t="str">
        <f>name!E$9</f>
        <v>Caring, leisure and other service occupations</v>
      </c>
      <c r="B983" s="302">
        <v>1.3738123130856676</v>
      </c>
      <c r="C983" s="302">
        <v>0.55164733420476997</v>
      </c>
      <c r="D983" s="302">
        <f t="shared" si="358"/>
        <v>1.9254596472904377</v>
      </c>
      <c r="E983" s="303"/>
      <c r="F983" s="302">
        <v>0.95500794496617647</v>
      </c>
      <c r="G983" s="302">
        <v>0.30170045162945375</v>
      </c>
      <c r="H983" s="302">
        <f t="shared" si="359"/>
        <v>1.2567083965956303</v>
      </c>
      <c r="I983" s="303"/>
      <c r="J983" s="302">
        <v>1.167535042359821</v>
      </c>
      <c r="K983" s="302">
        <v>0.4700113623953962</v>
      </c>
      <c r="L983" s="302">
        <f t="shared" si="360"/>
        <v>1.6375464047552173</v>
      </c>
      <c r="M983" s="236"/>
      <c r="N983" s="236"/>
    </row>
    <row r="984" spans="1:14" x14ac:dyDescent="0.2">
      <c r="A984" s="237" t="str">
        <f>name!E$10</f>
        <v>Sales and customer service occupations</v>
      </c>
      <c r="B984" s="302">
        <v>4.2334274426669295E-2</v>
      </c>
      <c r="C984" s="302">
        <v>1.9283179009925853E-2</v>
      </c>
      <c r="D984" s="302">
        <f t="shared" si="358"/>
        <v>6.1617453436595152E-2</v>
      </c>
      <c r="E984" s="303"/>
      <c r="F984" s="302">
        <v>2.7227297427300512E-2</v>
      </c>
      <c r="G984" s="302">
        <v>9.9239347481299613E-3</v>
      </c>
      <c r="H984" s="302">
        <f t="shared" si="359"/>
        <v>3.7151232175430475E-2</v>
      </c>
      <c r="I984" s="303"/>
      <c r="J984" s="302">
        <v>3.3360266864235384E-2</v>
      </c>
      <c r="K984" s="302">
        <v>1.1080189269113801E-2</v>
      </c>
      <c r="L984" s="302">
        <f t="shared" si="360"/>
        <v>4.4440456133349182E-2</v>
      </c>
      <c r="M984" s="236"/>
      <c r="N984" s="236"/>
    </row>
    <row r="985" spans="1:14" x14ac:dyDescent="0.2">
      <c r="A985" s="237" t="str">
        <f>name!E$11</f>
        <v>Process, plant and machine operatives</v>
      </c>
      <c r="B985" s="302">
        <v>3.0404025634411451E-3</v>
      </c>
      <c r="C985" s="302">
        <v>1.8632028794537004E-2</v>
      </c>
      <c r="D985" s="302">
        <f t="shared" si="358"/>
        <v>2.167243135797815E-2</v>
      </c>
      <c r="E985" s="303"/>
      <c r="F985" s="302">
        <v>1.6451158020809895E-3</v>
      </c>
      <c r="G985" s="302">
        <v>1.1374430310519115E-2</v>
      </c>
      <c r="H985" s="302">
        <f t="shared" si="359"/>
        <v>1.3019546112600104E-2</v>
      </c>
      <c r="I985" s="303"/>
      <c r="J985" s="302">
        <v>1.5930720583304978E-3</v>
      </c>
      <c r="K985" s="302">
        <v>8.9748237644829941E-3</v>
      </c>
      <c r="L985" s="302">
        <f t="shared" si="360"/>
        <v>1.0567895822813492E-2</v>
      </c>
      <c r="M985" s="236"/>
      <c r="N985" s="236"/>
    </row>
    <row r="986" spans="1:14" x14ac:dyDescent="0.2">
      <c r="A986" s="237" t="str">
        <f>name!E$12</f>
        <v>Elementary occupations</v>
      </c>
      <c r="B986" s="302">
        <v>3.0195693021016039E-2</v>
      </c>
      <c r="C986" s="302">
        <v>5.4458168786039346E-2</v>
      </c>
      <c r="D986" s="302">
        <f t="shared" si="358"/>
        <v>8.4653861807055392E-2</v>
      </c>
      <c r="E986" s="303"/>
      <c r="F986" s="302">
        <v>2.184299893404423E-2</v>
      </c>
      <c r="G986" s="302">
        <v>2.6784786964319976E-2</v>
      </c>
      <c r="H986" s="302">
        <f t="shared" si="359"/>
        <v>4.8627785898364209E-2</v>
      </c>
      <c r="I986" s="303"/>
      <c r="J986" s="302">
        <v>1.0259065376078647E-2</v>
      </c>
      <c r="K986" s="302">
        <v>2.5702402769849048E-2</v>
      </c>
      <c r="L986" s="302">
        <f t="shared" si="360"/>
        <v>3.5961468145927697E-2</v>
      </c>
      <c r="M986" s="236"/>
      <c r="N986" s="236"/>
    </row>
    <row r="987" spans="1:14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  <c r="N987" s="236"/>
    </row>
    <row r="988" spans="1:14" x14ac:dyDescent="0.2">
      <c r="A988" s="244" t="s">
        <v>32</v>
      </c>
      <c r="B988" s="311">
        <f>SUM(B978:B986)</f>
        <v>3.6469999998828917</v>
      </c>
      <c r="C988" s="311">
        <f t="shared" ref="C988:D988" si="361">SUM(C978:C986)</f>
        <v>2.0389999999806991</v>
      </c>
      <c r="D988" s="311">
        <f t="shared" si="361"/>
        <v>5.6859999998635908</v>
      </c>
      <c r="E988" s="311"/>
      <c r="F988" s="311">
        <f t="shared" ref="F988:H988" si="362">SUM(F978:F986)</f>
        <v>2.7420000000540039</v>
      </c>
      <c r="G988" s="311">
        <f t="shared" si="362"/>
        <v>1.2520000000221561</v>
      </c>
      <c r="H988" s="311">
        <f t="shared" si="362"/>
        <v>3.9940000000761602</v>
      </c>
      <c r="I988" s="311"/>
      <c r="J988" s="311">
        <f t="shared" ref="J988:L988" si="363">SUM(J978:J986)</f>
        <v>3.4000000000016439</v>
      </c>
      <c r="K988" s="311">
        <f t="shared" si="363"/>
        <v>1.4810000000295009</v>
      </c>
      <c r="L988" s="311">
        <f t="shared" si="363"/>
        <v>4.8810000000311451</v>
      </c>
      <c r="M988" s="236"/>
      <c r="N988" s="236"/>
    </row>
    <row r="989" spans="1:14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  <c r="N989" s="236"/>
    </row>
    <row r="990" spans="1:14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56" t="s">
        <v>35</v>
      </c>
      <c r="M990" s="236"/>
      <c r="N990" s="236"/>
    </row>
    <row r="991" spans="1:14" x14ac:dyDescent="0.2">
      <c r="A991" s="242"/>
      <c r="B991" s="250"/>
      <c r="C991" s="250"/>
      <c r="D991" s="250"/>
      <c r="E991" s="250"/>
      <c r="F991" s="250"/>
      <c r="G991" s="250"/>
      <c r="H991" s="250"/>
      <c r="I991" s="250"/>
      <c r="J991" s="250"/>
      <c r="K991" s="250"/>
      <c r="L991" s="236"/>
      <c r="M991" s="236"/>
      <c r="N991" s="236"/>
    </row>
    <row r="992" spans="1:14" x14ac:dyDescent="0.2">
      <c r="A992" s="241" t="str">
        <f>name!A61</f>
        <v>Rental and leasing</v>
      </c>
      <c r="B992" s="372">
        <f>B$6</f>
        <v>2015</v>
      </c>
      <c r="C992" s="372"/>
      <c r="D992" s="372"/>
      <c r="E992" s="253"/>
      <c r="F992" s="372">
        <f>F$6</f>
        <v>2020</v>
      </c>
      <c r="G992" s="372"/>
      <c r="H992" s="372"/>
      <c r="I992" s="253"/>
      <c r="J992" s="372">
        <f>J$6</f>
        <v>2035</v>
      </c>
      <c r="K992" s="372"/>
      <c r="L992" s="372"/>
      <c r="M992" s="236"/>
      <c r="N992" s="236"/>
    </row>
    <row r="993" spans="1:14" x14ac:dyDescent="0.2">
      <c r="A993" s="254"/>
      <c r="B993" s="255" t="s">
        <v>352</v>
      </c>
      <c r="C993" s="255" t="s">
        <v>353</v>
      </c>
      <c r="D993" s="255" t="s">
        <v>32</v>
      </c>
      <c r="E993" s="255"/>
      <c r="F993" s="255" t="s">
        <v>352</v>
      </c>
      <c r="G993" s="255" t="s">
        <v>353</v>
      </c>
      <c r="H993" s="255" t="s">
        <v>32</v>
      </c>
      <c r="I993" s="255"/>
      <c r="J993" s="255" t="s">
        <v>352</v>
      </c>
      <c r="K993" s="255" t="s">
        <v>353</v>
      </c>
      <c r="L993" s="255" t="s">
        <v>32</v>
      </c>
      <c r="M993" s="236"/>
      <c r="N993" s="236"/>
    </row>
    <row r="994" spans="1:14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  <c r="N994" s="236"/>
    </row>
    <row r="995" spans="1:14" x14ac:dyDescent="0.2">
      <c r="A995" s="237" t="str">
        <f>name!E$4</f>
        <v>Managers, directors and senior officials</v>
      </c>
      <c r="B995" s="302">
        <v>0.49160409159039764</v>
      </c>
      <c r="C995" s="302">
        <v>3.4585528454060852</v>
      </c>
      <c r="D995" s="302">
        <f>SUM(B995:C995)</f>
        <v>3.9501569369964828</v>
      </c>
      <c r="E995" s="303"/>
      <c r="F995" s="302">
        <v>0.79241586119280627</v>
      </c>
      <c r="G995" s="302">
        <v>5.0059535626828708</v>
      </c>
      <c r="H995" s="302">
        <f>SUM(F995:G995)</f>
        <v>5.7983694238756769</v>
      </c>
      <c r="I995" s="303"/>
      <c r="J995" s="302">
        <v>0.92989219400286038</v>
      </c>
      <c r="K995" s="302">
        <v>5.6779877353929136</v>
      </c>
      <c r="L995" s="302">
        <f>SUM(J995:K995)</f>
        <v>6.6078799293957742</v>
      </c>
      <c r="M995" s="236"/>
      <c r="N995" s="236"/>
    </row>
    <row r="996" spans="1:14" x14ac:dyDescent="0.2">
      <c r="A996" s="237" t="str">
        <f>name!E$5</f>
        <v>Professional occupations</v>
      </c>
      <c r="B996" s="302">
        <v>0.72160486430520698</v>
      </c>
      <c r="C996" s="302">
        <v>2.7306768619536119</v>
      </c>
      <c r="D996" s="302">
        <f t="shared" ref="D996:D1003" si="364">SUM(B996:C996)</f>
        <v>3.452281726258819</v>
      </c>
      <c r="E996" s="303"/>
      <c r="F996" s="302">
        <v>1.2187742839617057</v>
      </c>
      <c r="G996" s="302">
        <v>4.4613306317444748</v>
      </c>
      <c r="H996" s="302">
        <f t="shared" ref="H996:H1003" si="365">SUM(F996:G996)</f>
        <v>5.6801049157061803</v>
      </c>
      <c r="I996" s="303"/>
      <c r="J996" s="302">
        <v>1.504180233464133</v>
      </c>
      <c r="K996" s="302">
        <v>5.7305826980833672</v>
      </c>
      <c r="L996" s="302">
        <f t="shared" ref="L996:L1003" si="366">SUM(J996:K996)</f>
        <v>7.2347629315475004</v>
      </c>
      <c r="M996" s="236"/>
      <c r="N996" s="236"/>
    </row>
    <row r="997" spans="1:14" x14ac:dyDescent="0.2">
      <c r="A997" s="237" t="str">
        <f>name!E$6</f>
        <v>Associate professional occupations</v>
      </c>
      <c r="B997" s="302">
        <v>0.69635148035384309</v>
      </c>
      <c r="C997" s="302">
        <v>2.0317845586092815</v>
      </c>
      <c r="D997" s="302">
        <f t="shared" si="364"/>
        <v>2.7281360389631244</v>
      </c>
      <c r="E997" s="303"/>
      <c r="F997" s="302">
        <v>1.0303042302895633</v>
      </c>
      <c r="G997" s="302">
        <v>2.9419923479388688</v>
      </c>
      <c r="H997" s="302">
        <f t="shared" si="365"/>
        <v>3.9722965782284323</v>
      </c>
      <c r="I997" s="303"/>
      <c r="J997" s="302">
        <v>1.1208287705544431</v>
      </c>
      <c r="K997" s="302">
        <v>2.9070511265530499</v>
      </c>
      <c r="L997" s="302">
        <f t="shared" si="366"/>
        <v>4.0278798971074927</v>
      </c>
      <c r="M997" s="236"/>
      <c r="N997" s="236"/>
    </row>
    <row r="998" spans="1:14" x14ac:dyDescent="0.2">
      <c r="A998" s="237" t="str">
        <f>name!E$7</f>
        <v>Administrative and secretarial occupations</v>
      </c>
      <c r="B998" s="302">
        <v>0.88514807468640133</v>
      </c>
      <c r="C998" s="302">
        <v>0.61548811946277104</v>
      </c>
      <c r="D998" s="302">
        <f t="shared" si="364"/>
        <v>1.5006361941491724</v>
      </c>
      <c r="E998" s="303"/>
      <c r="F998" s="302">
        <v>1.0495161646721007</v>
      </c>
      <c r="G998" s="302">
        <v>0.86894079224280873</v>
      </c>
      <c r="H998" s="302">
        <f t="shared" si="365"/>
        <v>1.9184569569149095</v>
      </c>
      <c r="I998" s="303"/>
      <c r="J998" s="302">
        <v>0.86639343320140139</v>
      </c>
      <c r="K998" s="302">
        <v>0.92581251717263069</v>
      </c>
      <c r="L998" s="302">
        <f t="shared" si="366"/>
        <v>1.792205950374032</v>
      </c>
      <c r="M998" s="236"/>
      <c r="N998" s="236"/>
    </row>
    <row r="999" spans="1:14" x14ac:dyDescent="0.2">
      <c r="A999" s="237" t="str">
        <f>name!E$8</f>
        <v>Skilled trades occupations</v>
      </c>
      <c r="B999" s="302">
        <v>7.0754771522243423E-2</v>
      </c>
      <c r="C999" s="302">
        <v>1.5411653623046786</v>
      </c>
      <c r="D999" s="302">
        <f t="shared" si="364"/>
        <v>1.611920133826922</v>
      </c>
      <c r="E999" s="303"/>
      <c r="F999" s="302">
        <v>0.10334010229617531</v>
      </c>
      <c r="G999" s="302">
        <v>1.5588182024842543</v>
      </c>
      <c r="H999" s="302">
        <f t="shared" si="365"/>
        <v>1.6621583047804296</v>
      </c>
      <c r="I999" s="303"/>
      <c r="J999" s="302">
        <v>0.17558832270473085</v>
      </c>
      <c r="K999" s="302">
        <v>1.2608194366775904</v>
      </c>
      <c r="L999" s="302">
        <f t="shared" si="366"/>
        <v>1.4364077593823212</v>
      </c>
      <c r="M999" s="236"/>
      <c r="N999" s="236"/>
    </row>
    <row r="1000" spans="1:14" x14ac:dyDescent="0.2">
      <c r="A1000" s="237" t="str">
        <f>name!E$9</f>
        <v>Caring, leisure and other service occupations</v>
      </c>
      <c r="B1000" s="302">
        <v>8.0027731623724674E-2</v>
      </c>
      <c r="C1000" s="302">
        <v>0.53213633553747575</v>
      </c>
      <c r="D1000" s="302">
        <f t="shared" si="364"/>
        <v>0.61216406716120042</v>
      </c>
      <c r="E1000" s="303"/>
      <c r="F1000" s="302">
        <v>9.6301395938805281E-2</v>
      </c>
      <c r="G1000" s="302">
        <v>0.67508510131800903</v>
      </c>
      <c r="H1000" s="302">
        <f t="shared" si="365"/>
        <v>0.7713864972568143</v>
      </c>
      <c r="I1000" s="303"/>
      <c r="J1000" s="302">
        <v>9.1731834987373279E-2</v>
      </c>
      <c r="K1000" s="302">
        <v>0.95109652714818693</v>
      </c>
      <c r="L1000" s="302">
        <f t="shared" si="366"/>
        <v>1.0428283621355603</v>
      </c>
      <c r="M1000" s="236"/>
      <c r="N1000" s="236"/>
    </row>
    <row r="1001" spans="1:14" x14ac:dyDescent="0.2">
      <c r="A1001" s="237" t="str">
        <f>name!E$10</f>
        <v>Sales and customer service occupations</v>
      </c>
      <c r="B1001" s="302">
        <v>0.60200856164493932</v>
      </c>
      <c r="C1001" s="302">
        <v>0.76995554039695413</v>
      </c>
      <c r="D1001" s="302">
        <f t="shared" si="364"/>
        <v>1.3719641020418933</v>
      </c>
      <c r="E1001" s="303"/>
      <c r="F1001" s="302">
        <v>0.68525870955472645</v>
      </c>
      <c r="G1001" s="302">
        <v>0.82991176039791159</v>
      </c>
      <c r="H1001" s="302">
        <f t="shared" si="365"/>
        <v>1.515170469952638</v>
      </c>
      <c r="I1001" s="303"/>
      <c r="J1001" s="302">
        <v>0.75789157338295987</v>
      </c>
      <c r="K1001" s="302">
        <v>0.84014779622597846</v>
      </c>
      <c r="L1001" s="302">
        <f t="shared" si="366"/>
        <v>1.5980393696089383</v>
      </c>
      <c r="M1001" s="236"/>
      <c r="N1001" s="236"/>
    </row>
    <row r="1002" spans="1:14" x14ac:dyDescent="0.2">
      <c r="A1002" s="237" t="str">
        <f>name!E$11</f>
        <v>Process, plant and machine operatives</v>
      </c>
      <c r="B1002" s="302">
        <v>6.9563539978384603E-2</v>
      </c>
      <c r="C1002" s="302">
        <v>1.4965698501223181</v>
      </c>
      <c r="D1002" s="302">
        <f t="shared" si="364"/>
        <v>1.5661333901007026</v>
      </c>
      <c r="E1002" s="303"/>
      <c r="F1002" s="302">
        <v>6.1070080852802175E-2</v>
      </c>
      <c r="G1002" s="302">
        <v>1.6065426200189301</v>
      </c>
      <c r="H1002" s="302">
        <f t="shared" si="365"/>
        <v>1.6676127008717323</v>
      </c>
      <c r="I1002" s="303"/>
      <c r="J1002" s="302">
        <v>0.10967383171065354</v>
      </c>
      <c r="K1002" s="302">
        <v>1.5631186981684626</v>
      </c>
      <c r="L1002" s="302">
        <f t="shared" si="366"/>
        <v>1.6727925298791162</v>
      </c>
      <c r="M1002" s="236"/>
      <c r="N1002" s="236"/>
    </row>
    <row r="1003" spans="1:14" x14ac:dyDescent="0.2">
      <c r="A1003" s="237" t="str">
        <f>name!E$12</f>
        <v>Elementary occupations</v>
      </c>
      <c r="B1003" s="302">
        <v>0.26293688431391066</v>
      </c>
      <c r="C1003" s="302">
        <v>0.1696705262675294</v>
      </c>
      <c r="D1003" s="302">
        <f t="shared" si="364"/>
        <v>0.43260741058144003</v>
      </c>
      <c r="E1003" s="303"/>
      <c r="F1003" s="302">
        <v>0.22801917121694917</v>
      </c>
      <c r="G1003" s="302">
        <v>0.14942498117117142</v>
      </c>
      <c r="H1003" s="302">
        <f t="shared" si="365"/>
        <v>0.37744415238812057</v>
      </c>
      <c r="I1003" s="303"/>
      <c r="J1003" s="302">
        <v>0.31381980597017045</v>
      </c>
      <c r="K1003" s="302">
        <v>0.10938346468353914</v>
      </c>
      <c r="L1003" s="302">
        <f t="shared" si="366"/>
        <v>0.42320327065370961</v>
      </c>
      <c r="M1003" s="236"/>
      <c r="N1003" s="236"/>
    </row>
    <row r="1004" spans="1:14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  <c r="N1004" s="236"/>
    </row>
    <row r="1005" spans="1:14" x14ac:dyDescent="0.2">
      <c r="A1005" s="244" t="s">
        <v>32</v>
      </c>
      <c r="B1005" s="311">
        <f>SUM(B995:B1003)</f>
        <v>3.8800000000190518</v>
      </c>
      <c r="C1005" s="311">
        <f t="shared" ref="C1005:D1005" si="367">SUM(C995:C1003)</f>
        <v>13.346000000060705</v>
      </c>
      <c r="D1005" s="311">
        <f t="shared" si="367"/>
        <v>17.226000000079758</v>
      </c>
      <c r="E1005" s="311"/>
      <c r="F1005" s="311">
        <f t="shared" ref="F1005:H1005" si="368">SUM(F995:F1003)</f>
        <v>5.2649999999756334</v>
      </c>
      <c r="G1005" s="311">
        <f t="shared" si="368"/>
        <v>18.097999999999303</v>
      </c>
      <c r="H1005" s="311">
        <f t="shared" si="368"/>
        <v>23.362999999974935</v>
      </c>
      <c r="I1005" s="311"/>
      <c r="J1005" s="311">
        <f t="shared" ref="J1005:L1005" si="369">SUM(J995:J1003)</f>
        <v>5.8699999999787256</v>
      </c>
      <c r="K1005" s="311">
        <f t="shared" si="369"/>
        <v>19.966000000105719</v>
      </c>
      <c r="L1005" s="311">
        <f t="shared" si="369"/>
        <v>25.836000000084443</v>
      </c>
      <c r="M1005" s="236"/>
      <c r="N1005" s="236"/>
    </row>
    <row r="1006" spans="1:14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  <c r="N1006" s="236"/>
    </row>
    <row r="1007" spans="1:14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56" t="s">
        <v>35</v>
      </c>
      <c r="M1007" s="236"/>
      <c r="N1007" s="236"/>
    </row>
    <row r="1008" spans="1:14" x14ac:dyDescent="0.2">
      <c r="A1008" s="242"/>
      <c r="B1008" s="250"/>
      <c r="C1008" s="250"/>
      <c r="D1008" s="250"/>
      <c r="E1008" s="250"/>
      <c r="F1008" s="250"/>
      <c r="G1008" s="250"/>
      <c r="H1008" s="250"/>
      <c r="I1008" s="250"/>
      <c r="J1008" s="250"/>
      <c r="K1008" s="250"/>
      <c r="L1008" s="236"/>
      <c r="M1008" s="236"/>
      <c r="N1008" s="236"/>
    </row>
    <row r="1009" spans="1:14" x14ac:dyDescent="0.2">
      <c r="A1009" s="241" t="str">
        <f>name!A62</f>
        <v>Employment activities</v>
      </c>
      <c r="B1009" s="372">
        <f>B$6</f>
        <v>2015</v>
      </c>
      <c r="C1009" s="372"/>
      <c r="D1009" s="372"/>
      <c r="E1009" s="253"/>
      <c r="F1009" s="372">
        <f>F$6</f>
        <v>2020</v>
      </c>
      <c r="G1009" s="372"/>
      <c r="H1009" s="372"/>
      <c r="I1009" s="253"/>
      <c r="J1009" s="372">
        <f>J$6</f>
        <v>2035</v>
      </c>
      <c r="K1009" s="372"/>
      <c r="L1009" s="372"/>
      <c r="M1009" s="236"/>
      <c r="N1009" s="236"/>
    </row>
    <row r="1010" spans="1:14" x14ac:dyDescent="0.2">
      <c r="A1010" s="254"/>
      <c r="B1010" s="255" t="s">
        <v>352</v>
      </c>
      <c r="C1010" s="255" t="s">
        <v>353</v>
      </c>
      <c r="D1010" s="255" t="s">
        <v>32</v>
      </c>
      <c r="E1010" s="255"/>
      <c r="F1010" s="255" t="s">
        <v>352</v>
      </c>
      <c r="G1010" s="255" t="s">
        <v>353</v>
      </c>
      <c r="H1010" s="255" t="s">
        <v>32</v>
      </c>
      <c r="I1010" s="255"/>
      <c r="J1010" s="255" t="s">
        <v>352</v>
      </c>
      <c r="K1010" s="255" t="s">
        <v>353</v>
      </c>
      <c r="L1010" s="255" t="s">
        <v>32</v>
      </c>
      <c r="M1010" s="236"/>
      <c r="N1010" s="236"/>
    </row>
    <row r="1011" spans="1:14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  <c r="N1011" s="236"/>
    </row>
    <row r="1012" spans="1:14" x14ac:dyDescent="0.2">
      <c r="A1012" s="237" t="str">
        <f>name!E$4</f>
        <v>Managers, directors and senior officials</v>
      </c>
      <c r="B1012" s="302">
        <v>6.8921890781611985</v>
      </c>
      <c r="C1012" s="302">
        <v>14.309095676405404</v>
      </c>
      <c r="D1012" s="302">
        <f>SUM(B1012:C1012)</f>
        <v>21.201284754566601</v>
      </c>
      <c r="E1012" s="303"/>
      <c r="F1012" s="302">
        <v>7.6052496527792934</v>
      </c>
      <c r="G1012" s="302">
        <v>14.732821264275245</v>
      </c>
      <c r="H1012" s="302">
        <f>SUM(F1012:G1012)</f>
        <v>22.338070917054537</v>
      </c>
      <c r="I1012" s="303"/>
      <c r="J1012" s="302">
        <v>9.53297166020816</v>
      </c>
      <c r="K1012" s="302">
        <v>16.735763292640172</v>
      </c>
      <c r="L1012" s="302">
        <f>SUM(J1012:K1012)</f>
        <v>26.268734952848334</v>
      </c>
      <c r="M1012" s="236"/>
      <c r="N1012" s="236"/>
    </row>
    <row r="1013" spans="1:14" x14ac:dyDescent="0.2">
      <c r="A1013" s="237" t="str">
        <f>name!E$5</f>
        <v>Professional occupations</v>
      </c>
      <c r="B1013" s="302">
        <v>12.652386271647327</v>
      </c>
      <c r="C1013" s="302">
        <v>17.814802552004629</v>
      </c>
      <c r="D1013" s="302">
        <f t="shared" ref="D1013:D1020" si="370">SUM(B1013:C1013)</f>
        <v>30.467188823651956</v>
      </c>
      <c r="E1013" s="303"/>
      <c r="F1013" s="302">
        <v>15.485211412037959</v>
      </c>
      <c r="G1013" s="302">
        <v>21.341262239551078</v>
      </c>
      <c r="H1013" s="302">
        <f t="shared" ref="H1013:H1020" si="371">SUM(F1013:G1013)</f>
        <v>36.826473651589041</v>
      </c>
      <c r="I1013" s="303"/>
      <c r="J1013" s="302">
        <v>19.948594241957661</v>
      </c>
      <c r="K1013" s="302">
        <v>30.061919925622206</v>
      </c>
      <c r="L1013" s="302">
        <f t="shared" ref="L1013:L1020" si="372">SUM(J1013:K1013)</f>
        <v>50.010514167579871</v>
      </c>
      <c r="M1013" s="236"/>
      <c r="N1013" s="236"/>
    </row>
    <row r="1014" spans="1:14" x14ac:dyDescent="0.2">
      <c r="A1014" s="237" t="str">
        <f>name!E$6</f>
        <v>Associate professional occupations</v>
      </c>
      <c r="B1014" s="302">
        <v>14.482151377697155</v>
      </c>
      <c r="C1014" s="302">
        <v>26.964270456085128</v>
      </c>
      <c r="D1014" s="302">
        <f t="shared" si="370"/>
        <v>41.446421833782281</v>
      </c>
      <c r="E1014" s="303"/>
      <c r="F1014" s="302">
        <v>15.851787369407219</v>
      </c>
      <c r="G1014" s="302">
        <v>26.892934199775823</v>
      </c>
      <c r="H1014" s="302">
        <f t="shared" si="371"/>
        <v>42.744721569183042</v>
      </c>
      <c r="I1014" s="303"/>
      <c r="J1014" s="302">
        <v>17.271893435172963</v>
      </c>
      <c r="K1014" s="302">
        <v>27.839928823508497</v>
      </c>
      <c r="L1014" s="302">
        <f t="shared" si="372"/>
        <v>45.111822258681457</v>
      </c>
      <c r="M1014" s="236"/>
      <c r="N1014" s="236"/>
    </row>
    <row r="1015" spans="1:14" x14ac:dyDescent="0.2">
      <c r="A1015" s="237" t="str">
        <f>name!E$7</f>
        <v>Administrative and secretarial occupations</v>
      </c>
      <c r="B1015" s="302">
        <v>10.168037091867303</v>
      </c>
      <c r="C1015" s="302">
        <v>4.6117548875209105</v>
      </c>
      <c r="D1015" s="302">
        <f t="shared" si="370"/>
        <v>14.779791979388214</v>
      </c>
      <c r="E1015" s="303"/>
      <c r="F1015" s="302">
        <v>9.6243063982856132</v>
      </c>
      <c r="G1015" s="302">
        <v>4.7709707429801993</v>
      </c>
      <c r="H1015" s="302">
        <f t="shared" si="371"/>
        <v>14.395277141265812</v>
      </c>
      <c r="I1015" s="303"/>
      <c r="J1015" s="302">
        <v>9.1059075666070672</v>
      </c>
      <c r="K1015" s="302">
        <v>4.058075371417404</v>
      </c>
      <c r="L1015" s="302">
        <f t="shared" si="372"/>
        <v>13.163982938024471</v>
      </c>
      <c r="M1015" s="236"/>
      <c r="N1015" s="236"/>
    </row>
    <row r="1016" spans="1:14" x14ac:dyDescent="0.2">
      <c r="A1016" s="237" t="str">
        <f>name!E$8</f>
        <v>Skilled trades occupations</v>
      </c>
      <c r="B1016" s="302">
        <v>0.77709100434954681</v>
      </c>
      <c r="C1016" s="302">
        <v>5.003433725500301</v>
      </c>
      <c r="D1016" s="302">
        <f t="shared" si="370"/>
        <v>5.7805247298498479</v>
      </c>
      <c r="E1016" s="303"/>
      <c r="F1016" s="302">
        <v>0.78982180941321911</v>
      </c>
      <c r="G1016" s="302">
        <v>3.2493457637844081</v>
      </c>
      <c r="H1016" s="302">
        <f t="shared" si="371"/>
        <v>4.0391675731976271</v>
      </c>
      <c r="I1016" s="303"/>
      <c r="J1016" s="302">
        <v>1.1699254788439748</v>
      </c>
      <c r="K1016" s="302">
        <v>2.8893851113980289</v>
      </c>
      <c r="L1016" s="302">
        <f t="shared" si="372"/>
        <v>4.0593105902420037</v>
      </c>
      <c r="M1016" s="236"/>
      <c r="N1016" s="236"/>
    </row>
    <row r="1017" spans="1:14" x14ac:dyDescent="0.2">
      <c r="A1017" s="237" t="str">
        <f>name!E$9</f>
        <v>Caring, leisure and other service occupations</v>
      </c>
      <c r="B1017" s="302">
        <v>5.371510191260251</v>
      </c>
      <c r="C1017" s="302">
        <v>4.3822130108717623</v>
      </c>
      <c r="D1017" s="302">
        <f t="shared" si="370"/>
        <v>9.7537232021320133</v>
      </c>
      <c r="E1017" s="303"/>
      <c r="F1017" s="302">
        <v>5.1798089766710387</v>
      </c>
      <c r="G1017" s="302">
        <v>4.7127706229444506</v>
      </c>
      <c r="H1017" s="302">
        <f t="shared" si="371"/>
        <v>9.8925795996154893</v>
      </c>
      <c r="I1017" s="303"/>
      <c r="J1017" s="302">
        <v>5.8949360157958246</v>
      </c>
      <c r="K1017" s="302">
        <v>5.2977835786490965</v>
      </c>
      <c r="L1017" s="302">
        <f t="shared" si="372"/>
        <v>11.19271959444492</v>
      </c>
      <c r="M1017" s="236"/>
      <c r="N1017" s="236"/>
    </row>
    <row r="1018" spans="1:14" x14ac:dyDescent="0.2">
      <c r="A1018" s="237" t="str">
        <f>name!E$10</f>
        <v>Sales and customer service occupations</v>
      </c>
      <c r="B1018" s="302">
        <v>3.4739671568008572</v>
      </c>
      <c r="C1018" s="302">
        <v>5.7899930246571714</v>
      </c>
      <c r="D1018" s="302">
        <f t="shared" si="370"/>
        <v>9.2639601814580281</v>
      </c>
      <c r="E1018" s="303"/>
      <c r="F1018" s="302">
        <v>3.4105242450931348</v>
      </c>
      <c r="G1018" s="302">
        <v>5.0185256700099394</v>
      </c>
      <c r="H1018" s="302">
        <f t="shared" si="371"/>
        <v>8.4290499151030751</v>
      </c>
      <c r="I1018" s="303"/>
      <c r="J1018" s="302">
        <v>4.7170553420740147</v>
      </c>
      <c r="K1018" s="302">
        <v>5.8684242834842868</v>
      </c>
      <c r="L1018" s="302">
        <f t="shared" si="372"/>
        <v>10.585479625558301</v>
      </c>
      <c r="M1018" s="236"/>
      <c r="N1018" s="236"/>
    </row>
    <row r="1019" spans="1:14" x14ac:dyDescent="0.2">
      <c r="A1019" s="237" t="str">
        <f>name!E$11</f>
        <v>Process, plant and machine operatives</v>
      </c>
      <c r="B1019" s="302">
        <v>0.33563416696365528</v>
      </c>
      <c r="C1019" s="302">
        <v>4.1745324168809272</v>
      </c>
      <c r="D1019" s="302">
        <f t="shared" si="370"/>
        <v>4.5101665838445824</v>
      </c>
      <c r="E1019" s="303"/>
      <c r="F1019" s="302">
        <v>0.25995096414334146</v>
      </c>
      <c r="G1019" s="302">
        <v>4.1950849262874534</v>
      </c>
      <c r="H1019" s="302">
        <f t="shared" si="371"/>
        <v>4.4550358904307945</v>
      </c>
      <c r="I1019" s="303"/>
      <c r="J1019" s="302">
        <v>0.36927554403751056</v>
      </c>
      <c r="K1019" s="302">
        <v>4.3192673992973614</v>
      </c>
      <c r="L1019" s="302">
        <f t="shared" si="372"/>
        <v>4.6885429433348715</v>
      </c>
      <c r="M1019" s="236"/>
      <c r="N1019" s="236"/>
    </row>
    <row r="1020" spans="1:14" ht="13.5" customHeight="1" x14ac:dyDescent="0.2">
      <c r="A1020" s="237" t="str">
        <f>name!E$12</f>
        <v>Elementary occupations</v>
      </c>
      <c r="B1020" s="302">
        <v>19.805033662013013</v>
      </c>
      <c r="C1020" s="302">
        <v>31.500904251529494</v>
      </c>
      <c r="D1020" s="302">
        <f t="shared" si="370"/>
        <v>51.305937913542508</v>
      </c>
      <c r="E1020" s="303"/>
      <c r="F1020" s="302">
        <v>16.076339171418748</v>
      </c>
      <c r="G1020" s="302">
        <v>25.818284570047684</v>
      </c>
      <c r="H1020" s="302">
        <f t="shared" si="371"/>
        <v>41.894623741466432</v>
      </c>
      <c r="I1020" s="303"/>
      <c r="J1020" s="302">
        <v>14.309440715047485</v>
      </c>
      <c r="K1020" s="302">
        <v>24.848452213314925</v>
      </c>
      <c r="L1020" s="302">
        <f t="shared" si="372"/>
        <v>39.157892928362408</v>
      </c>
      <c r="M1020" s="236"/>
      <c r="N1020" s="236"/>
    </row>
    <row r="1021" spans="1:14" ht="13.5" customHeight="1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  <c r="N1021" s="236"/>
    </row>
    <row r="1022" spans="1:14" x14ac:dyDescent="0.2">
      <c r="A1022" s="244" t="s">
        <v>32</v>
      </c>
      <c r="B1022" s="311">
        <f>SUM(B1012:B1020)</f>
        <v>73.958000000760308</v>
      </c>
      <c r="C1022" s="311">
        <f t="shared" ref="C1022:D1022" si="373">SUM(C1012:C1020)</f>
        <v>114.55100000145572</v>
      </c>
      <c r="D1022" s="311">
        <f t="shared" si="373"/>
        <v>188.509000002216</v>
      </c>
      <c r="E1022" s="311"/>
      <c r="F1022" s="311">
        <f t="shared" ref="F1022:H1022" si="374">SUM(F1012:F1020)</f>
        <v>74.282999999249569</v>
      </c>
      <c r="G1022" s="311">
        <f t="shared" si="374"/>
        <v>110.73199999965627</v>
      </c>
      <c r="H1022" s="311">
        <f t="shared" si="374"/>
        <v>185.01499999890584</v>
      </c>
      <c r="I1022" s="311"/>
      <c r="J1022" s="311">
        <f t="shared" ref="J1022:L1022" si="375">SUM(J1012:J1020)</f>
        <v>82.319999999744653</v>
      </c>
      <c r="K1022" s="311">
        <f t="shared" si="375"/>
        <v>121.91899999933199</v>
      </c>
      <c r="L1022" s="311">
        <f t="shared" si="375"/>
        <v>204.23899999907664</v>
      </c>
      <c r="M1022" s="236"/>
      <c r="N1022" s="236"/>
    </row>
    <row r="1023" spans="1:14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  <c r="N1023" s="236"/>
    </row>
    <row r="1024" spans="1:14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56" t="s">
        <v>35</v>
      </c>
      <c r="M1024" s="236"/>
      <c r="N1024" s="236"/>
    </row>
    <row r="1025" spans="1:14" x14ac:dyDescent="0.2">
      <c r="A1025" s="242"/>
      <c r="B1025" s="250"/>
      <c r="C1025" s="250"/>
      <c r="D1025" s="250"/>
      <c r="E1025" s="250"/>
      <c r="F1025" s="250"/>
      <c r="G1025" s="250"/>
      <c r="H1025" s="250"/>
      <c r="I1025" s="250"/>
      <c r="J1025" s="250"/>
      <c r="K1025" s="250"/>
      <c r="L1025" s="236"/>
      <c r="M1025" s="236"/>
      <c r="N1025" s="236"/>
    </row>
    <row r="1026" spans="1:14" x14ac:dyDescent="0.2">
      <c r="A1026" s="241" t="str">
        <f>name!A63</f>
        <v>Travel, etc</v>
      </c>
      <c r="B1026" s="372">
        <f>B$6</f>
        <v>2015</v>
      </c>
      <c r="C1026" s="372"/>
      <c r="D1026" s="372"/>
      <c r="E1026" s="253"/>
      <c r="F1026" s="372">
        <f>F$6</f>
        <v>2020</v>
      </c>
      <c r="G1026" s="372"/>
      <c r="H1026" s="372"/>
      <c r="I1026" s="253"/>
      <c r="J1026" s="372">
        <f>J$6</f>
        <v>2035</v>
      </c>
      <c r="K1026" s="372"/>
      <c r="L1026" s="372"/>
      <c r="M1026" s="236"/>
      <c r="N1026" s="236"/>
    </row>
    <row r="1027" spans="1:14" x14ac:dyDescent="0.2">
      <c r="A1027" s="254"/>
      <c r="B1027" s="255" t="s">
        <v>352</v>
      </c>
      <c r="C1027" s="255" t="s">
        <v>353</v>
      </c>
      <c r="D1027" s="255" t="s">
        <v>32</v>
      </c>
      <c r="E1027" s="255"/>
      <c r="F1027" s="255" t="s">
        <v>352</v>
      </c>
      <c r="G1027" s="255" t="s">
        <v>353</v>
      </c>
      <c r="H1027" s="255" t="s">
        <v>32</v>
      </c>
      <c r="I1027" s="255"/>
      <c r="J1027" s="255" t="s">
        <v>352</v>
      </c>
      <c r="K1027" s="255" t="s">
        <v>353</v>
      </c>
      <c r="L1027" s="255" t="s">
        <v>32</v>
      </c>
      <c r="M1027" s="236"/>
      <c r="N1027" s="236"/>
    </row>
    <row r="1028" spans="1:14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  <c r="N1028" s="236"/>
    </row>
    <row r="1029" spans="1:14" x14ac:dyDescent="0.2">
      <c r="A1029" s="237" t="str">
        <f>name!E$4</f>
        <v>Managers, directors and senior officials</v>
      </c>
      <c r="B1029" s="302">
        <v>0.50743294399809058</v>
      </c>
      <c r="C1029" s="302">
        <v>2.6305020078409873</v>
      </c>
      <c r="D1029" s="302">
        <f>SUM(B1029:C1029)</f>
        <v>3.1379349518390778</v>
      </c>
      <c r="E1029" s="303"/>
      <c r="F1029" s="302">
        <v>0.60917850333012413</v>
      </c>
      <c r="G1029" s="302">
        <v>3.0122841360065205</v>
      </c>
      <c r="H1029" s="302">
        <f>SUM(F1029:G1029)</f>
        <v>3.6214626393366447</v>
      </c>
      <c r="I1029" s="303"/>
      <c r="J1029" s="302">
        <v>0.73845881409795788</v>
      </c>
      <c r="K1029" s="302">
        <v>3.5007230540897911</v>
      </c>
      <c r="L1029" s="302">
        <f>SUM(J1029:K1029)</f>
        <v>4.2391818681877487</v>
      </c>
      <c r="M1029" s="236"/>
      <c r="N1029" s="236"/>
    </row>
    <row r="1030" spans="1:14" x14ac:dyDescent="0.2">
      <c r="A1030" s="237" t="str">
        <f>name!E$5</f>
        <v>Professional occupations</v>
      </c>
      <c r="B1030" s="302">
        <v>0.35573013100526385</v>
      </c>
      <c r="C1030" s="302">
        <v>1.7544444172783118</v>
      </c>
      <c r="D1030" s="302">
        <f t="shared" ref="D1030:D1037" si="376">SUM(B1030:C1030)</f>
        <v>2.1101745482835756</v>
      </c>
      <c r="E1030" s="303"/>
      <c r="F1030" s="302">
        <v>0.51376290830019455</v>
      </c>
      <c r="G1030" s="302">
        <v>2.2633476971969091</v>
      </c>
      <c r="H1030" s="302">
        <f t="shared" ref="H1030:H1037" si="377">SUM(F1030:G1030)</f>
        <v>2.7771106054971035</v>
      </c>
      <c r="I1030" s="303"/>
      <c r="J1030" s="302">
        <v>0.6899615305797967</v>
      </c>
      <c r="K1030" s="302">
        <v>3.1836660229798399</v>
      </c>
      <c r="L1030" s="302">
        <f t="shared" ref="L1030:L1037" si="378">SUM(J1030:K1030)</f>
        <v>3.8736275535596367</v>
      </c>
      <c r="M1030" s="236"/>
      <c r="N1030" s="236"/>
    </row>
    <row r="1031" spans="1:14" x14ac:dyDescent="0.2">
      <c r="A1031" s="237" t="str">
        <f>name!E$6</f>
        <v>Associate professional occupations</v>
      </c>
      <c r="B1031" s="302">
        <v>0.3952012309974306</v>
      </c>
      <c r="C1031" s="302">
        <v>1.5751069770767208</v>
      </c>
      <c r="D1031" s="302">
        <f t="shared" si="376"/>
        <v>1.9703082080741514</v>
      </c>
      <c r="E1031" s="303"/>
      <c r="F1031" s="302">
        <v>0.47596503566153758</v>
      </c>
      <c r="G1031" s="302">
        <v>1.8019610701591569</v>
      </c>
      <c r="H1031" s="302">
        <f t="shared" si="377"/>
        <v>2.2779261058206943</v>
      </c>
      <c r="I1031" s="303"/>
      <c r="J1031" s="302">
        <v>0.59634495767244367</v>
      </c>
      <c r="K1031" s="302">
        <v>1.9624983195348942</v>
      </c>
      <c r="L1031" s="302">
        <f t="shared" si="378"/>
        <v>2.558843277207338</v>
      </c>
      <c r="M1031" s="236"/>
      <c r="N1031" s="236"/>
    </row>
    <row r="1032" spans="1:14" x14ac:dyDescent="0.2">
      <c r="A1032" s="237" t="str">
        <f>name!E$7</f>
        <v>Administrative and secretarial occupations</v>
      </c>
      <c r="B1032" s="302">
        <v>1.0532130373426176</v>
      </c>
      <c r="C1032" s="302">
        <v>1.4957908690444561</v>
      </c>
      <c r="D1032" s="302">
        <f t="shared" si="376"/>
        <v>2.5490039063870737</v>
      </c>
      <c r="E1032" s="303"/>
      <c r="F1032" s="302">
        <v>1.1345957786627343</v>
      </c>
      <c r="G1032" s="302">
        <v>1.7154020185476226</v>
      </c>
      <c r="H1032" s="302">
        <f t="shared" si="377"/>
        <v>2.849997797210357</v>
      </c>
      <c r="I1032" s="303"/>
      <c r="J1032" s="302">
        <v>0.95783353480179967</v>
      </c>
      <c r="K1032" s="302">
        <v>1.9620498795156598</v>
      </c>
      <c r="L1032" s="302">
        <f t="shared" si="378"/>
        <v>2.9198834143174595</v>
      </c>
      <c r="M1032" s="236"/>
      <c r="N1032" s="236"/>
    </row>
    <row r="1033" spans="1:14" x14ac:dyDescent="0.2">
      <c r="A1033" s="237" t="str">
        <f>name!E$8</f>
        <v>Skilled trades occupations</v>
      </c>
      <c r="B1033" s="302">
        <v>4.867877454306422E-2</v>
      </c>
      <c r="C1033" s="302">
        <v>0.59060537059484841</v>
      </c>
      <c r="D1033" s="302">
        <f t="shared" si="376"/>
        <v>0.63928414513791265</v>
      </c>
      <c r="E1033" s="303"/>
      <c r="F1033" s="302">
        <v>5.1931677173735043E-2</v>
      </c>
      <c r="G1033" s="302">
        <v>0.46742035485465205</v>
      </c>
      <c r="H1033" s="302">
        <f t="shared" si="377"/>
        <v>0.51935203202838709</v>
      </c>
      <c r="I1033" s="303"/>
      <c r="J1033" s="302">
        <v>0.1207961341268908</v>
      </c>
      <c r="K1033" s="302">
        <v>0.535194098782238</v>
      </c>
      <c r="L1033" s="302">
        <f t="shared" si="378"/>
        <v>0.65599023290912883</v>
      </c>
      <c r="M1033" s="236"/>
      <c r="N1033" s="236"/>
    </row>
    <row r="1034" spans="1:14" x14ac:dyDescent="0.2">
      <c r="A1034" s="237" t="str">
        <f>name!E$9</f>
        <v>Caring, leisure and other service occupations</v>
      </c>
      <c r="B1034" s="302">
        <v>2.6640882654748368</v>
      </c>
      <c r="C1034" s="302">
        <v>1.1741656987118771</v>
      </c>
      <c r="D1034" s="302">
        <f t="shared" si="376"/>
        <v>3.8382539641867139</v>
      </c>
      <c r="E1034" s="303"/>
      <c r="F1034" s="302">
        <v>2.2612763353947942</v>
      </c>
      <c r="G1034" s="302">
        <v>1.2743059982437628</v>
      </c>
      <c r="H1034" s="302">
        <f t="shared" si="377"/>
        <v>3.535582333638557</v>
      </c>
      <c r="I1034" s="303"/>
      <c r="J1034" s="302">
        <v>2.33073264705568</v>
      </c>
      <c r="K1034" s="302">
        <v>1.4541406207540544</v>
      </c>
      <c r="L1034" s="302">
        <f t="shared" si="378"/>
        <v>3.7848732678097345</v>
      </c>
      <c r="M1034" s="236"/>
      <c r="N1034" s="236"/>
    </row>
    <row r="1035" spans="1:14" x14ac:dyDescent="0.2">
      <c r="A1035" s="237" t="str">
        <f>name!E$10</f>
        <v>Sales and customer service occupations</v>
      </c>
      <c r="B1035" s="302">
        <v>0.42160586937158961</v>
      </c>
      <c r="C1035" s="302">
        <v>0.80708633960339327</v>
      </c>
      <c r="D1035" s="302">
        <f t="shared" si="376"/>
        <v>1.2286922089749828</v>
      </c>
      <c r="E1035" s="303"/>
      <c r="F1035" s="302">
        <v>0.42008998848630802</v>
      </c>
      <c r="G1035" s="302">
        <v>0.78204884065443037</v>
      </c>
      <c r="H1035" s="302">
        <f t="shared" si="377"/>
        <v>1.2021388291407384</v>
      </c>
      <c r="I1035" s="303"/>
      <c r="J1035" s="302">
        <v>0.52156310286354546</v>
      </c>
      <c r="K1035" s="302">
        <v>0.96817651823010564</v>
      </c>
      <c r="L1035" s="302">
        <f t="shared" si="378"/>
        <v>1.4897396210936511</v>
      </c>
      <c r="M1035" s="236"/>
      <c r="N1035" s="236"/>
    </row>
    <row r="1036" spans="1:14" x14ac:dyDescent="0.2">
      <c r="A1036" s="237" t="str">
        <f>name!E$11</f>
        <v>Process, plant and machine operatives</v>
      </c>
      <c r="B1036" s="302">
        <v>0.20657450721255177</v>
      </c>
      <c r="C1036" s="302">
        <v>4.9970129000993131</v>
      </c>
      <c r="D1036" s="302">
        <f t="shared" si="376"/>
        <v>5.2035874073118649</v>
      </c>
      <c r="E1036" s="303"/>
      <c r="F1036" s="302">
        <v>0.19858942819288175</v>
      </c>
      <c r="G1036" s="302">
        <v>4.6111830476651221</v>
      </c>
      <c r="H1036" s="302">
        <f t="shared" si="377"/>
        <v>4.8097724758580043</v>
      </c>
      <c r="I1036" s="303"/>
      <c r="J1036" s="302">
        <v>0.43313325207375569</v>
      </c>
      <c r="K1036" s="302">
        <v>5.0533024952234493</v>
      </c>
      <c r="L1036" s="302">
        <f t="shared" si="378"/>
        <v>5.4864357472972047</v>
      </c>
      <c r="M1036" s="236"/>
      <c r="N1036" s="236"/>
    </row>
    <row r="1037" spans="1:14" x14ac:dyDescent="0.2">
      <c r="A1037" s="237" t="str">
        <f>name!E$12</f>
        <v>Elementary occupations</v>
      </c>
      <c r="B1037" s="302">
        <v>0.36047524012588467</v>
      </c>
      <c r="C1037" s="302">
        <v>3.7772854201504149</v>
      </c>
      <c r="D1037" s="302">
        <f t="shared" si="376"/>
        <v>4.1377606602762995</v>
      </c>
      <c r="E1037" s="303"/>
      <c r="F1037" s="302">
        <v>0.30561034468673803</v>
      </c>
      <c r="G1037" s="302">
        <v>3.0370468363569345</v>
      </c>
      <c r="H1037" s="302">
        <f t="shared" si="377"/>
        <v>3.3426571810436725</v>
      </c>
      <c r="I1037" s="303"/>
      <c r="J1037" s="302">
        <v>0.31517602666608929</v>
      </c>
      <c r="K1037" s="302">
        <v>2.319248990468191</v>
      </c>
      <c r="L1037" s="302">
        <f t="shared" si="378"/>
        <v>2.6344250171342805</v>
      </c>
      <c r="M1037" s="236"/>
      <c r="N1037" s="236"/>
    </row>
    <row r="1038" spans="1:14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  <c r="N1038" s="236"/>
    </row>
    <row r="1039" spans="1:14" x14ac:dyDescent="0.2">
      <c r="A1039" s="244" t="s">
        <v>32</v>
      </c>
      <c r="B1039" s="311">
        <f>SUM(B1029:B1037)</f>
        <v>6.0130000000713286</v>
      </c>
      <c r="C1039" s="311">
        <f t="shared" ref="C1039:D1039" si="379">SUM(C1029:C1037)</f>
        <v>18.802000000400319</v>
      </c>
      <c r="D1039" s="311">
        <f t="shared" si="379"/>
        <v>24.815000000471652</v>
      </c>
      <c r="E1039" s="311"/>
      <c r="F1039" s="311">
        <f t="shared" ref="F1039:H1039" si="380">SUM(F1029:F1037)</f>
        <v>5.9709999998890488</v>
      </c>
      <c r="G1039" s="311">
        <f t="shared" si="380"/>
        <v>18.964999999685112</v>
      </c>
      <c r="H1039" s="311">
        <f t="shared" si="380"/>
        <v>24.935999999574157</v>
      </c>
      <c r="I1039" s="311"/>
      <c r="J1039" s="311">
        <f t="shared" ref="J1039:L1039" si="381">SUM(J1029:J1037)</f>
        <v>6.7039999999379587</v>
      </c>
      <c r="K1039" s="311">
        <f t="shared" si="381"/>
        <v>20.938999999578222</v>
      </c>
      <c r="L1039" s="311">
        <f t="shared" si="381"/>
        <v>27.642999999516181</v>
      </c>
      <c r="M1039" s="236"/>
      <c r="N1039" s="236"/>
    </row>
    <row r="1040" spans="1:14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  <c r="N1040" s="236"/>
    </row>
    <row r="1041" spans="1:14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56" t="s">
        <v>35</v>
      </c>
      <c r="M1041" s="236"/>
      <c r="N1041" s="236"/>
    </row>
    <row r="1042" spans="1:14" x14ac:dyDescent="0.2">
      <c r="A1042" s="242"/>
      <c r="B1042" s="250"/>
      <c r="C1042" s="250"/>
      <c r="D1042" s="250"/>
      <c r="E1042" s="250"/>
      <c r="F1042" s="250"/>
      <c r="G1042" s="250"/>
      <c r="H1042" s="250"/>
      <c r="I1042" s="250"/>
      <c r="J1042" s="250"/>
      <c r="K1042" s="250"/>
      <c r="L1042" s="236"/>
      <c r="M1042" s="236"/>
      <c r="N1042" s="236"/>
    </row>
    <row r="1043" spans="1:14" x14ac:dyDescent="0.2">
      <c r="A1043" s="241" t="str">
        <f>name!A64</f>
        <v>Security, etc</v>
      </c>
      <c r="B1043" s="372">
        <f>B$6</f>
        <v>2015</v>
      </c>
      <c r="C1043" s="372"/>
      <c r="D1043" s="372"/>
      <c r="E1043" s="253"/>
      <c r="F1043" s="372">
        <f>F$6</f>
        <v>2020</v>
      </c>
      <c r="G1043" s="372"/>
      <c r="H1043" s="372"/>
      <c r="I1043" s="253"/>
      <c r="J1043" s="372">
        <f>J$6</f>
        <v>2035</v>
      </c>
      <c r="K1043" s="372"/>
      <c r="L1043" s="372"/>
      <c r="M1043" s="236"/>
      <c r="N1043" s="236"/>
    </row>
    <row r="1044" spans="1:14" x14ac:dyDescent="0.2">
      <c r="A1044" s="254"/>
      <c r="B1044" s="255" t="s">
        <v>352</v>
      </c>
      <c r="C1044" s="255" t="s">
        <v>353</v>
      </c>
      <c r="D1044" s="255" t="s">
        <v>32</v>
      </c>
      <c r="E1044" s="255"/>
      <c r="F1044" s="255" t="s">
        <v>352</v>
      </c>
      <c r="G1044" s="255" t="s">
        <v>353</v>
      </c>
      <c r="H1044" s="255" t="s">
        <v>32</v>
      </c>
      <c r="I1044" s="255"/>
      <c r="J1044" s="255" t="s">
        <v>352</v>
      </c>
      <c r="K1044" s="255" t="s">
        <v>353</v>
      </c>
      <c r="L1044" s="255" t="s">
        <v>32</v>
      </c>
      <c r="M1044" s="236"/>
      <c r="N1044" s="236"/>
    </row>
    <row r="1045" spans="1:14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  <c r="N1045" s="236"/>
    </row>
    <row r="1046" spans="1:14" x14ac:dyDescent="0.2">
      <c r="A1046" s="237" t="str">
        <f>name!E$4</f>
        <v>Managers, directors and senior officials</v>
      </c>
      <c r="B1046" s="302">
        <v>1.5278331147395974</v>
      </c>
      <c r="C1046" s="302">
        <v>6.6023969865442611</v>
      </c>
      <c r="D1046" s="302">
        <f>SUM(B1046:C1046)</f>
        <v>8.1302301012838587</v>
      </c>
      <c r="E1046" s="303"/>
      <c r="F1046" s="302">
        <v>1.4927985873784473</v>
      </c>
      <c r="G1046" s="302">
        <v>5.857089595892023</v>
      </c>
      <c r="H1046" s="302">
        <f>SUM(F1046:G1046)</f>
        <v>7.3498881832704708</v>
      </c>
      <c r="I1046" s="303"/>
      <c r="J1046" s="302">
        <v>1.9014407399416919</v>
      </c>
      <c r="K1046" s="302">
        <v>6.6280799631010172</v>
      </c>
      <c r="L1046" s="302">
        <f>SUM(J1046:K1046)</f>
        <v>8.52952070304271</v>
      </c>
      <c r="M1046" s="236"/>
      <c r="N1046" s="236"/>
    </row>
    <row r="1047" spans="1:14" x14ac:dyDescent="0.2">
      <c r="A1047" s="237" t="str">
        <f>name!E$5</f>
        <v>Professional occupations</v>
      </c>
      <c r="B1047" s="302">
        <v>2.4431914769600396</v>
      </c>
      <c r="C1047" s="302">
        <v>8.069870142596562</v>
      </c>
      <c r="D1047" s="302">
        <f t="shared" ref="D1047:D1054" si="382">SUM(B1047:C1047)</f>
        <v>10.513061619556602</v>
      </c>
      <c r="E1047" s="303"/>
      <c r="F1047" s="302">
        <v>2.6413669219851172</v>
      </c>
      <c r="G1047" s="302">
        <v>8.1888601492802149</v>
      </c>
      <c r="H1047" s="302">
        <f t="shared" ref="H1047:H1054" si="383">SUM(F1047:G1047)</f>
        <v>10.830227071265332</v>
      </c>
      <c r="I1047" s="303"/>
      <c r="J1047" s="302">
        <v>3.3645981514110925</v>
      </c>
      <c r="K1047" s="302">
        <v>10.907412576786074</v>
      </c>
      <c r="L1047" s="302">
        <f t="shared" ref="L1047:L1054" si="384">SUM(J1047:K1047)</f>
        <v>14.272010728197166</v>
      </c>
      <c r="M1047" s="236"/>
      <c r="N1047" s="236"/>
    </row>
    <row r="1048" spans="1:14" x14ac:dyDescent="0.2">
      <c r="A1048" s="237" t="str">
        <f>name!E$6</f>
        <v>Associate professional occupations</v>
      </c>
      <c r="B1048" s="302">
        <v>2.5758249116387164</v>
      </c>
      <c r="C1048" s="302">
        <v>11.775176869047515</v>
      </c>
      <c r="D1048" s="302">
        <f t="shared" si="382"/>
        <v>14.351001780686232</v>
      </c>
      <c r="E1048" s="303"/>
      <c r="F1048" s="302">
        <v>2.5170167300692672</v>
      </c>
      <c r="G1048" s="302">
        <v>10.445637863739421</v>
      </c>
      <c r="H1048" s="302">
        <f t="shared" si="383"/>
        <v>12.962654593808688</v>
      </c>
      <c r="I1048" s="303"/>
      <c r="J1048" s="302">
        <v>2.674092760337488</v>
      </c>
      <c r="K1048" s="302">
        <v>10.682523119699598</v>
      </c>
      <c r="L1048" s="302">
        <f t="shared" si="384"/>
        <v>13.356615880037086</v>
      </c>
      <c r="M1048" s="236"/>
      <c r="N1048" s="236"/>
    </row>
    <row r="1049" spans="1:14" x14ac:dyDescent="0.2">
      <c r="A1049" s="237" t="str">
        <f>name!E$7</f>
        <v>Administrative and secretarial occupations</v>
      </c>
      <c r="B1049" s="302">
        <v>1.9970206577994467</v>
      </c>
      <c r="C1049" s="302">
        <v>1.9165351154383345</v>
      </c>
      <c r="D1049" s="302">
        <f t="shared" si="382"/>
        <v>3.913555773237781</v>
      </c>
      <c r="E1049" s="303"/>
      <c r="F1049" s="302">
        <v>1.5661495069070035</v>
      </c>
      <c r="G1049" s="302">
        <v>1.7082690741804958</v>
      </c>
      <c r="H1049" s="302">
        <f t="shared" si="383"/>
        <v>3.2744185810874993</v>
      </c>
      <c r="I1049" s="303"/>
      <c r="J1049" s="302">
        <v>1.4082798875631928</v>
      </c>
      <c r="K1049" s="302">
        <v>1.7666931814350655</v>
      </c>
      <c r="L1049" s="302">
        <f t="shared" si="384"/>
        <v>3.1749730689982583</v>
      </c>
      <c r="M1049" s="236"/>
      <c r="N1049" s="236"/>
    </row>
    <row r="1050" spans="1:14" x14ac:dyDescent="0.2">
      <c r="A1050" s="237" t="str">
        <f>name!E$8</f>
        <v>Skilled trades occupations</v>
      </c>
      <c r="B1050" s="302">
        <v>0.13361396794735006</v>
      </c>
      <c r="C1050" s="302">
        <v>1.9175740736151639</v>
      </c>
      <c r="D1050" s="302">
        <f t="shared" si="382"/>
        <v>2.0511880415625141</v>
      </c>
      <c r="E1050" s="303"/>
      <c r="F1050" s="302">
        <v>0.1212569537988613</v>
      </c>
      <c r="G1050" s="302">
        <v>1.1308114109327603</v>
      </c>
      <c r="H1050" s="302">
        <f t="shared" si="383"/>
        <v>1.2520683647316215</v>
      </c>
      <c r="I1050" s="303"/>
      <c r="J1050" s="302">
        <v>0.18948293375739092</v>
      </c>
      <c r="K1050" s="302">
        <v>0.99649910162737909</v>
      </c>
      <c r="L1050" s="302">
        <f t="shared" si="384"/>
        <v>1.1859820353847701</v>
      </c>
      <c r="M1050" s="236"/>
      <c r="N1050" s="236"/>
    </row>
    <row r="1051" spans="1:14" x14ac:dyDescent="0.2">
      <c r="A1051" s="237" t="str">
        <f>name!E$9</f>
        <v>Caring, leisure and other service occupations</v>
      </c>
      <c r="B1051" s="302">
        <v>1.0042420416845534</v>
      </c>
      <c r="C1051" s="302">
        <v>1.2986929914044247</v>
      </c>
      <c r="D1051" s="302">
        <f t="shared" si="382"/>
        <v>2.3029350330889784</v>
      </c>
      <c r="E1051" s="303"/>
      <c r="F1051" s="302">
        <v>0.76859256355647554</v>
      </c>
      <c r="G1051" s="302">
        <v>1.0675350004810917</v>
      </c>
      <c r="H1051" s="302">
        <f t="shared" si="383"/>
        <v>1.8361275640375672</v>
      </c>
      <c r="I1051" s="303"/>
      <c r="J1051" s="302">
        <v>0.88968812857104862</v>
      </c>
      <c r="K1051" s="302">
        <v>1.2379864192031482</v>
      </c>
      <c r="L1051" s="302">
        <f t="shared" si="384"/>
        <v>2.127674547774197</v>
      </c>
      <c r="M1051" s="236"/>
      <c r="N1051" s="236"/>
    </row>
    <row r="1052" spans="1:14" x14ac:dyDescent="0.2">
      <c r="A1052" s="237" t="str">
        <f>name!E$10</f>
        <v>Sales and customer service occupations</v>
      </c>
      <c r="B1052" s="302">
        <v>0.72274646788985752</v>
      </c>
      <c r="C1052" s="302">
        <v>2.4133960880071474</v>
      </c>
      <c r="D1052" s="302">
        <f t="shared" si="382"/>
        <v>3.1361425558970049</v>
      </c>
      <c r="E1052" s="303"/>
      <c r="F1052" s="302">
        <v>0.58909581727935256</v>
      </c>
      <c r="G1052" s="302">
        <v>1.8114646709422901</v>
      </c>
      <c r="H1052" s="302">
        <f t="shared" si="383"/>
        <v>2.4005604882216427</v>
      </c>
      <c r="I1052" s="303"/>
      <c r="J1052" s="302">
        <v>0.77155129272953304</v>
      </c>
      <c r="K1052" s="302">
        <v>2.1003364472436616</v>
      </c>
      <c r="L1052" s="302">
        <f t="shared" si="384"/>
        <v>2.8718877399731948</v>
      </c>
      <c r="M1052" s="236"/>
      <c r="N1052" s="236"/>
    </row>
    <row r="1053" spans="1:14" x14ac:dyDescent="0.2">
      <c r="A1053" s="237" t="str">
        <f>name!E$11</f>
        <v>Process, plant and machine operatives</v>
      </c>
      <c r="B1053" s="302">
        <v>6.7237735675253568E-2</v>
      </c>
      <c r="C1053" s="302">
        <v>1.3665906552098857</v>
      </c>
      <c r="D1053" s="302">
        <f t="shared" si="382"/>
        <v>1.4338283908851392</v>
      </c>
      <c r="E1053" s="303"/>
      <c r="F1053" s="302">
        <v>4.3058885274276565E-2</v>
      </c>
      <c r="G1053" s="302">
        <v>0.93357714695048244</v>
      </c>
      <c r="H1053" s="302">
        <f t="shared" si="383"/>
        <v>0.97663603222475903</v>
      </c>
      <c r="I1053" s="303"/>
      <c r="J1053" s="302">
        <v>4.9482172492866128E-2</v>
      </c>
      <c r="K1053" s="302">
        <v>0.87687063434534718</v>
      </c>
      <c r="L1053" s="302">
        <f t="shared" si="384"/>
        <v>0.92635280683821331</v>
      </c>
      <c r="M1053" s="236"/>
      <c r="N1053" s="236"/>
    </row>
    <row r="1054" spans="1:14" x14ac:dyDescent="0.2">
      <c r="A1054" s="237" t="str">
        <f>name!E$12</f>
        <v>Elementary occupations</v>
      </c>
      <c r="B1054" s="302">
        <v>2.8802896257700819</v>
      </c>
      <c r="C1054" s="302">
        <v>12.597767078702223</v>
      </c>
      <c r="D1054" s="302">
        <f t="shared" si="382"/>
        <v>15.478056704472305</v>
      </c>
      <c r="E1054" s="303"/>
      <c r="F1054" s="302">
        <v>1.8346640336500433</v>
      </c>
      <c r="G1054" s="302">
        <v>8.4397550875243255</v>
      </c>
      <c r="H1054" s="302">
        <f t="shared" si="383"/>
        <v>10.274419121174368</v>
      </c>
      <c r="I1054" s="303"/>
      <c r="J1054" s="302">
        <v>1.8003839331387586</v>
      </c>
      <c r="K1054" s="302">
        <v>8.4835985563452496</v>
      </c>
      <c r="L1054" s="302">
        <f t="shared" si="384"/>
        <v>10.283982489484009</v>
      </c>
      <c r="M1054" s="236"/>
      <c r="N1054" s="236"/>
    </row>
    <row r="1055" spans="1:14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  <c r="N1055" s="236"/>
    </row>
    <row r="1056" spans="1:14" x14ac:dyDescent="0.2">
      <c r="A1056" s="244" t="s">
        <v>32</v>
      </c>
      <c r="B1056" s="311">
        <f>SUM(B1046:B1054)</f>
        <v>13.352000000104896</v>
      </c>
      <c r="C1056" s="311">
        <f t="shared" ref="C1056:D1056" si="385">SUM(C1046:C1054)</f>
        <v>47.958000000565519</v>
      </c>
      <c r="D1056" s="311">
        <f t="shared" si="385"/>
        <v>61.310000000670414</v>
      </c>
      <c r="E1056" s="311"/>
      <c r="F1056" s="311">
        <f t="shared" ref="F1056:H1056" si="386">SUM(F1046:F1054)</f>
        <v>11.573999999898843</v>
      </c>
      <c r="G1056" s="311">
        <f t="shared" si="386"/>
        <v>39.582999999923103</v>
      </c>
      <c r="H1056" s="311">
        <f t="shared" si="386"/>
        <v>51.156999999821956</v>
      </c>
      <c r="I1056" s="311"/>
      <c r="J1056" s="311">
        <f t="shared" ref="J1056:L1056" si="387">SUM(J1046:J1054)</f>
        <v>13.048999999943064</v>
      </c>
      <c r="K1056" s="311">
        <f t="shared" si="387"/>
        <v>43.679999999786538</v>
      </c>
      <c r="L1056" s="311">
        <f t="shared" si="387"/>
        <v>56.728999999729602</v>
      </c>
      <c r="M1056" s="236"/>
      <c r="N1056" s="236"/>
    </row>
    <row r="1057" spans="1:14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  <c r="N1057" s="236"/>
    </row>
    <row r="1058" spans="1:14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56" t="s">
        <v>35</v>
      </c>
      <c r="M1058" s="236"/>
      <c r="N1058" s="236"/>
    </row>
    <row r="1059" spans="1:14" x14ac:dyDescent="0.2">
      <c r="A1059" s="242"/>
      <c r="B1059" s="250"/>
      <c r="C1059" s="250"/>
      <c r="D1059" s="250"/>
      <c r="E1059" s="250"/>
      <c r="F1059" s="250"/>
      <c r="G1059" s="250"/>
      <c r="H1059" s="250"/>
      <c r="I1059" s="250"/>
      <c r="J1059" s="250"/>
      <c r="K1059" s="250"/>
      <c r="L1059" s="236"/>
      <c r="M1059" s="236"/>
      <c r="N1059" s="236"/>
    </row>
    <row r="1060" spans="1:14" x14ac:dyDescent="0.2">
      <c r="A1060" s="241" t="str">
        <f>name!A65</f>
        <v>Services to buildings</v>
      </c>
      <c r="B1060" s="372">
        <f>B$6</f>
        <v>2015</v>
      </c>
      <c r="C1060" s="372"/>
      <c r="D1060" s="372"/>
      <c r="E1060" s="253"/>
      <c r="F1060" s="372">
        <f>F$6</f>
        <v>2020</v>
      </c>
      <c r="G1060" s="372"/>
      <c r="H1060" s="372"/>
      <c r="I1060" s="253"/>
      <c r="J1060" s="372">
        <f>J$6</f>
        <v>2035</v>
      </c>
      <c r="K1060" s="372"/>
      <c r="L1060" s="372"/>
      <c r="M1060" s="236"/>
      <c r="N1060" s="236"/>
    </row>
    <row r="1061" spans="1:14" x14ac:dyDescent="0.2">
      <c r="A1061" s="254"/>
      <c r="B1061" s="255" t="s">
        <v>352</v>
      </c>
      <c r="C1061" s="255" t="s">
        <v>353</v>
      </c>
      <c r="D1061" s="255" t="s">
        <v>32</v>
      </c>
      <c r="E1061" s="255"/>
      <c r="F1061" s="255" t="s">
        <v>352</v>
      </c>
      <c r="G1061" s="255" t="s">
        <v>353</v>
      </c>
      <c r="H1061" s="255" t="s">
        <v>32</v>
      </c>
      <c r="I1061" s="255"/>
      <c r="J1061" s="255" t="s">
        <v>352</v>
      </c>
      <c r="K1061" s="255" t="s">
        <v>353</v>
      </c>
      <c r="L1061" s="255" t="s">
        <v>32</v>
      </c>
      <c r="M1061" s="236"/>
      <c r="N1061" s="236"/>
    </row>
    <row r="1062" spans="1:14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  <c r="N1062" s="236"/>
    </row>
    <row r="1063" spans="1:14" x14ac:dyDescent="0.2">
      <c r="A1063" s="237" t="str">
        <f>name!E$4</f>
        <v>Managers, directors and senior officials</v>
      </c>
      <c r="B1063" s="302">
        <v>11.058801045362404</v>
      </c>
      <c r="C1063" s="302">
        <v>9.395161221317359</v>
      </c>
      <c r="D1063" s="302">
        <f>SUM(B1063:C1063)</f>
        <v>20.453962266679763</v>
      </c>
      <c r="E1063" s="303"/>
      <c r="F1063" s="302">
        <v>11.512763573281415</v>
      </c>
      <c r="G1063" s="302">
        <v>8.5860971716717618</v>
      </c>
      <c r="H1063" s="302">
        <f>SUM(F1063:G1063)</f>
        <v>20.098860744953178</v>
      </c>
      <c r="I1063" s="303"/>
      <c r="J1063" s="302">
        <v>14.201284830766228</v>
      </c>
      <c r="K1063" s="302">
        <v>10.042797165767213</v>
      </c>
      <c r="L1063" s="302">
        <f>SUM(J1063:K1063)</f>
        <v>24.244081996533442</v>
      </c>
      <c r="M1063" s="236"/>
      <c r="N1063" s="236"/>
    </row>
    <row r="1064" spans="1:14" x14ac:dyDescent="0.2">
      <c r="A1064" s="237" t="str">
        <f>name!E$5</f>
        <v>Professional occupations</v>
      </c>
      <c r="B1064" s="302">
        <v>21.808377755709728</v>
      </c>
      <c r="C1064" s="302">
        <v>9.6423928443802467</v>
      </c>
      <c r="D1064" s="302">
        <f t="shared" ref="D1064:D1071" si="388">SUM(B1064:C1064)</f>
        <v>31.450770600089974</v>
      </c>
      <c r="E1064" s="303"/>
      <c r="F1064" s="302">
        <v>23.456337986619232</v>
      </c>
      <c r="G1064" s="302">
        <v>10.326150488617316</v>
      </c>
      <c r="H1064" s="302">
        <f t="shared" ref="H1064:H1071" si="389">SUM(F1064:G1064)</f>
        <v>33.782488475236548</v>
      </c>
      <c r="I1064" s="303"/>
      <c r="J1064" s="302">
        <v>30.383923242059748</v>
      </c>
      <c r="K1064" s="302">
        <v>13.82125564556911</v>
      </c>
      <c r="L1064" s="302">
        <f t="shared" ref="L1064:L1071" si="390">SUM(J1064:K1064)</f>
        <v>44.205178887628861</v>
      </c>
      <c r="M1064" s="236"/>
      <c r="N1064" s="236"/>
    </row>
    <row r="1065" spans="1:14" x14ac:dyDescent="0.2">
      <c r="A1065" s="237" t="str">
        <f>name!E$6</f>
        <v>Associate professional occupations</v>
      </c>
      <c r="B1065" s="302">
        <v>21.937803425144107</v>
      </c>
      <c r="C1065" s="302">
        <v>12.040444783123775</v>
      </c>
      <c r="D1065" s="302">
        <f t="shared" si="388"/>
        <v>33.978248208267885</v>
      </c>
      <c r="E1065" s="303"/>
      <c r="F1065" s="302">
        <v>21.879702293948387</v>
      </c>
      <c r="G1065" s="302">
        <v>10.634908200482096</v>
      </c>
      <c r="H1065" s="302">
        <f t="shared" si="389"/>
        <v>32.514610494430485</v>
      </c>
      <c r="I1065" s="303"/>
      <c r="J1065" s="302">
        <v>25.939019929154377</v>
      </c>
      <c r="K1065" s="302">
        <v>10.327345064692487</v>
      </c>
      <c r="L1065" s="302">
        <f t="shared" si="390"/>
        <v>36.266364993846864</v>
      </c>
      <c r="M1065" s="236"/>
      <c r="N1065" s="236"/>
    </row>
    <row r="1066" spans="1:14" x14ac:dyDescent="0.2">
      <c r="A1066" s="237" t="str">
        <f>name!E$7</f>
        <v>Administrative and secretarial occupations</v>
      </c>
      <c r="B1066" s="302">
        <v>19.813233244202923</v>
      </c>
      <c r="C1066" s="302">
        <v>2.1906390375776734</v>
      </c>
      <c r="D1066" s="302">
        <f t="shared" si="388"/>
        <v>22.003872281780595</v>
      </c>
      <c r="E1066" s="303"/>
      <c r="F1066" s="302">
        <v>16.747062271950039</v>
      </c>
      <c r="G1066" s="302">
        <v>1.9598926624394535</v>
      </c>
      <c r="H1066" s="302">
        <f t="shared" si="389"/>
        <v>18.706954934389493</v>
      </c>
      <c r="I1066" s="303"/>
      <c r="J1066" s="302">
        <v>15.848978306956967</v>
      </c>
      <c r="K1066" s="302">
        <v>1.6712515013170053</v>
      </c>
      <c r="L1066" s="302">
        <f t="shared" si="390"/>
        <v>17.520229808273971</v>
      </c>
      <c r="M1066" s="236"/>
      <c r="N1066" s="236"/>
    </row>
    <row r="1067" spans="1:14" x14ac:dyDescent="0.2">
      <c r="A1067" s="237" t="str">
        <f>name!E$8</f>
        <v>Skilled trades occupations</v>
      </c>
      <c r="B1067" s="302">
        <v>1.3934135107377683</v>
      </c>
      <c r="C1067" s="302">
        <v>2.9725769232237265</v>
      </c>
      <c r="D1067" s="302">
        <f t="shared" si="388"/>
        <v>4.3659904339614943</v>
      </c>
      <c r="E1067" s="303"/>
      <c r="F1067" s="302">
        <v>1.3035904808598193</v>
      </c>
      <c r="G1067" s="302">
        <v>1.7283501698258839</v>
      </c>
      <c r="H1067" s="302">
        <f t="shared" si="389"/>
        <v>3.0319406506857032</v>
      </c>
      <c r="I1067" s="303"/>
      <c r="J1067" s="302">
        <v>2.1010853187981939</v>
      </c>
      <c r="K1067" s="302">
        <v>1.7740350148124275</v>
      </c>
      <c r="L1067" s="302">
        <f t="shared" si="390"/>
        <v>3.8751203336106217</v>
      </c>
      <c r="M1067" s="236"/>
      <c r="N1067" s="236"/>
    </row>
    <row r="1068" spans="1:14" x14ac:dyDescent="0.2">
      <c r="A1068" s="237" t="str">
        <f>name!E$9</f>
        <v>Caring, leisure and other service occupations</v>
      </c>
      <c r="B1068" s="302">
        <v>11.258294815191833</v>
      </c>
      <c r="C1068" s="302">
        <v>2.5192820949982218</v>
      </c>
      <c r="D1068" s="302">
        <f t="shared" si="388"/>
        <v>13.777576910190055</v>
      </c>
      <c r="E1068" s="303"/>
      <c r="F1068" s="302">
        <v>9.7342303380789268</v>
      </c>
      <c r="G1068" s="302">
        <v>2.3613809461228441</v>
      </c>
      <c r="H1068" s="302">
        <f t="shared" si="389"/>
        <v>12.095611284201771</v>
      </c>
      <c r="I1068" s="303"/>
      <c r="J1068" s="302">
        <v>11.377323248290377</v>
      </c>
      <c r="K1068" s="302">
        <v>2.9615319425494624</v>
      </c>
      <c r="L1068" s="302">
        <f t="shared" si="390"/>
        <v>14.338855190839841</v>
      </c>
      <c r="M1068" s="236"/>
      <c r="N1068" s="236"/>
    </row>
    <row r="1069" spans="1:14" x14ac:dyDescent="0.2">
      <c r="A1069" s="237" t="str">
        <f>name!E$10</f>
        <v>Sales and customer service occupations</v>
      </c>
      <c r="B1069" s="302">
        <v>6.8290978157816884</v>
      </c>
      <c r="C1069" s="302">
        <v>3.3210229077306486</v>
      </c>
      <c r="D1069" s="302">
        <f t="shared" si="388"/>
        <v>10.150120723512337</v>
      </c>
      <c r="E1069" s="303"/>
      <c r="F1069" s="302">
        <v>6.0424336330666373</v>
      </c>
      <c r="G1069" s="302">
        <v>2.456659304835187</v>
      </c>
      <c r="H1069" s="302">
        <f t="shared" si="389"/>
        <v>8.4990929379018247</v>
      </c>
      <c r="I1069" s="303"/>
      <c r="J1069" s="302">
        <v>8.5622744681133707</v>
      </c>
      <c r="K1069" s="302">
        <v>2.8478419286813867</v>
      </c>
      <c r="L1069" s="302">
        <f t="shared" si="390"/>
        <v>11.410116396794757</v>
      </c>
      <c r="M1069" s="236"/>
      <c r="N1069" s="236"/>
    </row>
    <row r="1070" spans="1:14" x14ac:dyDescent="0.2">
      <c r="A1070" s="237" t="str">
        <f>name!E$11</f>
        <v>Process, plant and machine operatives</v>
      </c>
      <c r="B1070" s="302">
        <v>0.54395257735440961</v>
      </c>
      <c r="C1070" s="302">
        <v>2.3022400799763005</v>
      </c>
      <c r="D1070" s="302">
        <f t="shared" si="388"/>
        <v>2.8461926573307101</v>
      </c>
      <c r="E1070" s="303"/>
      <c r="F1070" s="302">
        <v>0.37388345607093898</v>
      </c>
      <c r="G1070" s="302">
        <v>1.9426433178761118</v>
      </c>
      <c r="H1070" s="302">
        <f t="shared" si="389"/>
        <v>2.316526773947051</v>
      </c>
      <c r="I1070" s="303"/>
      <c r="J1070" s="302">
        <v>0.68188969673276401</v>
      </c>
      <c r="K1070" s="302">
        <v>2.0106743609389301</v>
      </c>
      <c r="L1070" s="302">
        <f t="shared" si="390"/>
        <v>2.692564057671694</v>
      </c>
      <c r="M1070" s="236"/>
      <c r="N1070" s="236"/>
    </row>
    <row r="1071" spans="1:14" x14ac:dyDescent="0.2">
      <c r="A1071" s="237" t="str">
        <f>name!E$12</f>
        <v>Elementary occupations</v>
      </c>
      <c r="B1071" s="302">
        <v>32.794025811672277</v>
      </c>
      <c r="C1071" s="302">
        <v>14.633240108340093</v>
      </c>
      <c r="D1071" s="302">
        <f t="shared" si="388"/>
        <v>47.427265920012374</v>
      </c>
      <c r="E1071" s="303"/>
      <c r="F1071" s="302">
        <v>24.518995965072257</v>
      </c>
      <c r="G1071" s="302">
        <v>10.321917737967448</v>
      </c>
      <c r="H1071" s="302">
        <f t="shared" si="389"/>
        <v>34.840913703039703</v>
      </c>
      <c r="I1071" s="303"/>
      <c r="J1071" s="302">
        <v>17.068220958846116</v>
      </c>
      <c r="K1071" s="302">
        <v>9.8922673753258508</v>
      </c>
      <c r="L1071" s="302">
        <f t="shared" si="390"/>
        <v>26.960488334171966</v>
      </c>
      <c r="M1071" s="236"/>
      <c r="N1071" s="236"/>
    </row>
    <row r="1072" spans="1:14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  <c r="N1072" s="236"/>
    </row>
    <row r="1073" spans="1:14" x14ac:dyDescent="0.2">
      <c r="A1073" s="244" t="s">
        <v>32</v>
      </c>
      <c r="B1073" s="311">
        <f>SUM(B1063:B1071)</f>
        <v>127.43700000115714</v>
      </c>
      <c r="C1073" s="311">
        <f t="shared" ref="C1073:D1073" si="391">SUM(C1063:C1071)</f>
        <v>59.017000000668048</v>
      </c>
      <c r="D1073" s="311">
        <f t="shared" si="391"/>
        <v>186.45400000182519</v>
      </c>
      <c r="E1073" s="311"/>
      <c r="F1073" s="311">
        <f t="shared" ref="F1073:H1073" si="392">SUM(F1063:F1071)</f>
        <v>115.56899999894767</v>
      </c>
      <c r="G1073" s="311">
        <f t="shared" si="392"/>
        <v>50.317999999838094</v>
      </c>
      <c r="H1073" s="311">
        <f t="shared" si="392"/>
        <v>165.88699999878577</v>
      </c>
      <c r="I1073" s="311"/>
      <c r="J1073" s="311">
        <f t="shared" ref="J1073:L1073" si="393">SUM(J1063:J1071)</f>
        <v>126.16399999971816</v>
      </c>
      <c r="K1073" s="311">
        <f t="shared" si="393"/>
        <v>55.34899999965387</v>
      </c>
      <c r="L1073" s="311">
        <f t="shared" si="393"/>
        <v>181.51299999937203</v>
      </c>
      <c r="M1073" s="236"/>
      <c r="N1073" s="236"/>
    </row>
    <row r="1074" spans="1:14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  <c r="N1074" s="236"/>
    </row>
    <row r="1075" spans="1:14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56" t="s">
        <v>35</v>
      </c>
      <c r="M1075" s="236"/>
      <c r="N1075" s="236"/>
    </row>
    <row r="1076" spans="1:14" x14ac:dyDescent="0.2">
      <c r="A1076" s="242"/>
      <c r="B1076" s="250"/>
      <c r="C1076" s="250"/>
      <c r="D1076" s="250"/>
      <c r="E1076" s="250"/>
      <c r="F1076" s="250"/>
      <c r="G1076" s="250"/>
      <c r="H1076" s="250"/>
      <c r="I1076" s="250"/>
      <c r="J1076" s="250"/>
      <c r="K1076" s="250"/>
      <c r="L1076" s="236"/>
      <c r="M1076" s="236"/>
      <c r="N1076" s="236"/>
    </row>
    <row r="1077" spans="1:14" x14ac:dyDescent="0.2">
      <c r="A1077" s="241" t="str">
        <f>name!A66</f>
        <v>Office administrative</v>
      </c>
      <c r="B1077" s="372">
        <f>B$6</f>
        <v>2015</v>
      </c>
      <c r="C1077" s="372"/>
      <c r="D1077" s="372"/>
      <c r="E1077" s="253"/>
      <c r="F1077" s="372">
        <f>F$6</f>
        <v>2020</v>
      </c>
      <c r="G1077" s="372"/>
      <c r="H1077" s="372"/>
      <c r="I1077" s="253"/>
      <c r="J1077" s="372">
        <f>J$6</f>
        <v>2035</v>
      </c>
      <c r="K1077" s="372"/>
      <c r="L1077" s="372"/>
      <c r="M1077" s="236"/>
      <c r="N1077" s="236"/>
    </row>
    <row r="1078" spans="1:14" x14ac:dyDescent="0.2">
      <c r="A1078" s="254"/>
      <c r="B1078" s="255" t="s">
        <v>352</v>
      </c>
      <c r="C1078" s="255" t="s">
        <v>353</v>
      </c>
      <c r="D1078" s="255" t="s">
        <v>32</v>
      </c>
      <c r="E1078" s="255"/>
      <c r="F1078" s="255" t="s">
        <v>352</v>
      </c>
      <c r="G1078" s="255" t="s">
        <v>353</v>
      </c>
      <c r="H1078" s="255" t="s">
        <v>32</v>
      </c>
      <c r="I1078" s="255"/>
      <c r="J1078" s="255" t="s">
        <v>352</v>
      </c>
      <c r="K1078" s="255" t="s">
        <v>353</v>
      </c>
      <c r="L1078" s="255" t="s">
        <v>32</v>
      </c>
      <c r="M1078" s="236"/>
      <c r="N1078" s="236"/>
    </row>
    <row r="1079" spans="1:14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  <c r="N1079" s="236"/>
    </row>
    <row r="1080" spans="1:14" x14ac:dyDescent="0.2">
      <c r="A1080" s="237" t="str">
        <f>name!E$4</f>
        <v>Managers, directors and senior officials</v>
      </c>
      <c r="B1080" s="302">
        <v>3.1148458049361816</v>
      </c>
      <c r="C1080" s="302">
        <v>8.5730258889296529</v>
      </c>
      <c r="D1080" s="302">
        <f>SUM(B1080:C1080)</f>
        <v>11.687871693865834</v>
      </c>
      <c r="E1080" s="303"/>
      <c r="F1080" s="302">
        <v>5.1130727031355017</v>
      </c>
      <c r="G1080" s="302">
        <v>12.838045657036673</v>
      </c>
      <c r="H1080" s="302">
        <f>SUM(F1080:G1080)</f>
        <v>17.951118360172174</v>
      </c>
      <c r="I1080" s="303"/>
      <c r="J1080" s="302">
        <v>6.4361251449948886</v>
      </c>
      <c r="K1080" s="302">
        <v>14.473874127377997</v>
      </c>
      <c r="L1080" s="302">
        <f>SUM(J1080:K1080)</f>
        <v>20.909999272372886</v>
      </c>
      <c r="M1080" s="236"/>
      <c r="N1080" s="236"/>
    </row>
    <row r="1081" spans="1:14" x14ac:dyDescent="0.2">
      <c r="A1081" s="237" t="str">
        <f>name!E$5</f>
        <v>Professional occupations</v>
      </c>
      <c r="B1081" s="302">
        <v>4.9826822657082541</v>
      </c>
      <c r="C1081" s="302">
        <v>10.619916937549446</v>
      </c>
      <c r="D1081" s="302">
        <f t="shared" ref="D1081:D1088" si="394">SUM(B1081:C1081)</f>
        <v>15.6025992032577</v>
      </c>
      <c r="E1081" s="303"/>
      <c r="F1081" s="302">
        <v>9.1812301823697169</v>
      </c>
      <c r="G1081" s="302">
        <v>18.068161332355945</v>
      </c>
      <c r="H1081" s="302">
        <f t="shared" ref="H1081:H1088" si="395">SUM(F1081:G1081)</f>
        <v>27.249391514725662</v>
      </c>
      <c r="I1081" s="303"/>
      <c r="J1081" s="302">
        <v>11.65013883339758</v>
      </c>
      <c r="K1081" s="302">
        <v>24.418906316578774</v>
      </c>
      <c r="L1081" s="302">
        <f t="shared" ref="L1081:L1088" si="396">SUM(J1081:K1081)</f>
        <v>36.069045149976354</v>
      </c>
      <c r="M1081" s="236"/>
      <c r="N1081" s="236"/>
    </row>
    <row r="1082" spans="1:14" x14ac:dyDescent="0.2">
      <c r="A1082" s="237" t="str">
        <f>name!E$6</f>
        <v>Associate professional occupations</v>
      </c>
      <c r="B1082" s="302">
        <v>5.5839301680571438</v>
      </c>
      <c r="C1082" s="302">
        <v>15.275899971065865</v>
      </c>
      <c r="D1082" s="302">
        <f t="shared" si="394"/>
        <v>20.859830139123009</v>
      </c>
      <c r="E1082" s="303"/>
      <c r="F1082" s="302">
        <v>9.2790052486131813</v>
      </c>
      <c r="G1082" s="302">
        <v>22.527745894968152</v>
      </c>
      <c r="H1082" s="302">
        <f t="shared" si="395"/>
        <v>31.806751143581334</v>
      </c>
      <c r="I1082" s="303"/>
      <c r="J1082" s="302">
        <v>9.7520655098078119</v>
      </c>
      <c r="K1082" s="302">
        <v>23.072380131069469</v>
      </c>
      <c r="L1082" s="302">
        <f t="shared" si="396"/>
        <v>32.824445640877279</v>
      </c>
      <c r="M1082" s="236"/>
      <c r="N1082" s="236"/>
    </row>
    <row r="1083" spans="1:14" x14ac:dyDescent="0.2">
      <c r="A1083" s="237" t="str">
        <f>name!E$7</f>
        <v>Administrative and secretarial occupations</v>
      </c>
      <c r="B1083" s="302">
        <v>4.0142720794734421</v>
      </c>
      <c r="C1083" s="302">
        <v>2.536473933169876</v>
      </c>
      <c r="D1083" s="302">
        <f t="shared" si="394"/>
        <v>6.5507460126433177</v>
      </c>
      <c r="E1083" s="303"/>
      <c r="F1083" s="302">
        <v>5.6488464354124961</v>
      </c>
      <c r="G1083" s="302">
        <v>3.8522454495985712</v>
      </c>
      <c r="H1083" s="302">
        <f t="shared" si="395"/>
        <v>9.5010918850110677</v>
      </c>
      <c r="I1083" s="303"/>
      <c r="J1083" s="302">
        <v>5.2295526815606932</v>
      </c>
      <c r="K1083" s="302">
        <v>3.8975749034675307</v>
      </c>
      <c r="L1083" s="302">
        <f t="shared" si="396"/>
        <v>9.127127585028223</v>
      </c>
      <c r="M1083" s="236"/>
      <c r="N1083" s="236"/>
    </row>
    <row r="1084" spans="1:14" x14ac:dyDescent="0.2">
      <c r="A1084" s="237" t="str">
        <f>name!E$8</f>
        <v>Skilled trades occupations</v>
      </c>
      <c r="B1084" s="302">
        <v>0.28702415277912768</v>
      </c>
      <c r="C1084" s="302">
        <v>2.4062050723127335</v>
      </c>
      <c r="D1084" s="302">
        <f t="shared" si="394"/>
        <v>2.6932292250918612</v>
      </c>
      <c r="E1084" s="303"/>
      <c r="F1084" s="302">
        <v>0.44905235129092297</v>
      </c>
      <c r="G1084" s="302">
        <v>2.414302875176674</v>
      </c>
      <c r="H1084" s="302">
        <f t="shared" si="395"/>
        <v>2.863355226467597</v>
      </c>
      <c r="I1084" s="303"/>
      <c r="J1084" s="302">
        <v>0.68121572532556862</v>
      </c>
      <c r="K1084" s="302">
        <v>2.1473301749251461</v>
      </c>
      <c r="L1084" s="302">
        <f t="shared" si="396"/>
        <v>2.828545900250715</v>
      </c>
      <c r="M1084" s="236"/>
      <c r="N1084" s="236"/>
    </row>
    <row r="1085" spans="1:14" x14ac:dyDescent="0.2">
      <c r="A1085" s="237" t="str">
        <f>name!E$9</f>
        <v>Caring, leisure and other service occupations</v>
      </c>
      <c r="B1085" s="302">
        <v>2.1424765700611812</v>
      </c>
      <c r="C1085" s="302">
        <v>1.5827217963875304</v>
      </c>
      <c r="D1085" s="302">
        <f t="shared" si="394"/>
        <v>3.7251983664487116</v>
      </c>
      <c r="E1085" s="303"/>
      <c r="F1085" s="302">
        <v>3.0709589509184387</v>
      </c>
      <c r="G1085" s="302">
        <v>2.5327316771897803</v>
      </c>
      <c r="H1085" s="302">
        <f t="shared" si="395"/>
        <v>5.6036906281082191</v>
      </c>
      <c r="I1085" s="303"/>
      <c r="J1085" s="302">
        <v>3.5017167846059349</v>
      </c>
      <c r="K1085" s="302">
        <v>2.9277940959112354</v>
      </c>
      <c r="L1085" s="302">
        <f t="shared" si="396"/>
        <v>6.4295108805171708</v>
      </c>
      <c r="M1085" s="236"/>
      <c r="N1085" s="236"/>
    </row>
    <row r="1086" spans="1:14" x14ac:dyDescent="0.2">
      <c r="A1086" s="237" t="str">
        <f>name!E$10</f>
        <v>Sales and customer service occupations</v>
      </c>
      <c r="B1086" s="302">
        <v>1.4529373301480148</v>
      </c>
      <c r="C1086" s="302">
        <v>3.1458815362049561</v>
      </c>
      <c r="D1086" s="302">
        <f t="shared" si="394"/>
        <v>4.5988188663529712</v>
      </c>
      <c r="E1086" s="303"/>
      <c r="F1086" s="302">
        <v>2.0940108322509028</v>
      </c>
      <c r="G1086" s="302">
        <v>4.0649649812787976</v>
      </c>
      <c r="H1086" s="302">
        <f t="shared" si="395"/>
        <v>6.1589758135297004</v>
      </c>
      <c r="I1086" s="303"/>
      <c r="J1086" s="302">
        <v>2.8032419211345716</v>
      </c>
      <c r="K1086" s="302">
        <v>4.7306972670653131</v>
      </c>
      <c r="L1086" s="302">
        <f t="shared" si="396"/>
        <v>7.5339391881998843</v>
      </c>
      <c r="M1086" s="236"/>
      <c r="N1086" s="236"/>
    </row>
    <row r="1087" spans="1:14" x14ac:dyDescent="0.2">
      <c r="A1087" s="237" t="str">
        <f>name!E$11</f>
        <v>Process, plant and machine operatives</v>
      </c>
      <c r="B1087" s="302">
        <v>0.14900690023975668</v>
      </c>
      <c r="C1087" s="302">
        <v>1.7094150401030317</v>
      </c>
      <c r="D1087" s="302">
        <f t="shared" si="394"/>
        <v>1.8584219403427884</v>
      </c>
      <c r="E1087" s="303"/>
      <c r="F1087" s="302">
        <v>0.17256080393626438</v>
      </c>
      <c r="G1087" s="302">
        <v>2.3312855530096477</v>
      </c>
      <c r="H1087" s="302">
        <f t="shared" si="395"/>
        <v>2.5038463569459122</v>
      </c>
      <c r="I1087" s="303"/>
      <c r="J1087" s="302">
        <v>0.21726118509822082</v>
      </c>
      <c r="K1087" s="302">
        <v>2.218530981577846</v>
      </c>
      <c r="L1087" s="302">
        <f t="shared" si="396"/>
        <v>2.4357921666760669</v>
      </c>
      <c r="M1087" s="236"/>
      <c r="N1087" s="236"/>
    </row>
    <row r="1088" spans="1:14" x14ac:dyDescent="0.2">
      <c r="A1088" s="237" t="str">
        <f>name!E$12</f>
        <v>Elementary occupations</v>
      </c>
      <c r="B1088" s="302">
        <v>8.1928247289402929</v>
      </c>
      <c r="C1088" s="302">
        <v>16.333459824970777</v>
      </c>
      <c r="D1088" s="302">
        <f t="shared" si="394"/>
        <v>24.526284553911069</v>
      </c>
      <c r="E1088" s="303"/>
      <c r="F1088" s="302">
        <v>9.6902624915751261</v>
      </c>
      <c r="G1088" s="302">
        <v>19.496516579133598</v>
      </c>
      <c r="H1088" s="302">
        <f t="shared" si="395"/>
        <v>29.186779070708724</v>
      </c>
      <c r="I1088" s="303"/>
      <c r="J1088" s="302">
        <v>9.73368221385625</v>
      </c>
      <c r="K1088" s="302">
        <v>19.347912001427247</v>
      </c>
      <c r="L1088" s="302">
        <f t="shared" si="396"/>
        <v>29.081594215283495</v>
      </c>
      <c r="M1088" s="236"/>
      <c r="N1088" s="236"/>
    </row>
    <row r="1089" spans="1:14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  <c r="N1089" s="236"/>
    </row>
    <row r="1090" spans="1:14" x14ac:dyDescent="0.2">
      <c r="A1090" s="244" t="s">
        <v>32</v>
      </c>
      <c r="B1090" s="311">
        <f>SUM(B1080:B1088)</f>
        <v>29.9200000003434</v>
      </c>
      <c r="C1090" s="311">
        <f t="shared" ref="C1090:D1090" si="397">SUM(C1080:C1088)</f>
        <v>62.183000000693866</v>
      </c>
      <c r="D1090" s="311">
        <f t="shared" si="397"/>
        <v>92.103000001037259</v>
      </c>
      <c r="E1090" s="311"/>
      <c r="F1090" s="311">
        <f t="shared" ref="F1090:H1090" si="398">SUM(F1080:F1088)</f>
        <v>44.698999999502547</v>
      </c>
      <c r="G1090" s="311">
        <f t="shared" si="398"/>
        <v>88.125999999747833</v>
      </c>
      <c r="H1090" s="311">
        <f t="shared" si="398"/>
        <v>132.82499999925039</v>
      </c>
      <c r="I1090" s="311"/>
      <c r="J1090" s="311">
        <f t="shared" ref="J1090:L1090" si="399">SUM(J1080:J1088)</f>
        <v>50.004999999781518</v>
      </c>
      <c r="K1090" s="311">
        <f t="shared" si="399"/>
        <v>97.234999999400543</v>
      </c>
      <c r="L1090" s="311">
        <f t="shared" si="399"/>
        <v>147.23999999918206</v>
      </c>
      <c r="M1090" s="236"/>
      <c r="N1090" s="236"/>
    </row>
    <row r="1091" spans="1:14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  <c r="N1091" s="236"/>
    </row>
    <row r="1092" spans="1:14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56" t="s">
        <v>35</v>
      </c>
      <c r="M1092" s="236"/>
      <c r="N1092" s="236"/>
    </row>
    <row r="1093" spans="1:14" x14ac:dyDescent="0.2">
      <c r="A1093" s="242"/>
      <c r="B1093" s="250"/>
      <c r="C1093" s="250"/>
      <c r="D1093" s="250"/>
      <c r="E1093" s="250"/>
      <c r="F1093" s="250"/>
      <c r="G1093" s="250"/>
      <c r="H1093" s="250"/>
      <c r="I1093" s="250"/>
      <c r="J1093" s="250"/>
      <c r="K1093" s="250"/>
      <c r="L1093" s="236"/>
      <c r="M1093" s="236"/>
      <c r="N1093" s="236"/>
    </row>
    <row r="1094" spans="1:14" x14ac:dyDescent="0.2">
      <c r="A1094" s="241" t="str">
        <f>name!A67</f>
        <v>Public administration and defence</v>
      </c>
      <c r="B1094" s="372">
        <f>B$6</f>
        <v>2015</v>
      </c>
      <c r="C1094" s="372"/>
      <c r="D1094" s="372"/>
      <c r="E1094" s="253"/>
      <c r="F1094" s="372">
        <f>F$6</f>
        <v>2020</v>
      </c>
      <c r="G1094" s="372"/>
      <c r="H1094" s="372"/>
      <c r="I1094" s="253"/>
      <c r="J1094" s="372">
        <f>J$6</f>
        <v>2035</v>
      </c>
      <c r="K1094" s="372"/>
      <c r="L1094" s="372"/>
      <c r="M1094" s="236"/>
      <c r="N1094" s="236"/>
    </row>
    <row r="1095" spans="1:14" x14ac:dyDescent="0.2">
      <c r="A1095" s="254"/>
      <c r="B1095" s="255" t="s">
        <v>352</v>
      </c>
      <c r="C1095" s="255" t="s">
        <v>353</v>
      </c>
      <c r="D1095" s="255" t="s">
        <v>32</v>
      </c>
      <c r="E1095" s="255"/>
      <c r="F1095" s="255" t="s">
        <v>352</v>
      </c>
      <c r="G1095" s="255" t="s">
        <v>353</v>
      </c>
      <c r="H1095" s="255" t="s">
        <v>32</v>
      </c>
      <c r="I1095" s="255"/>
      <c r="J1095" s="255" t="s">
        <v>352</v>
      </c>
      <c r="K1095" s="255" t="s">
        <v>353</v>
      </c>
      <c r="L1095" s="255" t="s">
        <v>32</v>
      </c>
      <c r="M1095" s="236"/>
      <c r="N1095" s="236"/>
    </row>
    <row r="1096" spans="1:14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  <c r="N1096" s="236"/>
    </row>
    <row r="1097" spans="1:14" x14ac:dyDescent="0.2">
      <c r="A1097" s="237" t="str">
        <f>name!E$4</f>
        <v>Managers, directors and senior officials</v>
      </c>
      <c r="B1097" s="302">
        <v>7.640394635168188</v>
      </c>
      <c r="C1097" s="302">
        <v>12.35038507216737</v>
      </c>
      <c r="D1097" s="302">
        <f>SUM(B1097:C1097)</f>
        <v>19.990779707335559</v>
      </c>
      <c r="E1097" s="303"/>
      <c r="F1097" s="302">
        <v>10.08085355262706</v>
      </c>
      <c r="G1097" s="302">
        <v>14.750476791852035</v>
      </c>
      <c r="H1097" s="302">
        <f>SUM(F1097:G1097)</f>
        <v>24.831330344479095</v>
      </c>
      <c r="I1097" s="303"/>
      <c r="J1097" s="302">
        <v>10.757589270723553</v>
      </c>
      <c r="K1097" s="302">
        <v>13.613698643844989</v>
      </c>
      <c r="L1097" s="302">
        <f>SUM(J1097:K1097)</f>
        <v>24.371287914568541</v>
      </c>
      <c r="M1097" s="236"/>
      <c r="N1097" s="236"/>
    </row>
    <row r="1098" spans="1:14" x14ac:dyDescent="0.2">
      <c r="A1098" s="237" t="str">
        <f>name!E$5</f>
        <v>Professional occupations</v>
      </c>
      <c r="B1098" s="302">
        <v>36.96768723419747</v>
      </c>
      <c r="C1098" s="302">
        <v>26.770056347400548</v>
      </c>
      <c r="D1098" s="302">
        <f t="shared" ref="D1098:D1105" si="400">SUM(B1098:C1098)</f>
        <v>63.737743581598018</v>
      </c>
      <c r="E1098" s="303"/>
      <c r="F1098" s="302">
        <v>50.008411177811041</v>
      </c>
      <c r="G1098" s="302">
        <v>37.098563033894393</v>
      </c>
      <c r="H1098" s="302">
        <f t="shared" ref="H1098:H1105" si="401">SUM(F1098:G1098)</f>
        <v>87.106974211705435</v>
      </c>
      <c r="I1098" s="303"/>
      <c r="J1098" s="302">
        <v>55.322474129942961</v>
      </c>
      <c r="K1098" s="302">
        <v>40.456731332897341</v>
      </c>
      <c r="L1098" s="302">
        <f t="shared" ref="L1098:L1105" si="402">SUM(J1098:K1098)</f>
        <v>95.779205462840309</v>
      </c>
      <c r="M1098" s="236"/>
      <c r="N1098" s="236"/>
    </row>
    <row r="1099" spans="1:14" x14ac:dyDescent="0.2">
      <c r="A1099" s="237" t="str">
        <f>name!E$6</f>
        <v>Associate professional occupations</v>
      </c>
      <c r="B1099" s="302">
        <v>29.136491107186821</v>
      </c>
      <c r="C1099" s="302">
        <v>45.757581264685967</v>
      </c>
      <c r="D1099" s="302">
        <f t="shared" si="400"/>
        <v>74.894072371872795</v>
      </c>
      <c r="E1099" s="303"/>
      <c r="F1099" s="302">
        <v>35.857506970495592</v>
      </c>
      <c r="G1099" s="302">
        <v>52.181782117026749</v>
      </c>
      <c r="H1099" s="302">
        <f t="shared" si="401"/>
        <v>88.039289087522349</v>
      </c>
      <c r="I1099" s="303"/>
      <c r="J1099" s="302">
        <v>44.635616486449315</v>
      </c>
      <c r="K1099" s="302">
        <v>50.901225160610018</v>
      </c>
      <c r="L1099" s="302">
        <f t="shared" si="402"/>
        <v>95.536841647059333</v>
      </c>
      <c r="M1099" s="236"/>
      <c r="N1099" s="236"/>
    </row>
    <row r="1100" spans="1:14" x14ac:dyDescent="0.2">
      <c r="A1100" s="237" t="str">
        <f>name!E$7</f>
        <v>Administrative and secretarial occupations</v>
      </c>
      <c r="B1100" s="302">
        <v>30.631311783170442</v>
      </c>
      <c r="C1100" s="302">
        <v>5.3719178032892509</v>
      </c>
      <c r="D1100" s="302">
        <f t="shared" si="400"/>
        <v>36.003229586459696</v>
      </c>
      <c r="E1100" s="303"/>
      <c r="F1100" s="302">
        <v>27.671584832198299</v>
      </c>
      <c r="G1100" s="302">
        <v>5.8607059411408757</v>
      </c>
      <c r="H1100" s="302">
        <f t="shared" si="401"/>
        <v>33.532290773339177</v>
      </c>
      <c r="I1100" s="303"/>
      <c r="J1100" s="302">
        <v>16.768520377235017</v>
      </c>
      <c r="K1100" s="302">
        <v>3.7981076512657386</v>
      </c>
      <c r="L1100" s="302">
        <f t="shared" si="402"/>
        <v>20.566628028500755</v>
      </c>
      <c r="M1100" s="236"/>
      <c r="N1100" s="236"/>
    </row>
    <row r="1101" spans="1:14" x14ac:dyDescent="0.2">
      <c r="A1101" s="237" t="str">
        <f>name!E$8</f>
        <v>Skilled trades occupations</v>
      </c>
      <c r="B1101" s="302">
        <v>0.44237187961737567</v>
      </c>
      <c r="C1101" s="302">
        <v>2.2372992368502622</v>
      </c>
      <c r="D1101" s="302">
        <f t="shared" si="400"/>
        <v>2.6796711164676381</v>
      </c>
      <c r="E1101" s="303"/>
      <c r="F1101" s="302">
        <v>0.54181909350559831</v>
      </c>
      <c r="G1101" s="302">
        <v>1.942175091188306</v>
      </c>
      <c r="H1101" s="302">
        <f t="shared" si="401"/>
        <v>2.4839941846939042</v>
      </c>
      <c r="I1101" s="303"/>
      <c r="J1101" s="302">
        <v>1.0814275450811508</v>
      </c>
      <c r="K1101" s="302">
        <v>1.7116126477908826</v>
      </c>
      <c r="L1101" s="302">
        <f t="shared" si="402"/>
        <v>2.7930401928720334</v>
      </c>
      <c r="M1101" s="236"/>
      <c r="N1101" s="236"/>
    </row>
    <row r="1102" spans="1:14" x14ac:dyDescent="0.2">
      <c r="A1102" s="237" t="str">
        <f>name!E$9</f>
        <v>Caring, leisure and other service occupations</v>
      </c>
      <c r="B1102" s="302">
        <v>4.1955898175125732</v>
      </c>
      <c r="C1102" s="302">
        <v>2.6033614483943195</v>
      </c>
      <c r="D1102" s="302">
        <f t="shared" si="400"/>
        <v>6.7989512659068927</v>
      </c>
      <c r="E1102" s="303"/>
      <c r="F1102" s="302">
        <v>4.2469250586707661</v>
      </c>
      <c r="G1102" s="302">
        <v>2.8369680501282808</v>
      </c>
      <c r="H1102" s="302">
        <f t="shared" si="401"/>
        <v>7.0838931087990469</v>
      </c>
      <c r="I1102" s="303"/>
      <c r="J1102" s="302">
        <v>4.4148681657114439</v>
      </c>
      <c r="K1102" s="302">
        <v>3.1146931619765095</v>
      </c>
      <c r="L1102" s="302">
        <f t="shared" si="402"/>
        <v>7.5295613276879534</v>
      </c>
      <c r="M1102" s="236"/>
      <c r="N1102" s="236"/>
    </row>
    <row r="1103" spans="1:14" x14ac:dyDescent="0.2">
      <c r="A1103" s="237" t="str">
        <f>name!E$10</f>
        <v>Sales and customer service occupations</v>
      </c>
      <c r="B1103" s="302">
        <v>3.1041311079645948</v>
      </c>
      <c r="C1103" s="302">
        <v>1.0925402183839046</v>
      </c>
      <c r="D1103" s="302">
        <f t="shared" si="400"/>
        <v>4.1966713263484996</v>
      </c>
      <c r="E1103" s="303"/>
      <c r="F1103" s="302">
        <v>3.0705829431880192</v>
      </c>
      <c r="G1103" s="302">
        <v>1.1610412385968443</v>
      </c>
      <c r="H1103" s="302">
        <f t="shared" si="401"/>
        <v>4.2316241817848637</v>
      </c>
      <c r="I1103" s="303"/>
      <c r="J1103" s="302">
        <v>3.1295422403138526</v>
      </c>
      <c r="K1103" s="302">
        <v>1.1744903461967935</v>
      </c>
      <c r="L1103" s="302">
        <f t="shared" si="402"/>
        <v>4.3040325865106457</v>
      </c>
      <c r="M1103" s="236"/>
      <c r="N1103" s="236"/>
    </row>
    <row r="1104" spans="1:14" x14ac:dyDescent="0.2">
      <c r="A1104" s="237" t="str">
        <f>name!E$11</f>
        <v>Process, plant and machine operatives</v>
      </c>
      <c r="B1104" s="302">
        <v>0.3541306787153426</v>
      </c>
      <c r="C1104" s="302">
        <v>2.1025877906366408</v>
      </c>
      <c r="D1104" s="302">
        <f t="shared" si="400"/>
        <v>2.4567184693519835</v>
      </c>
      <c r="E1104" s="303"/>
      <c r="F1104" s="302">
        <v>0.29559508642420984</v>
      </c>
      <c r="G1104" s="302">
        <v>1.8020907513813325</v>
      </c>
      <c r="H1104" s="302">
        <f t="shared" si="401"/>
        <v>2.0976858378055425</v>
      </c>
      <c r="I1104" s="303"/>
      <c r="J1104" s="302">
        <v>0.5787263615855831</v>
      </c>
      <c r="K1104" s="302">
        <v>1.9184426237666787</v>
      </c>
      <c r="L1104" s="302">
        <f t="shared" si="402"/>
        <v>2.4971689853522618</v>
      </c>
      <c r="M1104" s="236"/>
      <c r="N1104" s="236"/>
    </row>
    <row r="1105" spans="1:14" x14ac:dyDescent="0.2">
      <c r="A1105" s="237" t="str">
        <f>name!E$12</f>
        <v>Elementary occupations</v>
      </c>
      <c r="B1105" s="302">
        <v>3.5148917556782093</v>
      </c>
      <c r="C1105" s="302">
        <v>3.6272708169598022</v>
      </c>
      <c r="D1105" s="302">
        <f t="shared" si="400"/>
        <v>7.1421625726380116</v>
      </c>
      <c r="E1105" s="303"/>
      <c r="F1105" s="302">
        <v>2.6277212857429384</v>
      </c>
      <c r="G1105" s="302">
        <v>3.0151969860024539</v>
      </c>
      <c r="H1105" s="302">
        <f t="shared" si="401"/>
        <v>5.6429182717453923</v>
      </c>
      <c r="I1105" s="303"/>
      <c r="J1105" s="302">
        <v>2.0702354233413325</v>
      </c>
      <c r="K1105" s="302">
        <v>2.7159984337645913</v>
      </c>
      <c r="L1105" s="302">
        <f t="shared" si="402"/>
        <v>4.7862338571059233</v>
      </c>
      <c r="M1105" s="236"/>
      <c r="N1105" s="236"/>
    </row>
    <row r="1106" spans="1:14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  <c r="N1106" s="236"/>
    </row>
    <row r="1107" spans="1:14" x14ac:dyDescent="0.2">
      <c r="A1107" s="244" t="s">
        <v>32</v>
      </c>
      <c r="B1107" s="311">
        <f>SUM(B1097:B1105)</f>
        <v>115.98699999921099</v>
      </c>
      <c r="C1107" s="311">
        <f t="shared" ref="C1107:D1107" si="403">SUM(C1097:C1105)</f>
        <v>101.91299999876809</v>
      </c>
      <c r="D1107" s="311">
        <f t="shared" si="403"/>
        <v>217.89999999797908</v>
      </c>
      <c r="E1107" s="311"/>
      <c r="F1107" s="311">
        <f t="shared" ref="F1107:H1107" si="404">SUM(F1097:F1105)</f>
        <v>134.40100000066352</v>
      </c>
      <c r="G1107" s="311">
        <f t="shared" si="404"/>
        <v>120.64900000121125</v>
      </c>
      <c r="H1107" s="311">
        <f t="shared" si="404"/>
        <v>255.05000000187485</v>
      </c>
      <c r="I1107" s="311"/>
      <c r="J1107" s="311">
        <f t="shared" ref="J1107:L1107" si="405">SUM(J1097:J1105)</f>
        <v>138.75900000038422</v>
      </c>
      <c r="K1107" s="311">
        <f t="shared" si="405"/>
        <v>119.40500000211354</v>
      </c>
      <c r="L1107" s="311">
        <f t="shared" si="405"/>
        <v>258.1640000024978</v>
      </c>
      <c r="M1107" s="236"/>
      <c r="N1107" s="236"/>
    </row>
    <row r="1108" spans="1:14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  <c r="N1108" s="236"/>
    </row>
    <row r="1109" spans="1:14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56" t="s">
        <v>35</v>
      </c>
      <c r="M1109" s="236"/>
      <c r="N1109" s="236"/>
    </row>
    <row r="1110" spans="1:14" x14ac:dyDescent="0.2">
      <c r="A1110" s="242"/>
      <c r="B1110" s="250"/>
      <c r="C1110" s="250"/>
      <c r="D1110" s="250"/>
      <c r="E1110" s="250"/>
      <c r="F1110" s="250"/>
      <c r="G1110" s="250"/>
      <c r="H1110" s="250"/>
      <c r="I1110" s="250"/>
      <c r="J1110" s="250"/>
      <c r="K1110" s="250"/>
      <c r="L1110" s="236"/>
      <c r="M1110" s="236"/>
      <c r="N1110" s="236"/>
    </row>
    <row r="1111" spans="1:14" x14ac:dyDescent="0.2">
      <c r="A1111" s="241" t="str">
        <f>name!A68</f>
        <v xml:space="preserve">Education </v>
      </c>
      <c r="B1111" s="372">
        <f>B$6</f>
        <v>2015</v>
      </c>
      <c r="C1111" s="372"/>
      <c r="D1111" s="372"/>
      <c r="E1111" s="253"/>
      <c r="F1111" s="372">
        <f>F$6</f>
        <v>2020</v>
      </c>
      <c r="G1111" s="372"/>
      <c r="H1111" s="372"/>
      <c r="I1111" s="253"/>
      <c r="J1111" s="372">
        <f>J$6</f>
        <v>2035</v>
      </c>
      <c r="K1111" s="372"/>
      <c r="L1111" s="372"/>
      <c r="M1111" s="236"/>
      <c r="N1111" s="236"/>
    </row>
    <row r="1112" spans="1:14" x14ac:dyDescent="0.2">
      <c r="A1112" s="254"/>
      <c r="B1112" s="255" t="s">
        <v>352</v>
      </c>
      <c r="C1112" s="255" t="s">
        <v>353</v>
      </c>
      <c r="D1112" s="255" t="s">
        <v>32</v>
      </c>
      <c r="E1112" s="255"/>
      <c r="F1112" s="255" t="s">
        <v>352</v>
      </c>
      <c r="G1112" s="255" t="s">
        <v>353</v>
      </c>
      <c r="H1112" s="255" t="s">
        <v>32</v>
      </c>
      <c r="I1112" s="255"/>
      <c r="J1112" s="255" t="s">
        <v>352</v>
      </c>
      <c r="K1112" s="255" t="s">
        <v>353</v>
      </c>
      <c r="L1112" s="255" t="s">
        <v>32</v>
      </c>
      <c r="M1112" s="236"/>
      <c r="N1112" s="236"/>
    </row>
    <row r="1113" spans="1:14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  <c r="N1113" s="236"/>
    </row>
    <row r="1114" spans="1:14" x14ac:dyDescent="0.2">
      <c r="A1114" s="237" t="str">
        <f>name!E$4</f>
        <v>Managers, directors and senior officials</v>
      </c>
      <c r="B1114" s="302">
        <v>5.210143413962788</v>
      </c>
      <c r="C1114" s="302">
        <v>5.2999064074700435</v>
      </c>
      <c r="D1114" s="302">
        <f>SUM(B1114:C1114)</f>
        <v>10.510049821432832</v>
      </c>
      <c r="E1114" s="303"/>
      <c r="F1114" s="302">
        <v>6.2432431148532395</v>
      </c>
      <c r="G1114" s="302">
        <v>5.2495824336514243</v>
      </c>
      <c r="H1114" s="302">
        <f>SUM(F1114:G1114)</f>
        <v>11.492825548504664</v>
      </c>
      <c r="I1114" s="303"/>
      <c r="J1114" s="302">
        <v>6.7862697156732761</v>
      </c>
      <c r="K1114" s="302">
        <v>4.6371898882037481</v>
      </c>
      <c r="L1114" s="302">
        <f>SUM(J1114:K1114)</f>
        <v>11.423459603877024</v>
      </c>
      <c r="M1114" s="236"/>
      <c r="N1114" s="236"/>
    </row>
    <row r="1115" spans="1:14" x14ac:dyDescent="0.2">
      <c r="A1115" s="237" t="str">
        <f>name!E$5</f>
        <v>Professional occupations</v>
      </c>
      <c r="B1115" s="302">
        <v>195.21777255026856</v>
      </c>
      <c r="C1115" s="302">
        <v>104.37273573715277</v>
      </c>
      <c r="D1115" s="302">
        <f t="shared" ref="D1115:D1122" si="406">SUM(B1115:C1115)</f>
        <v>299.59050828742136</v>
      </c>
      <c r="E1115" s="303"/>
      <c r="F1115" s="302">
        <v>206.91383468276786</v>
      </c>
      <c r="G1115" s="302">
        <v>106.26518476890216</v>
      </c>
      <c r="H1115" s="302">
        <f t="shared" ref="H1115:H1122" si="407">SUM(F1115:G1115)</f>
        <v>313.17901945167</v>
      </c>
      <c r="I1115" s="303"/>
      <c r="J1115" s="302">
        <v>218.23424918810321</v>
      </c>
      <c r="K1115" s="302">
        <v>108.31540072600664</v>
      </c>
      <c r="L1115" s="302">
        <f t="shared" ref="L1115:L1122" si="408">SUM(J1115:K1115)</f>
        <v>326.54964991410986</v>
      </c>
      <c r="M1115" s="236"/>
      <c r="N1115" s="236"/>
    </row>
    <row r="1116" spans="1:14" x14ac:dyDescent="0.2">
      <c r="A1116" s="237" t="str">
        <f>name!E$6</f>
        <v>Associate professional occupations</v>
      </c>
      <c r="B1116" s="302">
        <v>18.532853691303668</v>
      </c>
      <c r="C1116" s="302">
        <v>14.461981032554355</v>
      </c>
      <c r="D1116" s="302">
        <f t="shared" si="406"/>
        <v>32.99483472385802</v>
      </c>
      <c r="E1116" s="303"/>
      <c r="F1116" s="302">
        <v>19.226580659407688</v>
      </c>
      <c r="G1116" s="302">
        <v>13.733206578517155</v>
      </c>
      <c r="H1116" s="302">
        <f t="shared" si="407"/>
        <v>32.959787237924843</v>
      </c>
      <c r="I1116" s="303"/>
      <c r="J1116" s="302">
        <v>18.11317213068051</v>
      </c>
      <c r="K1116" s="302">
        <v>10.731243955912019</v>
      </c>
      <c r="L1116" s="302">
        <f t="shared" si="408"/>
        <v>28.844416086592531</v>
      </c>
      <c r="M1116" s="236"/>
      <c r="N1116" s="236"/>
    </row>
    <row r="1117" spans="1:14" x14ac:dyDescent="0.2">
      <c r="A1117" s="237" t="str">
        <f>name!E$7</f>
        <v>Administrative and secretarial occupations</v>
      </c>
      <c r="B1117" s="302">
        <v>10.13851767850319</v>
      </c>
      <c r="C1117" s="302">
        <v>2.0963358250723036</v>
      </c>
      <c r="D1117" s="302">
        <f t="shared" si="406"/>
        <v>12.234853503575494</v>
      </c>
      <c r="E1117" s="303"/>
      <c r="F1117" s="302">
        <v>8.1242768008835853</v>
      </c>
      <c r="G1117" s="302">
        <v>1.6855224459504752</v>
      </c>
      <c r="H1117" s="302">
        <f t="shared" si="407"/>
        <v>9.8097992468340607</v>
      </c>
      <c r="I1117" s="303"/>
      <c r="J1117" s="302">
        <v>4.615018329055494</v>
      </c>
      <c r="K1117" s="302">
        <v>1.1763194316562333</v>
      </c>
      <c r="L1117" s="302">
        <f t="shared" si="408"/>
        <v>5.7913377607117269</v>
      </c>
      <c r="M1117" s="236"/>
      <c r="N1117" s="236"/>
    </row>
    <row r="1118" spans="1:14" x14ac:dyDescent="0.2">
      <c r="A1118" s="237" t="str">
        <f>name!E$8</f>
        <v>Skilled trades occupations</v>
      </c>
      <c r="B1118" s="302">
        <v>1.5563844168195373</v>
      </c>
      <c r="C1118" s="302">
        <v>1.466018991146258</v>
      </c>
      <c r="D1118" s="302">
        <f t="shared" si="406"/>
        <v>3.0224034079657951</v>
      </c>
      <c r="E1118" s="303"/>
      <c r="F1118" s="302">
        <v>1.5087601160372131</v>
      </c>
      <c r="G1118" s="302">
        <v>0.9447022486669201</v>
      </c>
      <c r="H1118" s="302">
        <f t="shared" si="407"/>
        <v>2.4534623647041331</v>
      </c>
      <c r="I1118" s="303"/>
      <c r="J1118" s="302">
        <v>1.4119604031996162</v>
      </c>
      <c r="K1118" s="302">
        <v>0.55082205999716205</v>
      </c>
      <c r="L1118" s="302">
        <f t="shared" si="408"/>
        <v>1.9627824631967783</v>
      </c>
      <c r="M1118" s="236"/>
      <c r="N1118" s="236"/>
    </row>
    <row r="1119" spans="1:14" x14ac:dyDescent="0.2">
      <c r="A1119" s="237" t="str">
        <f>name!E$9</f>
        <v>Caring, leisure and other service occupations</v>
      </c>
      <c r="B1119" s="302">
        <v>28.717255676054727</v>
      </c>
      <c r="C1119" s="302">
        <v>7.7470373828495713</v>
      </c>
      <c r="D1119" s="302">
        <f t="shared" si="406"/>
        <v>36.464293058904296</v>
      </c>
      <c r="E1119" s="303"/>
      <c r="F1119" s="302">
        <v>25.539578580284328</v>
      </c>
      <c r="G1119" s="302">
        <v>6.6114140851872527</v>
      </c>
      <c r="H1119" s="302">
        <f t="shared" si="407"/>
        <v>32.150992665471577</v>
      </c>
      <c r="I1119" s="303"/>
      <c r="J1119" s="302">
        <v>23.810527729788021</v>
      </c>
      <c r="K1119" s="302">
        <v>6.3287500243404073</v>
      </c>
      <c r="L1119" s="302">
        <f t="shared" si="408"/>
        <v>30.139277754128429</v>
      </c>
      <c r="M1119" s="236"/>
      <c r="N1119" s="236"/>
    </row>
    <row r="1120" spans="1:14" x14ac:dyDescent="0.2">
      <c r="A1120" s="237" t="str">
        <f>name!E$10</f>
        <v>Sales and customer service occupations</v>
      </c>
      <c r="B1120" s="302">
        <v>1.3168346688941919</v>
      </c>
      <c r="C1120" s="302">
        <v>0.69106725693238402</v>
      </c>
      <c r="D1120" s="302">
        <f t="shared" si="406"/>
        <v>2.0079019258265758</v>
      </c>
      <c r="E1120" s="303"/>
      <c r="F1120" s="302">
        <v>1.1281746213042216</v>
      </c>
      <c r="G1120" s="302">
        <v>0.54536912357623812</v>
      </c>
      <c r="H1120" s="302">
        <f t="shared" si="407"/>
        <v>1.6735437448804598</v>
      </c>
      <c r="I1120" s="303"/>
      <c r="J1120" s="302">
        <v>1.0874251150801519</v>
      </c>
      <c r="K1120" s="302">
        <v>0.47025612645108034</v>
      </c>
      <c r="L1120" s="302">
        <f t="shared" si="408"/>
        <v>1.5576812415312322</v>
      </c>
      <c r="M1120" s="236"/>
      <c r="N1120" s="236"/>
    </row>
    <row r="1121" spans="1:14" x14ac:dyDescent="0.2">
      <c r="A1121" s="237" t="str">
        <f>name!E$11</f>
        <v>Process, plant and machine operatives</v>
      </c>
      <c r="B1121" s="302">
        <v>2.5332371079466309</v>
      </c>
      <c r="C1121" s="302">
        <v>10.267474230520019</v>
      </c>
      <c r="D1121" s="302">
        <f t="shared" si="406"/>
        <v>12.80071133846665</v>
      </c>
      <c r="E1121" s="303"/>
      <c r="F1121" s="302">
        <v>3.3315947726364441</v>
      </c>
      <c r="G1121" s="302">
        <v>11.644271427232839</v>
      </c>
      <c r="H1121" s="302">
        <f t="shared" si="407"/>
        <v>14.975866199869284</v>
      </c>
      <c r="I1121" s="303"/>
      <c r="J1121" s="302">
        <v>3.0935633409962997</v>
      </c>
      <c r="K1121" s="302">
        <v>13.05747668125113</v>
      </c>
      <c r="L1121" s="302">
        <f t="shared" si="408"/>
        <v>16.151040022247429</v>
      </c>
      <c r="M1121" s="236"/>
      <c r="N1121" s="236"/>
    </row>
    <row r="1122" spans="1:14" x14ac:dyDescent="0.2">
      <c r="A1122" s="237" t="str">
        <f>name!E$12</f>
        <v>Elementary occupations</v>
      </c>
      <c r="B1122" s="302">
        <v>12.271000792597578</v>
      </c>
      <c r="C1122" s="302">
        <v>2.6324431362386886</v>
      </c>
      <c r="D1122" s="302">
        <f t="shared" si="406"/>
        <v>14.903443928836266</v>
      </c>
      <c r="E1122" s="303"/>
      <c r="F1122" s="302">
        <v>8.6779566569331941</v>
      </c>
      <c r="G1122" s="302">
        <v>1.5547468992364257</v>
      </c>
      <c r="H1122" s="302">
        <f t="shared" si="407"/>
        <v>10.23270355616962</v>
      </c>
      <c r="I1122" s="303"/>
      <c r="J1122" s="302">
        <v>3.238814052751875</v>
      </c>
      <c r="K1122" s="302">
        <v>0.59354111137162524</v>
      </c>
      <c r="L1122" s="302">
        <f t="shared" si="408"/>
        <v>3.8323551641235003</v>
      </c>
      <c r="M1122" s="236"/>
      <c r="N1122" s="236"/>
    </row>
    <row r="1123" spans="1:14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  <c r="N1123" s="236"/>
    </row>
    <row r="1124" spans="1:14" x14ac:dyDescent="0.2">
      <c r="A1124" s="244" t="s">
        <v>32</v>
      </c>
      <c r="B1124" s="311">
        <f>SUM(B1114:B1122)</f>
        <v>275.49399999635085</v>
      </c>
      <c r="C1124" s="311">
        <f t="shared" ref="C1124:D1124" si="409">SUM(C1114:C1122)</f>
        <v>149.03499999993636</v>
      </c>
      <c r="D1124" s="311">
        <f t="shared" si="409"/>
        <v>424.52899999628733</v>
      </c>
      <c r="E1124" s="311"/>
      <c r="F1124" s="311">
        <f t="shared" ref="F1124:H1124" si="410">SUM(F1114:F1122)</f>
        <v>280.69400000510774</v>
      </c>
      <c r="G1124" s="311">
        <f t="shared" si="410"/>
        <v>148.23400001092088</v>
      </c>
      <c r="H1124" s="311">
        <f t="shared" si="410"/>
        <v>428.92800001602865</v>
      </c>
      <c r="I1124" s="311"/>
      <c r="J1124" s="311">
        <f t="shared" ref="J1124:L1124" si="411">SUM(J1114:J1122)</f>
        <v>280.39100000532852</v>
      </c>
      <c r="K1124" s="311">
        <f t="shared" si="411"/>
        <v>145.86100000519005</v>
      </c>
      <c r="L1124" s="311">
        <f t="shared" si="411"/>
        <v>426.25200001051843</v>
      </c>
      <c r="M1124" s="236"/>
      <c r="N1124" s="236"/>
    </row>
    <row r="1125" spans="1:14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  <c r="N1125" s="236"/>
    </row>
    <row r="1126" spans="1:14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56" t="s">
        <v>35</v>
      </c>
      <c r="M1126" s="236"/>
      <c r="N1126" s="236"/>
    </row>
    <row r="1127" spans="1:14" x14ac:dyDescent="0.2">
      <c r="A1127" s="242"/>
      <c r="B1127" s="250"/>
      <c r="C1127" s="250"/>
      <c r="D1127" s="250"/>
      <c r="E1127" s="250"/>
      <c r="F1127" s="250"/>
      <c r="G1127" s="250"/>
      <c r="H1127" s="250"/>
      <c r="I1127" s="250"/>
      <c r="J1127" s="250"/>
      <c r="K1127" s="250"/>
      <c r="L1127" s="236"/>
      <c r="M1127" s="236"/>
      <c r="N1127" s="236"/>
    </row>
    <row r="1128" spans="1:14" x14ac:dyDescent="0.2">
      <c r="A1128" s="241" t="str">
        <f>name!A69</f>
        <v>Health</v>
      </c>
      <c r="B1128" s="372">
        <f>B$6</f>
        <v>2015</v>
      </c>
      <c r="C1128" s="372"/>
      <c r="D1128" s="372"/>
      <c r="E1128" s="253"/>
      <c r="F1128" s="372">
        <f>F$6</f>
        <v>2020</v>
      </c>
      <c r="G1128" s="372"/>
      <c r="H1128" s="372"/>
      <c r="I1128" s="253"/>
      <c r="J1128" s="372">
        <f>J$6</f>
        <v>2035</v>
      </c>
      <c r="K1128" s="372"/>
      <c r="L1128" s="372"/>
      <c r="M1128" s="236"/>
      <c r="N1128" s="236"/>
    </row>
    <row r="1129" spans="1:14" x14ac:dyDescent="0.2">
      <c r="A1129" s="254"/>
      <c r="B1129" s="255" t="s">
        <v>352</v>
      </c>
      <c r="C1129" s="255" t="s">
        <v>353</v>
      </c>
      <c r="D1129" s="255" t="s">
        <v>32</v>
      </c>
      <c r="E1129" s="255"/>
      <c r="F1129" s="255" t="s">
        <v>352</v>
      </c>
      <c r="G1129" s="255" t="s">
        <v>353</v>
      </c>
      <c r="H1129" s="255" t="s">
        <v>32</v>
      </c>
      <c r="I1129" s="255"/>
      <c r="J1129" s="255" t="s">
        <v>352</v>
      </c>
      <c r="K1129" s="255" t="s">
        <v>353</v>
      </c>
      <c r="L1129" s="255" t="s">
        <v>32</v>
      </c>
      <c r="M1129" s="236"/>
      <c r="N1129" s="236"/>
    </row>
    <row r="1130" spans="1:14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  <c r="N1130" s="236"/>
    </row>
    <row r="1131" spans="1:14" x14ac:dyDescent="0.2">
      <c r="A1131" s="237" t="str">
        <f>name!E$4</f>
        <v>Managers, directors and senior officials</v>
      </c>
      <c r="B1131" s="302">
        <v>9.1966450825773247</v>
      </c>
      <c r="C1131" s="302">
        <v>5.7634835306677239</v>
      </c>
      <c r="D1131" s="302">
        <f>SUM(B1131:C1131)</f>
        <v>14.960128613245049</v>
      </c>
      <c r="E1131" s="303"/>
      <c r="F1131" s="302">
        <v>12.048850720255739</v>
      </c>
      <c r="G1131" s="302">
        <v>8.1583084556526515</v>
      </c>
      <c r="H1131" s="302">
        <f>SUM(F1131:G1131)</f>
        <v>20.207159175908391</v>
      </c>
      <c r="I1131" s="303"/>
      <c r="J1131" s="302">
        <v>14.07559524750328</v>
      </c>
      <c r="K1131" s="302">
        <v>7.5665423116342376</v>
      </c>
      <c r="L1131" s="302">
        <f>SUM(J1131:K1131)</f>
        <v>21.642137559137517</v>
      </c>
      <c r="M1131" s="236"/>
      <c r="N1131" s="236"/>
    </row>
    <row r="1132" spans="1:14" x14ac:dyDescent="0.2">
      <c r="A1132" s="237" t="str">
        <f>name!E$5</f>
        <v>Professional occupations</v>
      </c>
      <c r="B1132" s="302">
        <v>89.022935645254037</v>
      </c>
      <c r="C1132" s="302">
        <v>32.699595385497936</v>
      </c>
      <c r="D1132" s="302">
        <f t="shared" ref="D1132:D1139" si="412">SUM(B1132:C1132)</f>
        <v>121.72253103075198</v>
      </c>
      <c r="E1132" s="303"/>
      <c r="F1132" s="302">
        <v>106.99699225026976</v>
      </c>
      <c r="G1132" s="302">
        <v>47.903859076647706</v>
      </c>
      <c r="H1132" s="302">
        <f t="shared" ref="H1132:H1139" si="413">SUM(F1132:G1132)</f>
        <v>154.90085132691746</v>
      </c>
      <c r="I1132" s="303"/>
      <c r="J1132" s="302">
        <v>125.85372481462008</v>
      </c>
      <c r="K1132" s="302">
        <v>50.347492448624969</v>
      </c>
      <c r="L1132" s="302">
        <f t="shared" ref="L1132:L1139" si="414">SUM(J1132:K1132)</f>
        <v>176.20121726324504</v>
      </c>
      <c r="M1132" s="236"/>
      <c r="N1132" s="236"/>
    </row>
    <row r="1133" spans="1:14" x14ac:dyDescent="0.2">
      <c r="A1133" s="237" t="str">
        <f>name!E$6</f>
        <v>Associate professional occupations</v>
      </c>
      <c r="B1133" s="302">
        <v>34.539982576418751</v>
      </c>
      <c r="C1133" s="302">
        <v>13.884101665336827</v>
      </c>
      <c r="D1133" s="302">
        <f t="shared" si="412"/>
        <v>48.42408424175558</v>
      </c>
      <c r="E1133" s="303"/>
      <c r="F1133" s="302">
        <v>40.947934217860002</v>
      </c>
      <c r="G1133" s="302">
        <v>17.517213108059298</v>
      </c>
      <c r="H1133" s="302">
        <f t="shared" si="413"/>
        <v>58.465147325919304</v>
      </c>
      <c r="I1133" s="303"/>
      <c r="J1133" s="302">
        <v>44.753539949569266</v>
      </c>
      <c r="K1133" s="302">
        <v>16.172949933418842</v>
      </c>
      <c r="L1133" s="302">
        <f t="shared" si="414"/>
        <v>60.926489882988108</v>
      </c>
      <c r="M1133" s="236"/>
      <c r="N1133" s="236"/>
    </row>
    <row r="1134" spans="1:14" x14ac:dyDescent="0.2">
      <c r="A1134" s="237" t="str">
        <f>name!E$7</f>
        <v>Administrative and secretarial occupations</v>
      </c>
      <c r="B1134" s="302">
        <v>18.711880093869418</v>
      </c>
      <c r="C1134" s="302">
        <v>2.7724116740427509</v>
      </c>
      <c r="D1134" s="302">
        <f t="shared" si="412"/>
        <v>21.484291767912168</v>
      </c>
      <c r="E1134" s="303"/>
      <c r="F1134" s="302">
        <v>18.412531346412411</v>
      </c>
      <c r="G1134" s="302">
        <v>3.2483404413497228</v>
      </c>
      <c r="H1134" s="302">
        <f t="shared" si="413"/>
        <v>21.660871787762133</v>
      </c>
      <c r="I1134" s="303"/>
      <c r="J1134" s="302">
        <v>13.125372723198222</v>
      </c>
      <c r="K1134" s="302">
        <v>2.7435506946537616</v>
      </c>
      <c r="L1134" s="302">
        <f t="shared" si="414"/>
        <v>15.868923417851983</v>
      </c>
      <c r="M1134" s="236"/>
      <c r="N1134" s="236"/>
    </row>
    <row r="1135" spans="1:14" x14ac:dyDescent="0.2">
      <c r="A1135" s="237" t="str">
        <f>name!E$8</f>
        <v>Skilled trades occupations</v>
      </c>
      <c r="B1135" s="302">
        <v>0.98917774818650561</v>
      </c>
      <c r="C1135" s="302">
        <v>1.3640605734766729</v>
      </c>
      <c r="D1135" s="302">
        <f t="shared" si="412"/>
        <v>2.3532383216631785</v>
      </c>
      <c r="E1135" s="303"/>
      <c r="F1135" s="302">
        <v>0.88815693319162647</v>
      </c>
      <c r="G1135" s="302">
        <v>1.3919213321695412</v>
      </c>
      <c r="H1135" s="302">
        <f t="shared" si="413"/>
        <v>2.2800782653611678</v>
      </c>
      <c r="I1135" s="303"/>
      <c r="J1135" s="302">
        <v>0.57363843457524599</v>
      </c>
      <c r="K1135" s="302">
        <v>1.0194514811397486</v>
      </c>
      <c r="L1135" s="302">
        <f t="shared" si="414"/>
        <v>1.5930899157149945</v>
      </c>
      <c r="M1135" s="236"/>
      <c r="N1135" s="236"/>
    </row>
    <row r="1136" spans="1:14" x14ac:dyDescent="0.2">
      <c r="A1136" s="237" t="str">
        <f>name!E$9</f>
        <v>Caring, leisure and other service occupations</v>
      </c>
      <c r="B1136" s="302">
        <v>79.320924184369247</v>
      </c>
      <c r="C1136" s="302">
        <v>21.439961233538138</v>
      </c>
      <c r="D1136" s="302">
        <f t="shared" si="412"/>
        <v>100.76088541790739</v>
      </c>
      <c r="E1136" s="303"/>
      <c r="F1136" s="302">
        <v>83.299067995227631</v>
      </c>
      <c r="G1136" s="302">
        <v>25.3634187025174</v>
      </c>
      <c r="H1136" s="302">
        <f t="shared" si="413"/>
        <v>108.66248669774504</v>
      </c>
      <c r="I1136" s="303"/>
      <c r="J1136" s="302">
        <v>94.380739341161984</v>
      </c>
      <c r="K1136" s="302">
        <v>35.833183007448689</v>
      </c>
      <c r="L1136" s="302">
        <f t="shared" si="414"/>
        <v>130.21392234861068</v>
      </c>
      <c r="M1136" s="236"/>
      <c r="N1136" s="236"/>
    </row>
    <row r="1137" spans="1:14" x14ac:dyDescent="0.2">
      <c r="A1137" s="237" t="str">
        <f>name!E$10</f>
        <v>Sales and customer service occupations</v>
      </c>
      <c r="B1137" s="302">
        <v>3.0798221832888948</v>
      </c>
      <c r="C1137" s="302">
        <v>0.82575011176078372</v>
      </c>
      <c r="D1137" s="302">
        <f t="shared" si="412"/>
        <v>3.9055722950496783</v>
      </c>
      <c r="E1137" s="303"/>
      <c r="F1137" s="302">
        <v>3.0272716724386011</v>
      </c>
      <c r="G1137" s="302">
        <v>0.93553158315924301</v>
      </c>
      <c r="H1137" s="302">
        <f t="shared" si="413"/>
        <v>3.9628032555978443</v>
      </c>
      <c r="I1137" s="303"/>
      <c r="J1137" s="302">
        <v>3.2751198747794374</v>
      </c>
      <c r="K1137" s="302">
        <v>0.86998209523743386</v>
      </c>
      <c r="L1137" s="302">
        <f t="shared" si="414"/>
        <v>4.1451019700168716</v>
      </c>
      <c r="M1137" s="236"/>
      <c r="N1137" s="236"/>
    </row>
    <row r="1138" spans="1:14" x14ac:dyDescent="0.2">
      <c r="A1138" s="237" t="str">
        <f>name!E$11</f>
        <v>Process, plant and machine operatives</v>
      </c>
      <c r="B1138" s="302">
        <v>0.24953471683810635</v>
      </c>
      <c r="C1138" s="302">
        <v>1.0444247379776213</v>
      </c>
      <c r="D1138" s="302">
        <f t="shared" si="412"/>
        <v>1.2939594548157276</v>
      </c>
      <c r="E1138" s="303"/>
      <c r="F1138" s="302">
        <v>0.17378465028420703</v>
      </c>
      <c r="G1138" s="302">
        <v>1.1983818595677207</v>
      </c>
      <c r="H1138" s="302">
        <f t="shared" si="413"/>
        <v>1.3721665098519278</v>
      </c>
      <c r="I1138" s="303"/>
      <c r="J1138" s="302">
        <v>0.22222992508068209</v>
      </c>
      <c r="K1138" s="302">
        <v>0.93455742585212309</v>
      </c>
      <c r="L1138" s="302">
        <f t="shared" si="414"/>
        <v>1.1567873509328053</v>
      </c>
      <c r="M1138" s="236"/>
      <c r="N1138" s="236"/>
    </row>
    <row r="1139" spans="1:14" x14ac:dyDescent="0.2">
      <c r="A1139" s="237" t="str">
        <f>name!E$12</f>
        <v>Elementary occupations</v>
      </c>
      <c r="B1139" s="302">
        <v>3.5030977656267468</v>
      </c>
      <c r="C1139" s="302">
        <v>2.6742110869968139</v>
      </c>
      <c r="D1139" s="302">
        <f t="shared" si="412"/>
        <v>6.1773088526235611</v>
      </c>
      <c r="E1139" s="303"/>
      <c r="F1139" s="302">
        <v>2.6124102139946386</v>
      </c>
      <c r="G1139" s="302">
        <v>2.4930254432936008</v>
      </c>
      <c r="H1139" s="302">
        <f t="shared" si="413"/>
        <v>5.1054356572882398</v>
      </c>
      <c r="I1139" s="303"/>
      <c r="J1139" s="302">
        <v>0.84103968893243575</v>
      </c>
      <c r="K1139" s="302">
        <v>1.7072906047356329</v>
      </c>
      <c r="L1139" s="302">
        <f t="shared" si="414"/>
        <v>2.5483302936680685</v>
      </c>
      <c r="M1139" s="236"/>
      <c r="N1139" s="236"/>
    </row>
    <row r="1140" spans="1:14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  <c r="N1140" s="236"/>
    </row>
    <row r="1141" spans="1:14" x14ac:dyDescent="0.2">
      <c r="A1141" s="244" t="s">
        <v>32</v>
      </c>
      <c r="B1141" s="311">
        <f>SUM(B1131:B1139)</f>
        <v>238.61399999642899</v>
      </c>
      <c r="C1141" s="311">
        <f t="shared" ref="C1141:D1141" si="415">SUM(C1131:C1139)</f>
        <v>82.467999999295273</v>
      </c>
      <c r="D1141" s="311">
        <f t="shared" si="415"/>
        <v>321.08199999572435</v>
      </c>
      <c r="E1141" s="311"/>
      <c r="F1141" s="311">
        <f t="shared" ref="F1141:H1141" si="416">SUM(F1131:F1139)</f>
        <v>268.40699999993461</v>
      </c>
      <c r="G1141" s="311">
        <f t="shared" si="416"/>
        <v>108.21000000241689</v>
      </c>
      <c r="H1141" s="311">
        <f t="shared" si="416"/>
        <v>376.61700000235152</v>
      </c>
      <c r="I1141" s="311"/>
      <c r="J1141" s="311">
        <f t="shared" ref="J1141:L1141" si="417">SUM(J1131:J1139)</f>
        <v>297.10099999942059</v>
      </c>
      <c r="K1141" s="311">
        <f t="shared" si="417"/>
        <v>117.19500000274545</v>
      </c>
      <c r="L1141" s="311">
        <f t="shared" si="417"/>
        <v>414.29600000216607</v>
      </c>
      <c r="M1141" s="236"/>
      <c r="N1141" s="236"/>
    </row>
    <row r="1142" spans="1:14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  <c r="N1142" s="236"/>
    </row>
    <row r="1143" spans="1:14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56" t="s">
        <v>35</v>
      </c>
      <c r="M1143" s="236"/>
      <c r="N1143" s="236"/>
    </row>
    <row r="1144" spans="1:14" x14ac:dyDescent="0.2">
      <c r="A1144" s="242"/>
      <c r="B1144" s="250"/>
      <c r="C1144" s="250"/>
      <c r="D1144" s="250"/>
      <c r="E1144" s="250"/>
      <c r="F1144" s="250"/>
      <c r="G1144" s="250"/>
      <c r="H1144" s="250"/>
      <c r="I1144" s="250"/>
      <c r="J1144" s="250"/>
      <c r="K1144" s="250"/>
      <c r="L1144" s="236"/>
      <c r="M1144" s="236"/>
      <c r="N1144" s="236"/>
    </row>
    <row r="1145" spans="1:14" x14ac:dyDescent="0.2">
      <c r="A1145" s="241" t="str">
        <f>name!A70</f>
        <v>Residential care</v>
      </c>
      <c r="B1145" s="372">
        <f>B$6</f>
        <v>2015</v>
      </c>
      <c r="C1145" s="372"/>
      <c r="D1145" s="372"/>
      <c r="E1145" s="253"/>
      <c r="F1145" s="372">
        <f>F$6</f>
        <v>2020</v>
      </c>
      <c r="G1145" s="372"/>
      <c r="H1145" s="372"/>
      <c r="I1145" s="253"/>
      <c r="J1145" s="372">
        <f>J$6</f>
        <v>2035</v>
      </c>
      <c r="K1145" s="372"/>
      <c r="L1145" s="372"/>
      <c r="M1145" s="236"/>
      <c r="N1145" s="236"/>
    </row>
    <row r="1146" spans="1:14" x14ac:dyDescent="0.2">
      <c r="A1146" s="254"/>
      <c r="B1146" s="255" t="s">
        <v>352</v>
      </c>
      <c r="C1146" s="255" t="s">
        <v>353</v>
      </c>
      <c r="D1146" s="255" t="s">
        <v>32</v>
      </c>
      <c r="E1146" s="255"/>
      <c r="F1146" s="255" t="s">
        <v>352</v>
      </c>
      <c r="G1146" s="255" t="s">
        <v>353</v>
      </c>
      <c r="H1146" s="255" t="s">
        <v>32</v>
      </c>
      <c r="I1146" s="255"/>
      <c r="J1146" s="255" t="s">
        <v>352</v>
      </c>
      <c r="K1146" s="255" t="s">
        <v>353</v>
      </c>
      <c r="L1146" s="255" t="s">
        <v>32</v>
      </c>
      <c r="M1146" s="236"/>
      <c r="N1146" s="236"/>
    </row>
    <row r="1147" spans="1:14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  <c r="N1147" s="236"/>
    </row>
    <row r="1148" spans="1:14" x14ac:dyDescent="0.2">
      <c r="A1148" s="237" t="str">
        <f>name!E$4</f>
        <v>Managers, directors and senior officials</v>
      </c>
      <c r="B1148" s="302">
        <v>1.9326071456706293</v>
      </c>
      <c r="C1148" s="302">
        <v>1.0262360849472234</v>
      </c>
      <c r="D1148" s="302">
        <f>SUM(B1148:C1148)</f>
        <v>2.9588432306178527</v>
      </c>
      <c r="E1148" s="303"/>
      <c r="F1148" s="302">
        <v>2.0824325022561134</v>
      </c>
      <c r="G1148" s="302">
        <v>0.99278084140438183</v>
      </c>
      <c r="H1148" s="302">
        <f>SUM(F1148:G1148)</f>
        <v>3.0752133436604954</v>
      </c>
      <c r="I1148" s="303"/>
      <c r="J1148" s="302">
        <v>2.2395235523830856</v>
      </c>
      <c r="K1148" s="302">
        <v>0.87616831429906683</v>
      </c>
      <c r="L1148" s="302">
        <f>SUM(J1148:K1148)</f>
        <v>3.1156918666821527</v>
      </c>
      <c r="M1148" s="236"/>
      <c r="N1148" s="236"/>
    </row>
    <row r="1149" spans="1:14" x14ac:dyDescent="0.2">
      <c r="A1149" s="237" t="str">
        <f>name!E$5</f>
        <v>Professional occupations</v>
      </c>
      <c r="B1149" s="302">
        <v>18.840041871591755</v>
      </c>
      <c r="C1149" s="302">
        <v>5.8337715571550453</v>
      </c>
      <c r="D1149" s="302">
        <f t="shared" ref="D1149:D1156" si="418">SUM(B1149:C1149)</f>
        <v>24.673813428746801</v>
      </c>
      <c r="E1149" s="303"/>
      <c r="F1149" s="302">
        <v>18.469180497287375</v>
      </c>
      <c r="G1149" s="302">
        <v>6.2069904598828005</v>
      </c>
      <c r="H1149" s="302">
        <f t="shared" ref="H1149:H1156" si="419">SUM(F1149:G1149)</f>
        <v>24.676170957170175</v>
      </c>
      <c r="I1149" s="303"/>
      <c r="J1149" s="302">
        <v>19.467156338130387</v>
      </c>
      <c r="K1149" s="302">
        <v>5.8193880446624533</v>
      </c>
      <c r="L1149" s="302">
        <f t="shared" ref="L1149:L1156" si="420">SUM(J1149:K1149)</f>
        <v>25.28654438279284</v>
      </c>
      <c r="M1149" s="236"/>
      <c r="N1149" s="236"/>
    </row>
    <row r="1150" spans="1:14" x14ac:dyDescent="0.2">
      <c r="A1150" s="237" t="str">
        <f>name!E$6</f>
        <v>Associate professional occupations</v>
      </c>
      <c r="B1150" s="302">
        <v>7.360983645890073</v>
      </c>
      <c r="C1150" s="302">
        <v>2.6341142698480793</v>
      </c>
      <c r="D1150" s="302">
        <f t="shared" si="418"/>
        <v>9.9950979157381532</v>
      </c>
      <c r="E1150" s="303"/>
      <c r="F1150" s="302">
        <v>7.0568998138617953</v>
      </c>
      <c r="G1150" s="302">
        <v>2.4893660693878612</v>
      </c>
      <c r="H1150" s="302">
        <f t="shared" si="419"/>
        <v>9.5462658832496565</v>
      </c>
      <c r="I1150" s="303"/>
      <c r="J1150" s="302">
        <v>6.8939771872499334</v>
      </c>
      <c r="K1150" s="302">
        <v>1.9693562881068825</v>
      </c>
      <c r="L1150" s="302">
        <f t="shared" si="420"/>
        <v>8.863333475356816</v>
      </c>
      <c r="M1150" s="236"/>
      <c r="N1150" s="236"/>
    </row>
    <row r="1151" spans="1:14" x14ac:dyDescent="0.2">
      <c r="A1151" s="237" t="str">
        <f>name!E$7</f>
        <v>Administrative and secretarial occupations</v>
      </c>
      <c r="B1151" s="302">
        <v>3.9247700068246982</v>
      </c>
      <c r="C1151" s="302">
        <v>0.5159475249830302</v>
      </c>
      <c r="D1151" s="302">
        <f t="shared" si="418"/>
        <v>4.4407175318077288</v>
      </c>
      <c r="E1151" s="303"/>
      <c r="F1151" s="302">
        <v>3.1816052289039671</v>
      </c>
      <c r="G1151" s="302">
        <v>0.42632904632546736</v>
      </c>
      <c r="H1151" s="302">
        <f t="shared" si="419"/>
        <v>3.6079342752294346</v>
      </c>
      <c r="I1151" s="303"/>
      <c r="J1151" s="302">
        <v>2.1336524703393644</v>
      </c>
      <c r="K1151" s="302">
        <v>0.29677608539872552</v>
      </c>
      <c r="L1151" s="302">
        <f t="shared" si="420"/>
        <v>2.4304285557380898</v>
      </c>
      <c r="M1151" s="236"/>
      <c r="N1151" s="236"/>
    </row>
    <row r="1152" spans="1:14" x14ac:dyDescent="0.2">
      <c r="A1152" s="237" t="str">
        <f>name!E$8</f>
        <v>Skilled trades occupations</v>
      </c>
      <c r="B1152" s="302">
        <v>0.20848018072937058</v>
      </c>
      <c r="C1152" s="302">
        <v>0.26845358837494343</v>
      </c>
      <c r="D1152" s="302">
        <f t="shared" si="418"/>
        <v>0.47693376910431401</v>
      </c>
      <c r="E1152" s="303"/>
      <c r="F1152" s="302">
        <v>0.14968877130598407</v>
      </c>
      <c r="G1152" s="302">
        <v>0.23341709801315738</v>
      </c>
      <c r="H1152" s="302">
        <f t="shared" si="419"/>
        <v>0.38310586931914148</v>
      </c>
      <c r="I1152" s="303"/>
      <c r="J1152" s="302">
        <v>8.8571181701272275E-2</v>
      </c>
      <c r="K1152" s="302">
        <v>0.2167258295318612</v>
      </c>
      <c r="L1152" s="302">
        <f t="shared" si="420"/>
        <v>0.30529701123313346</v>
      </c>
      <c r="M1152" s="236"/>
      <c r="N1152" s="236"/>
    </row>
    <row r="1153" spans="1:14" x14ac:dyDescent="0.2">
      <c r="A1153" s="237" t="str">
        <f>name!E$9</f>
        <v>Caring, leisure and other service occupations</v>
      </c>
      <c r="B1153" s="302">
        <v>16.988130871688114</v>
      </c>
      <c r="C1153" s="302">
        <v>4.3432184292667255</v>
      </c>
      <c r="D1153" s="302">
        <f t="shared" si="418"/>
        <v>21.331349300954841</v>
      </c>
      <c r="E1153" s="303"/>
      <c r="F1153" s="302">
        <v>14.611350874702412</v>
      </c>
      <c r="G1153" s="302">
        <v>3.8461077778671364</v>
      </c>
      <c r="H1153" s="302">
        <f t="shared" si="419"/>
        <v>18.457458652569549</v>
      </c>
      <c r="I1153" s="303"/>
      <c r="J1153" s="302">
        <v>14.935057912012564</v>
      </c>
      <c r="K1153" s="302">
        <v>4.613910180556017</v>
      </c>
      <c r="L1153" s="302">
        <f t="shared" si="420"/>
        <v>19.548968092568579</v>
      </c>
      <c r="M1153" s="236"/>
      <c r="N1153" s="236"/>
    </row>
    <row r="1154" spans="1:14" x14ac:dyDescent="0.2">
      <c r="A1154" s="237" t="str">
        <f>name!E$10</f>
        <v>Sales and customer service occupations</v>
      </c>
      <c r="B1154" s="302">
        <v>0.65030960575844476</v>
      </c>
      <c r="C1154" s="302">
        <v>0.15640072450198114</v>
      </c>
      <c r="D1154" s="302">
        <f t="shared" si="418"/>
        <v>0.80671033026042593</v>
      </c>
      <c r="E1154" s="303"/>
      <c r="F1154" s="302">
        <v>0.51736273070596128</v>
      </c>
      <c r="G1154" s="302">
        <v>0.12036843758133511</v>
      </c>
      <c r="H1154" s="302">
        <f t="shared" si="419"/>
        <v>0.63773116828729637</v>
      </c>
      <c r="I1154" s="303"/>
      <c r="J1154" s="302">
        <v>0.50372003186624292</v>
      </c>
      <c r="K1154" s="302">
        <v>9.9375810557163283E-2</v>
      </c>
      <c r="L1154" s="302">
        <f t="shared" si="420"/>
        <v>0.60309584242340619</v>
      </c>
      <c r="M1154" s="236"/>
      <c r="N1154" s="236"/>
    </row>
    <row r="1155" spans="1:14" x14ac:dyDescent="0.2">
      <c r="A1155" s="237" t="str">
        <f>name!E$11</f>
        <v>Process, plant and machine operatives</v>
      </c>
      <c r="B1155" s="302">
        <v>5.2933698082169536E-2</v>
      </c>
      <c r="C1155" s="302">
        <v>0.28229754311634347</v>
      </c>
      <c r="D1155" s="302">
        <f t="shared" si="418"/>
        <v>0.335231241198513</v>
      </c>
      <c r="E1155" s="303"/>
      <c r="F1155" s="302">
        <v>2.9511233844378502E-2</v>
      </c>
      <c r="G1155" s="302">
        <v>0.23669853040848146</v>
      </c>
      <c r="H1155" s="302">
        <f t="shared" si="419"/>
        <v>0.26620976425285997</v>
      </c>
      <c r="I1155" s="303"/>
      <c r="J1155" s="302">
        <v>3.210189693498923E-2</v>
      </c>
      <c r="K1155" s="302">
        <v>0.17998114783093752</v>
      </c>
      <c r="L1155" s="302">
        <f t="shared" si="420"/>
        <v>0.21208304476592676</v>
      </c>
      <c r="M1155" s="236"/>
      <c r="N1155" s="236"/>
    </row>
    <row r="1156" spans="1:14" x14ac:dyDescent="0.2">
      <c r="A1156" s="237" t="str">
        <f>name!E$12</f>
        <v>Elementary occupations</v>
      </c>
      <c r="B1156" s="302">
        <v>0.74274297293816494</v>
      </c>
      <c r="C1156" s="302">
        <v>0.70156027764347784</v>
      </c>
      <c r="D1156" s="302">
        <f t="shared" si="418"/>
        <v>1.4443032505816427</v>
      </c>
      <c r="E1156" s="303"/>
      <c r="F1156" s="302">
        <v>0.42696834721731614</v>
      </c>
      <c r="G1156" s="302">
        <v>0.4629417393483482</v>
      </c>
      <c r="H1156" s="302">
        <f t="shared" si="419"/>
        <v>0.88991008656566439</v>
      </c>
      <c r="I1156" s="303"/>
      <c r="J1156" s="302">
        <v>0.10823942928750636</v>
      </c>
      <c r="K1156" s="302">
        <v>0.26331829924704014</v>
      </c>
      <c r="L1156" s="302">
        <f t="shared" si="420"/>
        <v>0.37155772853454649</v>
      </c>
      <c r="M1156" s="236"/>
      <c r="N1156" s="236"/>
    </row>
    <row r="1157" spans="1:14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  <c r="N1157" s="236"/>
    </row>
    <row r="1158" spans="1:14" x14ac:dyDescent="0.2">
      <c r="A1158" s="244" t="s">
        <v>32</v>
      </c>
      <c r="B1158" s="311">
        <f>SUM(B1148:B1156)</f>
        <v>50.700999999173419</v>
      </c>
      <c r="C1158" s="311">
        <f t="shared" ref="C1158:D1158" si="421">SUM(C1148:C1156)</f>
        <v>15.761999999836849</v>
      </c>
      <c r="D1158" s="311">
        <f t="shared" si="421"/>
        <v>66.462999999010265</v>
      </c>
      <c r="E1158" s="311"/>
      <c r="F1158" s="311">
        <f t="shared" ref="F1158:H1158" si="422">SUM(F1148:F1156)</f>
        <v>46.525000000085313</v>
      </c>
      <c r="G1158" s="311">
        <f t="shared" si="422"/>
        <v>15.01500000021897</v>
      </c>
      <c r="H1158" s="311">
        <f t="shared" si="422"/>
        <v>61.540000000304261</v>
      </c>
      <c r="I1158" s="311"/>
      <c r="J1158" s="311">
        <f t="shared" ref="J1158:L1158" si="423">SUM(J1148:J1156)</f>
        <v>46.40199999990535</v>
      </c>
      <c r="K1158" s="311">
        <f t="shared" si="423"/>
        <v>14.335000000190146</v>
      </c>
      <c r="L1158" s="311">
        <f t="shared" si="423"/>
        <v>60.737000000095492</v>
      </c>
      <c r="M1158" s="236"/>
      <c r="N1158" s="236"/>
    </row>
    <row r="1159" spans="1:14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  <c r="N1159" s="236"/>
    </row>
    <row r="1160" spans="1:14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56" t="s">
        <v>35</v>
      </c>
      <c r="M1160" s="236"/>
      <c r="N1160" s="236"/>
    </row>
    <row r="1161" spans="1:14" x14ac:dyDescent="0.2">
      <c r="A1161" s="242"/>
      <c r="B1161" s="250"/>
      <c r="C1161" s="250"/>
      <c r="D1161" s="250"/>
      <c r="E1161" s="250"/>
      <c r="F1161" s="250"/>
      <c r="G1161" s="250"/>
      <c r="H1161" s="250"/>
      <c r="I1161" s="250"/>
      <c r="J1161" s="250"/>
      <c r="K1161" s="250"/>
      <c r="L1161" s="236"/>
      <c r="M1161" s="236"/>
      <c r="N1161" s="236"/>
    </row>
    <row r="1162" spans="1:14" x14ac:dyDescent="0.2">
      <c r="A1162" s="241" t="str">
        <f>name!A71</f>
        <v>Social work</v>
      </c>
      <c r="B1162" s="372">
        <f>B$6</f>
        <v>2015</v>
      </c>
      <c r="C1162" s="372"/>
      <c r="D1162" s="372"/>
      <c r="E1162" s="253"/>
      <c r="F1162" s="372">
        <f>F$6</f>
        <v>2020</v>
      </c>
      <c r="G1162" s="372"/>
      <c r="H1162" s="372"/>
      <c r="I1162" s="253"/>
      <c r="J1162" s="372">
        <f>J$6</f>
        <v>2035</v>
      </c>
      <c r="K1162" s="372"/>
      <c r="L1162" s="372"/>
      <c r="M1162" s="236"/>
      <c r="N1162" s="236"/>
    </row>
    <row r="1163" spans="1:14" x14ac:dyDescent="0.2">
      <c r="A1163" s="254"/>
      <c r="B1163" s="255" t="s">
        <v>352</v>
      </c>
      <c r="C1163" s="255" t="s">
        <v>353</v>
      </c>
      <c r="D1163" s="255" t="s">
        <v>32</v>
      </c>
      <c r="E1163" s="255"/>
      <c r="F1163" s="255" t="s">
        <v>352</v>
      </c>
      <c r="G1163" s="255" t="s">
        <v>353</v>
      </c>
      <c r="H1163" s="255" t="s">
        <v>32</v>
      </c>
      <c r="I1163" s="255"/>
      <c r="J1163" s="255" t="s">
        <v>352</v>
      </c>
      <c r="K1163" s="255" t="s">
        <v>353</v>
      </c>
      <c r="L1163" s="255" t="s">
        <v>32</v>
      </c>
      <c r="M1163" s="236"/>
      <c r="N1163" s="236"/>
    </row>
    <row r="1164" spans="1:14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  <c r="N1164" s="236"/>
    </row>
    <row r="1165" spans="1:14" x14ac:dyDescent="0.2">
      <c r="A1165" s="237" t="str">
        <f>name!E$4</f>
        <v>Managers, directors and senior officials</v>
      </c>
      <c r="B1165" s="302">
        <v>4.2764810478504689</v>
      </c>
      <c r="C1165" s="302">
        <v>2.3355606368653796</v>
      </c>
      <c r="D1165" s="302">
        <f>SUM(B1165:C1165)</f>
        <v>6.6120416847158481</v>
      </c>
      <c r="E1165" s="303"/>
      <c r="F1165" s="302">
        <v>4.8350700145219996</v>
      </c>
      <c r="G1165" s="302">
        <v>2.3417171935474399</v>
      </c>
      <c r="H1165" s="302">
        <f>SUM(F1165:G1165)</f>
        <v>7.1767872080694399</v>
      </c>
      <c r="I1165" s="303"/>
      <c r="J1165" s="302">
        <v>5.1484213774718661</v>
      </c>
      <c r="K1165" s="302">
        <v>1.9971897008108337</v>
      </c>
      <c r="L1165" s="302">
        <f>SUM(J1165:K1165)</f>
        <v>7.1456110782827</v>
      </c>
      <c r="M1165" s="236"/>
      <c r="N1165" s="236"/>
    </row>
    <row r="1166" spans="1:14" x14ac:dyDescent="0.2">
      <c r="A1166" s="237" t="str">
        <f>name!E$5</f>
        <v>Professional occupations</v>
      </c>
      <c r="B1166" s="302">
        <v>43.818599621610325</v>
      </c>
      <c r="C1166" s="302">
        <v>13.262525724240671</v>
      </c>
      <c r="D1166" s="302">
        <f t="shared" ref="D1166:D1173" si="424">SUM(B1166:C1166)</f>
        <v>57.081125345850992</v>
      </c>
      <c r="E1166" s="303"/>
      <c r="F1166" s="302">
        <v>44.350997439091913</v>
      </c>
      <c r="G1166" s="302">
        <v>15.086057966796345</v>
      </c>
      <c r="H1166" s="302">
        <f t="shared" ref="H1166:H1173" si="425">SUM(F1166:G1166)</f>
        <v>59.437055405888259</v>
      </c>
      <c r="I1166" s="303"/>
      <c r="J1166" s="302">
        <v>46.035986515916058</v>
      </c>
      <c r="K1166" s="302">
        <v>14.370720068609682</v>
      </c>
      <c r="L1166" s="302">
        <f t="shared" ref="L1166:L1173" si="426">SUM(J1166:K1166)</f>
        <v>60.406706584525736</v>
      </c>
      <c r="M1166" s="236"/>
      <c r="N1166" s="236"/>
    </row>
    <row r="1167" spans="1:14" x14ac:dyDescent="0.2">
      <c r="A1167" s="237" t="str">
        <f>name!E$6</f>
        <v>Associate professional occupations</v>
      </c>
      <c r="B1167" s="302">
        <v>17.282795829424863</v>
      </c>
      <c r="C1167" s="302">
        <v>5.9701436342407508</v>
      </c>
      <c r="D1167" s="302">
        <f t="shared" si="424"/>
        <v>23.252939463665612</v>
      </c>
      <c r="E1167" s="303"/>
      <c r="F1167" s="302">
        <v>17.098556945865674</v>
      </c>
      <c r="G1167" s="302">
        <v>5.9842308131270538</v>
      </c>
      <c r="H1167" s="302">
        <f t="shared" si="425"/>
        <v>23.08278775899273</v>
      </c>
      <c r="I1167" s="303"/>
      <c r="J1167" s="302">
        <v>16.383107096971088</v>
      </c>
      <c r="K1167" s="302">
        <v>4.7699554893000995</v>
      </c>
      <c r="L1167" s="302">
        <f t="shared" si="426"/>
        <v>21.153062586271187</v>
      </c>
      <c r="M1167" s="236"/>
      <c r="N1167" s="236"/>
    </row>
    <row r="1168" spans="1:14" x14ac:dyDescent="0.2">
      <c r="A1168" s="237" t="str">
        <f>name!E$7</f>
        <v>Administrative and secretarial occupations</v>
      </c>
      <c r="B1168" s="302">
        <v>8.6841751688414952</v>
      </c>
      <c r="C1168" s="302">
        <v>1.1661554252294373</v>
      </c>
      <c r="D1168" s="302">
        <f t="shared" si="424"/>
        <v>9.8503305940709325</v>
      </c>
      <c r="E1168" s="303"/>
      <c r="F1168" s="302">
        <v>7.3174115756204721</v>
      </c>
      <c r="G1168" s="302">
        <v>1.0352493495500124</v>
      </c>
      <c r="H1168" s="302">
        <f t="shared" si="425"/>
        <v>8.3526609251704844</v>
      </c>
      <c r="I1168" s="303"/>
      <c r="J1168" s="302">
        <v>4.795862678916512</v>
      </c>
      <c r="K1168" s="302">
        <v>0.73422050990943033</v>
      </c>
      <c r="L1168" s="302">
        <f t="shared" si="426"/>
        <v>5.5300831888259427</v>
      </c>
      <c r="M1168" s="236"/>
      <c r="N1168" s="236"/>
    </row>
    <row r="1169" spans="1:14" x14ac:dyDescent="0.2">
      <c r="A1169" s="237" t="str">
        <f>name!E$8</f>
        <v>Skilled trades occupations</v>
      </c>
      <c r="B1169" s="302">
        <v>0.5142285020616657</v>
      </c>
      <c r="C1169" s="302">
        <v>0.61901286466846883</v>
      </c>
      <c r="D1169" s="302">
        <f t="shared" si="424"/>
        <v>1.1332413667301346</v>
      </c>
      <c r="E1169" s="303"/>
      <c r="F1169" s="302">
        <v>0.37660522202719598</v>
      </c>
      <c r="G1169" s="302">
        <v>0.42591005847968016</v>
      </c>
      <c r="H1169" s="302">
        <f t="shared" si="425"/>
        <v>0.80251528050687615</v>
      </c>
      <c r="I1169" s="303"/>
      <c r="J1169" s="302">
        <v>0.20938259167516457</v>
      </c>
      <c r="K1169" s="302">
        <v>0.28480334828465609</v>
      </c>
      <c r="L1169" s="302">
        <f t="shared" si="426"/>
        <v>0.49418593995982063</v>
      </c>
      <c r="M1169" s="236"/>
      <c r="N1169" s="236"/>
    </row>
    <row r="1170" spans="1:14" x14ac:dyDescent="0.2">
      <c r="A1170" s="237" t="str">
        <f>name!E$9</f>
        <v>Caring, leisure and other service occupations</v>
      </c>
      <c r="B1170" s="302">
        <v>39.223600398975961</v>
      </c>
      <c r="C1170" s="302">
        <v>9.8341499767505063</v>
      </c>
      <c r="D1170" s="302">
        <f t="shared" si="424"/>
        <v>49.057750375726471</v>
      </c>
      <c r="E1170" s="303"/>
      <c r="F1170" s="302">
        <v>34.757360317072155</v>
      </c>
      <c r="G1170" s="302">
        <v>9.2569043343657675</v>
      </c>
      <c r="H1170" s="302">
        <f t="shared" si="425"/>
        <v>44.014264651437927</v>
      </c>
      <c r="I1170" s="303"/>
      <c r="J1170" s="302">
        <v>34.742721731680611</v>
      </c>
      <c r="K1170" s="302">
        <v>11.076313695310379</v>
      </c>
      <c r="L1170" s="302">
        <f t="shared" si="426"/>
        <v>45.819035426990993</v>
      </c>
      <c r="M1170" s="236"/>
      <c r="N1170" s="236"/>
    </row>
    <row r="1171" spans="1:14" x14ac:dyDescent="0.2">
      <c r="A1171" s="237" t="str">
        <f>name!E$10</f>
        <v>Sales and customer service occupations</v>
      </c>
      <c r="B1171" s="302">
        <v>1.512443251790071</v>
      </c>
      <c r="C1171" s="302">
        <v>0.35850898260271818</v>
      </c>
      <c r="D1171" s="302">
        <f t="shared" si="424"/>
        <v>1.8709522343927891</v>
      </c>
      <c r="E1171" s="303"/>
      <c r="F1171" s="302">
        <v>1.2430812604977159</v>
      </c>
      <c r="G1171" s="302">
        <v>0.29040235440563111</v>
      </c>
      <c r="H1171" s="302">
        <f t="shared" si="425"/>
        <v>1.5334836149033471</v>
      </c>
      <c r="I1171" s="303"/>
      <c r="J1171" s="302">
        <v>1.1952846609659198</v>
      </c>
      <c r="K1171" s="302">
        <v>0.23733001710933269</v>
      </c>
      <c r="L1171" s="302">
        <f t="shared" si="426"/>
        <v>1.4326146780752524</v>
      </c>
      <c r="M1171" s="236"/>
      <c r="N1171" s="236"/>
    </row>
    <row r="1172" spans="1:14" x14ac:dyDescent="0.2">
      <c r="A1172" s="237" t="str">
        <f>name!E$11</f>
        <v>Process, plant and machine operatives</v>
      </c>
      <c r="B1172" s="302">
        <v>0.13157252686794843</v>
      </c>
      <c r="C1172" s="302">
        <v>0.66424478753213079</v>
      </c>
      <c r="D1172" s="302">
        <f t="shared" si="424"/>
        <v>0.79581731440007919</v>
      </c>
      <c r="E1172" s="303"/>
      <c r="F1172" s="302">
        <v>7.4366276439207957E-2</v>
      </c>
      <c r="G1172" s="302">
        <v>0.55249324268449196</v>
      </c>
      <c r="H1172" s="302">
        <f t="shared" si="425"/>
        <v>0.62685951912369986</v>
      </c>
      <c r="I1172" s="303"/>
      <c r="J1172" s="302">
        <v>8.0514548052041141E-2</v>
      </c>
      <c r="K1172" s="302">
        <v>0.36717241730223593</v>
      </c>
      <c r="L1172" s="302">
        <f t="shared" si="426"/>
        <v>0.4476869653542771</v>
      </c>
      <c r="M1172" s="236"/>
      <c r="N1172" s="236"/>
    </row>
    <row r="1173" spans="1:14" x14ac:dyDescent="0.2">
      <c r="A1173" s="237" t="str">
        <f>name!E$12</f>
        <v>Elementary occupations</v>
      </c>
      <c r="B1173" s="302">
        <v>1.9881036505255736</v>
      </c>
      <c r="C1173" s="302">
        <v>1.6376979675191865</v>
      </c>
      <c r="D1173" s="302">
        <f t="shared" si="424"/>
        <v>3.6258016180447603</v>
      </c>
      <c r="E1173" s="303"/>
      <c r="F1173" s="302">
        <v>1.179550948921319</v>
      </c>
      <c r="G1173" s="302">
        <v>1.1140346876177039</v>
      </c>
      <c r="H1173" s="302">
        <f t="shared" si="425"/>
        <v>2.2935856365390226</v>
      </c>
      <c r="I1173" s="303"/>
      <c r="J1173" s="302">
        <v>0.30171879813676045</v>
      </c>
      <c r="K1173" s="302">
        <v>0.60729475393911692</v>
      </c>
      <c r="L1173" s="302">
        <f t="shared" si="426"/>
        <v>0.90901355207587731</v>
      </c>
      <c r="M1173" s="236"/>
      <c r="N1173" s="236"/>
    </row>
    <row r="1174" spans="1:14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  <c r="N1174" s="236"/>
    </row>
    <row r="1175" spans="1:14" x14ac:dyDescent="0.2">
      <c r="A1175" s="244" t="s">
        <v>32</v>
      </c>
      <c r="B1175" s="311">
        <f>SUM(B1165:B1173)</f>
        <v>117.43199999794837</v>
      </c>
      <c r="C1175" s="311">
        <f t="shared" ref="C1175:D1175" si="427">SUM(C1165:C1173)</f>
        <v>35.847999999649261</v>
      </c>
      <c r="D1175" s="311">
        <f t="shared" si="427"/>
        <v>153.27999999759763</v>
      </c>
      <c r="E1175" s="311"/>
      <c r="F1175" s="311">
        <f t="shared" ref="F1175:H1175" si="428">SUM(F1165:F1173)</f>
        <v>111.23300000005764</v>
      </c>
      <c r="G1175" s="311">
        <f t="shared" si="428"/>
        <v>36.087000000574122</v>
      </c>
      <c r="H1175" s="311">
        <f t="shared" si="428"/>
        <v>147.32000000063184</v>
      </c>
      <c r="I1175" s="311"/>
      <c r="J1175" s="311">
        <f t="shared" ref="J1175:L1175" si="429">SUM(J1165:J1173)</f>
        <v>108.89299999978603</v>
      </c>
      <c r="K1175" s="311">
        <f t="shared" si="429"/>
        <v>34.44500000057576</v>
      </c>
      <c r="L1175" s="311">
        <f t="shared" si="429"/>
        <v>143.3380000003618</v>
      </c>
      <c r="M1175" s="236"/>
      <c r="N1175" s="236"/>
    </row>
    <row r="1176" spans="1:14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  <c r="N1176" s="236"/>
    </row>
    <row r="1177" spans="1:14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56" t="s">
        <v>35</v>
      </c>
      <c r="M1177" s="236"/>
      <c r="N1177" s="236"/>
    </row>
    <row r="1178" spans="1:14" x14ac:dyDescent="0.2">
      <c r="A1178" s="242"/>
      <c r="B1178" s="250"/>
      <c r="C1178" s="250"/>
      <c r="D1178" s="250"/>
      <c r="E1178" s="250"/>
      <c r="F1178" s="250"/>
      <c r="G1178" s="250"/>
      <c r="H1178" s="250"/>
      <c r="I1178" s="250"/>
      <c r="J1178" s="250"/>
      <c r="K1178" s="250"/>
      <c r="L1178" s="236"/>
      <c r="M1178" s="236"/>
      <c r="N1178" s="236"/>
    </row>
    <row r="1179" spans="1:14" x14ac:dyDescent="0.2">
      <c r="A1179" s="241" t="str">
        <f>name!A72</f>
        <v>Arts and entertainment</v>
      </c>
      <c r="B1179" s="372">
        <f>B$6</f>
        <v>2015</v>
      </c>
      <c r="C1179" s="372"/>
      <c r="D1179" s="372"/>
      <c r="E1179" s="253"/>
      <c r="F1179" s="372">
        <f>F$6</f>
        <v>2020</v>
      </c>
      <c r="G1179" s="372"/>
      <c r="H1179" s="372"/>
      <c r="I1179" s="253"/>
      <c r="J1179" s="372">
        <f>J$6</f>
        <v>2035</v>
      </c>
      <c r="K1179" s="372"/>
      <c r="L1179" s="372"/>
      <c r="M1179" s="236"/>
      <c r="N1179" s="236"/>
    </row>
    <row r="1180" spans="1:14" x14ac:dyDescent="0.2">
      <c r="A1180" s="254"/>
      <c r="B1180" s="255" t="s">
        <v>352</v>
      </c>
      <c r="C1180" s="255" t="s">
        <v>353</v>
      </c>
      <c r="D1180" s="255" t="s">
        <v>32</v>
      </c>
      <c r="E1180" s="255"/>
      <c r="F1180" s="255" t="s">
        <v>352</v>
      </c>
      <c r="G1180" s="255" t="s">
        <v>353</v>
      </c>
      <c r="H1180" s="255" t="s">
        <v>32</v>
      </c>
      <c r="I1180" s="255"/>
      <c r="J1180" s="255" t="s">
        <v>352</v>
      </c>
      <c r="K1180" s="255" t="s">
        <v>353</v>
      </c>
      <c r="L1180" s="255" t="s">
        <v>32</v>
      </c>
      <c r="M1180" s="236"/>
      <c r="N1180" s="236"/>
    </row>
    <row r="1181" spans="1:14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  <c r="N1181" s="236"/>
    </row>
    <row r="1182" spans="1:14" x14ac:dyDescent="0.2">
      <c r="A1182" s="237" t="str">
        <f>name!E$4</f>
        <v>Managers, directors and senior officials</v>
      </c>
      <c r="B1182" s="302">
        <v>2.7125210127713482</v>
      </c>
      <c r="C1182" s="302">
        <v>3.5700142651357156</v>
      </c>
      <c r="D1182" s="302">
        <f>SUM(B1182:C1182)</f>
        <v>6.2825352779070638</v>
      </c>
      <c r="E1182" s="303"/>
      <c r="F1182" s="302">
        <v>5.03751765300398</v>
      </c>
      <c r="G1182" s="302">
        <v>2.7261832265782093</v>
      </c>
      <c r="H1182" s="302">
        <f>SUM(F1182:G1182)</f>
        <v>7.7637008795821894</v>
      </c>
      <c r="I1182" s="303"/>
      <c r="J1182" s="302">
        <v>7.1142760651162913</v>
      </c>
      <c r="K1182" s="302">
        <v>3.0806776818622921</v>
      </c>
      <c r="L1182" s="302">
        <f>SUM(J1182:K1182)</f>
        <v>10.194953746978584</v>
      </c>
      <c r="M1182" s="236"/>
      <c r="N1182" s="236"/>
    </row>
    <row r="1183" spans="1:14" x14ac:dyDescent="0.2">
      <c r="A1183" s="237" t="str">
        <f>name!E$5</f>
        <v>Professional occupations</v>
      </c>
      <c r="B1183" s="302">
        <v>6.7956032750299888</v>
      </c>
      <c r="C1183" s="302">
        <v>7.928993746013802</v>
      </c>
      <c r="D1183" s="302">
        <f t="shared" ref="D1183:D1190" si="430">SUM(B1183:C1183)</f>
        <v>14.724597021043792</v>
      </c>
      <c r="E1183" s="303"/>
      <c r="F1183" s="302">
        <v>10.660427419098534</v>
      </c>
      <c r="G1183" s="302">
        <v>6.631323446731213</v>
      </c>
      <c r="H1183" s="302">
        <f t="shared" ref="H1183:H1190" si="431">SUM(F1183:G1183)</f>
        <v>17.291750865829748</v>
      </c>
      <c r="I1183" s="303"/>
      <c r="J1183" s="302">
        <v>12.090159542483701</v>
      </c>
      <c r="K1183" s="302">
        <v>7.674694891503214</v>
      </c>
      <c r="L1183" s="302">
        <f t="shared" ref="L1183:L1190" si="432">SUM(J1183:K1183)</f>
        <v>19.764854433986915</v>
      </c>
      <c r="M1183" s="236"/>
      <c r="N1183" s="236"/>
    </row>
    <row r="1184" spans="1:14" x14ac:dyDescent="0.2">
      <c r="A1184" s="237" t="str">
        <f>name!E$6</f>
        <v>Associate professional occupations</v>
      </c>
      <c r="B1184" s="302">
        <v>12.456541025474191</v>
      </c>
      <c r="C1184" s="302">
        <v>19.035701700038139</v>
      </c>
      <c r="D1184" s="302">
        <f t="shared" si="430"/>
        <v>31.49224272551233</v>
      </c>
      <c r="E1184" s="303"/>
      <c r="F1184" s="302">
        <v>21.88067067352701</v>
      </c>
      <c r="G1184" s="302">
        <v>14.928440695042131</v>
      </c>
      <c r="H1184" s="302">
        <f t="shared" si="431"/>
        <v>36.809111368569141</v>
      </c>
      <c r="I1184" s="303"/>
      <c r="J1184" s="302">
        <v>25.406193769212461</v>
      </c>
      <c r="K1184" s="302">
        <v>15.820795220359944</v>
      </c>
      <c r="L1184" s="302">
        <f t="shared" si="432"/>
        <v>41.226988989572405</v>
      </c>
      <c r="M1184" s="236"/>
      <c r="N1184" s="236"/>
    </row>
    <row r="1185" spans="1:14" x14ac:dyDescent="0.2">
      <c r="A1185" s="237" t="str">
        <f>name!E$7</f>
        <v>Administrative and secretarial occupations</v>
      </c>
      <c r="B1185" s="302">
        <v>3.5178081436935615</v>
      </c>
      <c r="C1185" s="302">
        <v>0.78012712665325146</v>
      </c>
      <c r="D1185" s="302">
        <f t="shared" si="430"/>
        <v>4.2979352703468132</v>
      </c>
      <c r="E1185" s="303"/>
      <c r="F1185" s="302">
        <v>3.4733755539142748</v>
      </c>
      <c r="G1185" s="302">
        <v>0.87039969325148148</v>
      </c>
      <c r="H1185" s="302">
        <f t="shared" si="431"/>
        <v>4.3437752471657562</v>
      </c>
      <c r="I1185" s="303"/>
      <c r="J1185" s="302">
        <v>3.0591330701574981</v>
      </c>
      <c r="K1185" s="302">
        <v>0.75786676223825067</v>
      </c>
      <c r="L1185" s="302">
        <f t="shared" si="432"/>
        <v>3.8169998323957488</v>
      </c>
      <c r="M1185" s="236"/>
      <c r="N1185" s="236"/>
    </row>
    <row r="1186" spans="1:14" x14ac:dyDescent="0.2">
      <c r="A1186" s="237" t="str">
        <f>name!E$8</f>
        <v>Skilled trades occupations</v>
      </c>
      <c r="B1186" s="302">
        <v>1.2348155118927553</v>
      </c>
      <c r="C1186" s="302">
        <v>2.6918519634691194</v>
      </c>
      <c r="D1186" s="302">
        <f t="shared" si="430"/>
        <v>3.9266674753618744</v>
      </c>
      <c r="E1186" s="303"/>
      <c r="F1186" s="302">
        <v>2.6457451305889341</v>
      </c>
      <c r="G1186" s="302">
        <v>1.6818418798917285</v>
      </c>
      <c r="H1186" s="302">
        <f t="shared" si="431"/>
        <v>4.3275870104806629</v>
      </c>
      <c r="I1186" s="303"/>
      <c r="J1186" s="302">
        <v>4.0743940667828022</v>
      </c>
      <c r="K1186" s="302">
        <v>1.6517899209461406</v>
      </c>
      <c r="L1186" s="302">
        <f t="shared" si="432"/>
        <v>5.7261839877289429</v>
      </c>
      <c r="M1186" s="236"/>
      <c r="N1186" s="236"/>
    </row>
    <row r="1187" spans="1:14" x14ac:dyDescent="0.2">
      <c r="A1187" s="237" t="str">
        <f>name!E$9</f>
        <v>Caring, leisure and other service occupations</v>
      </c>
      <c r="B1187" s="302">
        <v>1.3496981387810694</v>
      </c>
      <c r="C1187" s="302">
        <v>1.2526770119095814</v>
      </c>
      <c r="D1187" s="302">
        <f t="shared" si="430"/>
        <v>2.6023751506906505</v>
      </c>
      <c r="E1187" s="303"/>
      <c r="F1187" s="302">
        <v>1.5043916672634441</v>
      </c>
      <c r="G1187" s="302">
        <v>1.1685591892460032</v>
      </c>
      <c r="H1187" s="302">
        <f t="shared" si="431"/>
        <v>2.6729508565094475</v>
      </c>
      <c r="I1187" s="303"/>
      <c r="J1187" s="302">
        <v>1.7068269255879374</v>
      </c>
      <c r="K1187" s="302">
        <v>1.4531507112646342</v>
      </c>
      <c r="L1187" s="302">
        <f t="shared" si="432"/>
        <v>3.1599776368525716</v>
      </c>
      <c r="M1187" s="236"/>
      <c r="N1187" s="236"/>
    </row>
    <row r="1188" spans="1:14" x14ac:dyDescent="0.2">
      <c r="A1188" s="237" t="str">
        <f>name!E$10</f>
        <v>Sales and customer service occupations</v>
      </c>
      <c r="B1188" s="302">
        <v>1.1152865137031098</v>
      </c>
      <c r="C1188" s="302">
        <v>0.96657933524942186</v>
      </c>
      <c r="D1188" s="302">
        <f t="shared" si="430"/>
        <v>2.0818658489525319</v>
      </c>
      <c r="E1188" s="303"/>
      <c r="F1188" s="302">
        <v>1.2272653753127518</v>
      </c>
      <c r="G1188" s="302">
        <v>0.84319634190446036</v>
      </c>
      <c r="H1188" s="302">
        <f t="shared" si="431"/>
        <v>2.0704617172172122</v>
      </c>
      <c r="I1188" s="303"/>
      <c r="J1188" s="302">
        <v>1.2944730492453194</v>
      </c>
      <c r="K1188" s="302">
        <v>0.92650416334496388</v>
      </c>
      <c r="L1188" s="302">
        <f t="shared" si="432"/>
        <v>2.2209772125902831</v>
      </c>
      <c r="M1188" s="236"/>
      <c r="N1188" s="236"/>
    </row>
    <row r="1189" spans="1:14" x14ac:dyDescent="0.2">
      <c r="A1189" s="237" t="str">
        <f>name!E$11</f>
        <v>Process, plant and machine operatives</v>
      </c>
      <c r="B1189" s="302">
        <v>5.0091371869038497E-2</v>
      </c>
      <c r="C1189" s="302">
        <v>0.17931816599846168</v>
      </c>
      <c r="D1189" s="302">
        <f t="shared" si="430"/>
        <v>0.22940953786750018</v>
      </c>
      <c r="E1189" s="303"/>
      <c r="F1189" s="302">
        <v>6.8345420578790381E-2</v>
      </c>
      <c r="G1189" s="302">
        <v>0.15596980687297843</v>
      </c>
      <c r="H1189" s="302">
        <f t="shared" si="431"/>
        <v>0.22431522745176879</v>
      </c>
      <c r="I1189" s="303"/>
      <c r="J1189" s="302">
        <v>8.9420246925792687E-2</v>
      </c>
      <c r="K1189" s="302">
        <v>0.1506076652736778</v>
      </c>
      <c r="L1189" s="302">
        <f t="shared" si="432"/>
        <v>0.24002791219947051</v>
      </c>
      <c r="M1189" s="236"/>
      <c r="N1189" s="236"/>
    </row>
    <row r="1190" spans="1:14" x14ac:dyDescent="0.2">
      <c r="A1190" s="237" t="str">
        <f>name!E$12</f>
        <v>Elementary occupations</v>
      </c>
      <c r="B1190" s="302">
        <v>1.583635006718584</v>
      </c>
      <c r="C1190" s="302">
        <v>1.2017366860717729</v>
      </c>
      <c r="D1190" s="302">
        <f t="shared" si="430"/>
        <v>2.7853716927903571</v>
      </c>
      <c r="E1190" s="303"/>
      <c r="F1190" s="302">
        <v>1.1812611064353109</v>
      </c>
      <c r="G1190" s="302">
        <v>1.0540857211764902</v>
      </c>
      <c r="H1190" s="302">
        <f t="shared" si="431"/>
        <v>2.2353468276118011</v>
      </c>
      <c r="I1190" s="303"/>
      <c r="J1190" s="302">
        <v>0.88712326462557622</v>
      </c>
      <c r="K1190" s="302">
        <v>0.61891298433690956</v>
      </c>
      <c r="L1190" s="302">
        <f t="shared" si="432"/>
        <v>1.5060362489624857</v>
      </c>
      <c r="M1190" s="236"/>
      <c r="N1190" s="236"/>
    </row>
    <row r="1191" spans="1:14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  <c r="N1191" s="236"/>
    </row>
    <row r="1192" spans="1:14" x14ac:dyDescent="0.2">
      <c r="A1192" s="244" t="s">
        <v>32</v>
      </c>
      <c r="B1192" s="311">
        <f>SUM(B1182:B1190)</f>
        <v>30.815999999933645</v>
      </c>
      <c r="C1192" s="311">
        <f t="shared" ref="C1192:D1192" si="433">SUM(C1182:C1190)</f>
        <v>37.607000000539266</v>
      </c>
      <c r="D1192" s="311">
        <f t="shared" si="433"/>
        <v>68.423000000472911</v>
      </c>
      <c r="E1192" s="311"/>
      <c r="F1192" s="311">
        <f t="shared" ref="F1192:H1192" si="434">SUM(F1182:F1190)</f>
        <v>47.678999999723025</v>
      </c>
      <c r="G1192" s="311">
        <f t="shared" si="434"/>
        <v>30.060000000694696</v>
      </c>
      <c r="H1192" s="311">
        <f t="shared" si="434"/>
        <v>77.739000000417718</v>
      </c>
      <c r="I1192" s="311"/>
      <c r="J1192" s="311">
        <f t="shared" ref="J1192:L1192" si="435">SUM(J1182:J1190)</f>
        <v>55.722000000137385</v>
      </c>
      <c r="K1192" s="311">
        <f t="shared" si="435"/>
        <v>32.135000001130031</v>
      </c>
      <c r="L1192" s="311">
        <f t="shared" si="435"/>
        <v>87.857000001267409</v>
      </c>
      <c r="M1192" s="236"/>
      <c r="N1192" s="236"/>
    </row>
    <row r="1193" spans="1:14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  <c r="N1193" s="236"/>
    </row>
    <row r="1194" spans="1:14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56" t="s">
        <v>35</v>
      </c>
      <c r="M1194" s="236"/>
      <c r="N1194" s="236"/>
    </row>
    <row r="1195" spans="1:14" x14ac:dyDescent="0.2">
      <c r="A1195" s="242"/>
      <c r="B1195" s="250"/>
      <c r="C1195" s="250"/>
      <c r="D1195" s="250"/>
      <c r="E1195" s="250"/>
      <c r="F1195" s="250"/>
      <c r="G1195" s="250"/>
      <c r="H1195" s="250"/>
      <c r="I1195" s="250"/>
      <c r="J1195" s="250"/>
      <c r="K1195" s="250"/>
      <c r="L1195" s="236"/>
      <c r="M1195" s="236"/>
      <c r="N1195" s="236"/>
    </row>
    <row r="1196" spans="1:14" x14ac:dyDescent="0.2">
      <c r="A1196" s="241" t="str">
        <f>name!A73</f>
        <v>Libraries, etc</v>
      </c>
      <c r="B1196" s="372">
        <f>B$6</f>
        <v>2015</v>
      </c>
      <c r="C1196" s="372"/>
      <c r="D1196" s="372"/>
      <c r="E1196" s="253"/>
      <c r="F1196" s="372">
        <f>F$6</f>
        <v>2020</v>
      </c>
      <c r="G1196" s="372"/>
      <c r="H1196" s="372"/>
      <c r="I1196" s="253"/>
      <c r="J1196" s="372">
        <f>J$6</f>
        <v>2035</v>
      </c>
      <c r="K1196" s="372"/>
      <c r="L1196" s="372"/>
      <c r="M1196" s="236"/>
      <c r="N1196" s="236"/>
    </row>
    <row r="1197" spans="1:14" x14ac:dyDescent="0.2">
      <c r="A1197" s="254"/>
      <c r="B1197" s="255" t="s">
        <v>352</v>
      </c>
      <c r="C1197" s="255" t="s">
        <v>353</v>
      </c>
      <c r="D1197" s="255" t="s">
        <v>32</v>
      </c>
      <c r="E1197" s="255"/>
      <c r="F1197" s="255" t="s">
        <v>352</v>
      </c>
      <c r="G1197" s="255" t="s">
        <v>353</v>
      </c>
      <c r="H1197" s="255" t="s">
        <v>32</v>
      </c>
      <c r="I1197" s="255"/>
      <c r="J1197" s="255" t="s">
        <v>352</v>
      </c>
      <c r="K1197" s="255" t="s">
        <v>353</v>
      </c>
      <c r="L1197" s="255" t="s">
        <v>32</v>
      </c>
      <c r="M1197" s="236"/>
      <c r="N1197" s="236"/>
    </row>
    <row r="1198" spans="1:14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  <c r="N1198" s="236"/>
    </row>
    <row r="1199" spans="1:14" x14ac:dyDescent="0.2">
      <c r="A1199" s="237" t="str">
        <f>name!E$4</f>
        <v>Managers, directors and senior officials</v>
      </c>
      <c r="B1199" s="302">
        <v>1.6104147801462798</v>
      </c>
      <c r="C1199" s="302">
        <v>2.0421958203640074</v>
      </c>
      <c r="D1199" s="302">
        <f>SUM(B1199:C1199)</f>
        <v>3.652610600510287</v>
      </c>
      <c r="E1199" s="303"/>
      <c r="F1199" s="302">
        <v>3.2811483008449649</v>
      </c>
      <c r="G1199" s="302">
        <v>1.6087896952589089</v>
      </c>
      <c r="H1199" s="302">
        <f>SUM(F1199:G1199)</f>
        <v>4.8899379961038738</v>
      </c>
      <c r="I1199" s="303"/>
      <c r="J1199" s="302">
        <v>4.6868765695470351</v>
      </c>
      <c r="K1199" s="302">
        <v>1.8111634175970139</v>
      </c>
      <c r="L1199" s="302">
        <f>SUM(J1199:K1199)</f>
        <v>6.4980399871440486</v>
      </c>
      <c r="M1199" s="236"/>
      <c r="N1199" s="236"/>
    </row>
    <row r="1200" spans="1:14" x14ac:dyDescent="0.2">
      <c r="A1200" s="237" t="str">
        <f>name!E$5</f>
        <v>Professional occupations</v>
      </c>
      <c r="B1200" s="302">
        <v>3.9758269053710791</v>
      </c>
      <c r="C1200" s="302">
        <v>4.1715158947696747</v>
      </c>
      <c r="D1200" s="302">
        <f t="shared" ref="D1200:D1207" si="436">SUM(B1200:C1200)</f>
        <v>8.1473428001407537</v>
      </c>
      <c r="E1200" s="303"/>
      <c r="F1200" s="302">
        <v>6.6059259953868237</v>
      </c>
      <c r="G1200" s="302">
        <v>3.657221624784678</v>
      </c>
      <c r="H1200" s="302">
        <f t="shared" ref="H1200:H1207" si="437">SUM(F1200:G1200)</f>
        <v>10.263147620171502</v>
      </c>
      <c r="I1200" s="303"/>
      <c r="J1200" s="302">
        <v>7.419296513161056</v>
      </c>
      <c r="K1200" s="302">
        <v>4.2184110228936174</v>
      </c>
      <c r="L1200" s="302">
        <f t="shared" ref="L1200:L1207" si="438">SUM(J1200:K1200)</f>
        <v>11.637707536054673</v>
      </c>
      <c r="M1200" s="236"/>
      <c r="N1200" s="236"/>
    </row>
    <row r="1201" spans="1:14" x14ac:dyDescent="0.2">
      <c r="A1201" s="237" t="str">
        <f>name!E$6</f>
        <v>Associate professional occupations</v>
      </c>
      <c r="B1201" s="302">
        <v>7.5733441071385457</v>
      </c>
      <c r="C1201" s="302">
        <v>9.7736243235750422</v>
      </c>
      <c r="D1201" s="302">
        <f t="shared" si="436"/>
        <v>17.346968430713588</v>
      </c>
      <c r="E1201" s="303"/>
      <c r="F1201" s="302">
        <v>14.446358620874026</v>
      </c>
      <c r="G1201" s="302">
        <v>8.1161968765579147</v>
      </c>
      <c r="H1201" s="302">
        <f t="shared" si="437"/>
        <v>22.562555497431941</v>
      </c>
      <c r="I1201" s="303"/>
      <c r="J1201" s="302">
        <v>16.798413611685337</v>
      </c>
      <c r="K1201" s="302">
        <v>8.6975324912710121</v>
      </c>
      <c r="L1201" s="302">
        <f t="shared" si="438"/>
        <v>25.495946102956349</v>
      </c>
      <c r="M1201" s="236"/>
      <c r="N1201" s="236"/>
    </row>
    <row r="1202" spans="1:14" x14ac:dyDescent="0.2">
      <c r="A1202" s="237" t="str">
        <f>name!E$7</f>
        <v>Administrative and secretarial occupations</v>
      </c>
      <c r="B1202" s="302">
        <v>2.0426529427418294</v>
      </c>
      <c r="C1202" s="302">
        <v>0.40353397404563901</v>
      </c>
      <c r="D1202" s="302">
        <f t="shared" si="436"/>
        <v>2.4461869167874686</v>
      </c>
      <c r="E1202" s="303"/>
      <c r="F1202" s="302">
        <v>2.0824766870398617</v>
      </c>
      <c r="G1202" s="302">
        <v>0.43288621749671258</v>
      </c>
      <c r="H1202" s="302">
        <f t="shared" si="437"/>
        <v>2.5153629045365742</v>
      </c>
      <c r="I1202" s="303"/>
      <c r="J1202" s="302">
        <v>1.8323157362569475</v>
      </c>
      <c r="K1202" s="302">
        <v>0.38200617719045005</v>
      </c>
      <c r="L1202" s="302">
        <f t="shared" si="438"/>
        <v>2.2143219134473977</v>
      </c>
      <c r="M1202" s="236"/>
      <c r="N1202" s="236"/>
    </row>
    <row r="1203" spans="1:14" x14ac:dyDescent="0.2">
      <c r="A1203" s="237" t="str">
        <f>name!E$8</f>
        <v>Skilled trades occupations</v>
      </c>
      <c r="B1203" s="302">
        <v>0.76473079813395517</v>
      </c>
      <c r="C1203" s="302">
        <v>1.5118253713292487</v>
      </c>
      <c r="D1203" s="302">
        <f t="shared" si="436"/>
        <v>2.2765561694632037</v>
      </c>
      <c r="E1203" s="303"/>
      <c r="F1203" s="302">
        <v>1.8035558621794947</v>
      </c>
      <c r="G1203" s="302">
        <v>0.96967546322498865</v>
      </c>
      <c r="H1203" s="302">
        <f t="shared" si="437"/>
        <v>2.7732313254044834</v>
      </c>
      <c r="I1203" s="303"/>
      <c r="J1203" s="302">
        <v>2.7810115143591241</v>
      </c>
      <c r="K1203" s="302">
        <v>0.91968388667448875</v>
      </c>
      <c r="L1203" s="302">
        <f t="shared" si="438"/>
        <v>3.7006954010336131</v>
      </c>
      <c r="M1203" s="236"/>
      <c r="N1203" s="236"/>
    </row>
    <row r="1204" spans="1:14" x14ac:dyDescent="0.2">
      <c r="A1204" s="237" t="str">
        <f>name!E$9</f>
        <v>Caring, leisure and other service occupations</v>
      </c>
      <c r="B1204" s="302">
        <v>0.79869839077105964</v>
      </c>
      <c r="C1204" s="302">
        <v>0.65488349721703321</v>
      </c>
      <c r="D1204" s="302">
        <f t="shared" si="436"/>
        <v>1.4535818879880928</v>
      </c>
      <c r="E1204" s="303"/>
      <c r="F1204" s="302">
        <v>0.94581926690247153</v>
      </c>
      <c r="G1204" s="302">
        <v>0.59591721880087645</v>
      </c>
      <c r="H1204" s="302">
        <f t="shared" si="437"/>
        <v>1.541736485703348</v>
      </c>
      <c r="I1204" s="303"/>
      <c r="J1204" s="302">
        <v>1.0913900228409457</v>
      </c>
      <c r="K1204" s="302">
        <v>0.73960829619317203</v>
      </c>
      <c r="L1204" s="302">
        <f t="shared" si="438"/>
        <v>1.8309983190341177</v>
      </c>
      <c r="M1204" s="236"/>
      <c r="N1204" s="236"/>
    </row>
    <row r="1205" spans="1:14" x14ac:dyDescent="0.2">
      <c r="A1205" s="237" t="str">
        <f>name!E$10</f>
        <v>Sales and customer service occupations</v>
      </c>
      <c r="B1205" s="302">
        <v>0.65449989289388877</v>
      </c>
      <c r="C1205" s="302">
        <v>0.50431208552143558</v>
      </c>
      <c r="D1205" s="302">
        <f t="shared" si="436"/>
        <v>1.1588119784153244</v>
      </c>
      <c r="E1205" s="303"/>
      <c r="F1205" s="302">
        <v>0.76422172420031642</v>
      </c>
      <c r="G1205" s="302">
        <v>0.43314616742041401</v>
      </c>
      <c r="H1205" s="302">
        <f t="shared" si="437"/>
        <v>1.1973678916207304</v>
      </c>
      <c r="I1205" s="303"/>
      <c r="J1205" s="302">
        <v>0.81794310110454416</v>
      </c>
      <c r="K1205" s="302">
        <v>0.47439723631311459</v>
      </c>
      <c r="L1205" s="302">
        <f t="shared" si="438"/>
        <v>1.2923403374176587</v>
      </c>
      <c r="M1205" s="236"/>
      <c r="N1205" s="236"/>
    </row>
    <row r="1206" spans="1:14" x14ac:dyDescent="0.2">
      <c r="A1206" s="237" t="str">
        <f>name!E$11</f>
        <v>Process, plant and machine operatives</v>
      </c>
      <c r="B1206" s="302">
        <v>2.9776099414379607E-2</v>
      </c>
      <c r="C1206" s="302">
        <v>9.4402969655684524E-2</v>
      </c>
      <c r="D1206" s="302">
        <f t="shared" si="436"/>
        <v>0.12417906907006412</v>
      </c>
      <c r="E1206" s="303"/>
      <c r="F1206" s="302">
        <v>4.4737506501615121E-2</v>
      </c>
      <c r="G1206" s="302">
        <v>7.9738662378710398E-2</v>
      </c>
      <c r="H1206" s="302">
        <f t="shared" si="437"/>
        <v>0.12447616888032552</v>
      </c>
      <c r="I1206" s="303"/>
      <c r="J1206" s="302">
        <v>5.7669640424411854E-2</v>
      </c>
      <c r="K1206" s="302">
        <v>7.7010062973870044E-2</v>
      </c>
      <c r="L1206" s="302">
        <f t="shared" si="438"/>
        <v>0.13467970339828189</v>
      </c>
      <c r="M1206" s="236"/>
      <c r="N1206" s="236"/>
    </row>
    <row r="1207" spans="1:14" ht="13.5" customHeight="1" x14ac:dyDescent="0.2">
      <c r="A1207" s="237" t="str">
        <f>name!E$12</f>
        <v>Elementary occupations</v>
      </c>
      <c r="B1207" s="302">
        <v>0.96205608335738846</v>
      </c>
      <c r="C1207" s="302">
        <v>0.5967060637628091</v>
      </c>
      <c r="D1207" s="302">
        <f t="shared" si="436"/>
        <v>1.5587621471201976</v>
      </c>
      <c r="E1207" s="303"/>
      <c r="F1207" s="302">
        <v>0.72375603587675796</v>
      </c>
      <c r="G1207" s="302">
        <v>0.50742807444506755</v>
      </c>
      <c r="H1207" s="302">
        <f t="shared" si="437"/>
        <v>1.2311841103218255</v>
      </c>
      <c r="I1207" s="303"/>
      <c r="J1207" s="302">
        <v>0.54708329071295247</v>
      </c>
      <c r="K1207" s="302">
        <v>0.30718740949347917</v>
      </c>
      <c r="L1207" s="302">
        <f t="shared" si="438"/>
        <v>0.85427070020643159</v>
      </c>
      <c r="M1207" s="236"/>
      <c r="N1207" s="236"/>
    </row>
    <row r="1208" spans="1:14" ht="13.5" customHeight="1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  <c r="N1208" s="236"/>
    </row>
    <row r="1209" spans="1:14" x14ac:dyDescent="0.2">
      <c r="A1209" s="244" t="s">
        <v>32</v>
      </c>
      <c r="B1209" s="311">
        <f>SUM(B1199:B1207)</f>
        <v>18.411999999968405</v>
      </c>
      <c r="C1209" s="311">
        <f t="shared" ref="C1209:D1209" si="439">SUM(C1199:C1207)</f>
        <v>19.753000000240572</v>
      </c>
      <c r="D1209" s="311">
        <f t="shared" si="439"/>
        <v>38.165000000208984</v>
      </c>
      <c r="E1209" s="311"/>
      <c r="F1209" s="311">
        <f t="shared" ref="F1209:H1209" si="440">SUM(F1199:F1207)</f>
        <v>30.697999999806328</v>
      </c>
      <c r="G1209" s="311">
        <f t="shared" si="440"/>
        <v>16.401000000368271</v>
      </c>
      <c r="H1209" s="311">
        <f t="shared" si="440"/>
        <v>47.099000000174605</v>
      </c>
      <c r="I1209" s="311"/>
      <c r="J1209" s="311">
        <f t="shared" ref="J1209:L1209" si="441">SUM(J1199:J1207)</f>
        <v>36.032000000092367</v>
      </c>
      <c r="K1209" s="311">
        <f t="shared" si="441"/>
        <v>17.627000000600219</v>
      </c>
      <c r="L1209" s="311">
        <f t="shared" si="441"/>
        <v>53.659000000692572</v>
      </c>
      <c r="M1209" s="236"/>
      <c r="N1209" s="236"/>
    </row>
    <row r="1210" spans="1:14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  <c r="N1210" s="236"/>
    </row>
    <row r="1211" spans="1:14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56" t="s">
        <v>35</v>
      </c>
      <c r="M1211" s="236"/>
      <c r="N1211" s="236"/>
    </row>
    <row r="1212" spans="1:14" x14ac:dyDescent="0.2">
      <c r="A1212" s="242"/>
      <c r="B1212" s="250"/>
      <c r="C1212" s="250"/>
      <c r="D1212" s="250"/>
      <c r="E1212" s="250"/>
      <c r="F1212" s="250"/>
      <c r="G1212" s="250"/>
      <c r="H1212" s="250"/>
      <c r="I1212" s="250"/>
      <c r="J1212" s="250"/>
      <c r="K1212" s="250"/>
      <c r="L1212" s="236"/>
      <c r="M1212" s="236"/>
      <c r="N1212" s="236"/>
    </row>
    <row r="1213" spans="1:14" x14ac:dyDescent="0.2">
      <c r="A1213" s="241" t="str">
        <f>name!A74</f>
        <v>Gambling and betting</v>
      </c>
      <c r="B1213" s="372">
        <f>B$6</f>
        <v>2015</v>
      </c>
      <c r="C1213" s="372"/>
      <c r="D1213" s="372"/>
      <c r="E1213" s="253"/>
      <c r="F1213" s="372">
        <f>F$6</f>
        <v>2020</v>
      </c>
      <c r="G1213" s="372"/>
      <c r="H1213" s="372"/>
      <c r="I1213" s="253"/>
      <c r="J1213" s="372">
        <f>J$6</f>
        <v>2035</v>
      </c>
      <c r="K1213" s="372"/>
      <c r="L1213" s="372"/>
      <c r="M1213" s="236"/>
      <c r="N1213" s="236"/>
    </row>
    <row r="1214" spans="1:14" x14ac:dyDescent="0.2">
      <c r="A1214" s="254"/>
      <c r="B1214" s="255" t="s">
        <v>352</v>
      </c>
      <c r="C1214" s="255" t="s">
        <v>353</v>
      </c>
      <c r="D1214" s="255" t="s">
        <v>32</v>
      </c>
      <c r="E1214" s="255"/>
      <c r="F1214" s="255" t="s">
        <v>352</v>
      </c>
      <c r="G1214" s="255" t="s">
        <v>353</v>
      </c>
      <c r="H1214" s="255" t="s">
        <v>32</v>
      </c>
      <c r="I1214" s="255"/>
      <c r="J1214" s="255" t="s">
        <v>352</v>
      </c>
      <c r="K1214" s="255" t="s">
        <v>353</v>
      </c>
      <c r="L1214" s="255" t="s">
        <v>32</v>
      </c>
      <c r="M1214" s="236"/>
      <c r="N1214" s="236"/>
    </row>
    <row r="1215" spans="1:14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  <c r="N1215" s="236"/>
    </row>
    <row r="1216" spans="1:14" x14ac:dyDescent="0.2">
      <c r="A1216" s="237" t="str">
        <f>name!E$4</f>
        <v>Managers, directors and senior officials</v>
      </c>
      <c r="B1216" s="302">
        <v>0.63123293089386379</v>
      </c>
      <c r="C1216" s="302">
        <v>2.126549650516969</v>
      </c>
      <c r="D1216" s="302">
        <f>SUM(B1216:C1216)</f>
        <v>2.757782581410833</v>
      </c>
      <c r="E1216" s="303"/>
      <c r="F1216" s="302">
        <v>0.61526554039583314</v>
      </c>
      <c r="G1216" s="302">
        <v>1.7265048265063256</v>
      </c>
      <c r="H1216" s="302">
        <f>SUM(F1216:G1216)</f>
        <v>2.3417703669021588</v>
      </c>
      <c r="I1216" s="303"/>
      <c r="J1216" s="302">
        <v>0.89054431470602846</v>
      </c>
      <c r="K1216" s="302">
        <v>2.4909697255423495</v>
      </c>
      <c r="L1216" s="302">
        <f>SUM(J1216:K1216)</f>
        <v>3.3815140402483781</v>
      </c>
      <c r="M1216" s="236"/>
      <c r="N1216" s="236"/>
    </row>
    <row r="1217" spans="1:14" x14ac:dyDescent="0.2">
      <c r="A1217" s="237" t="str">
        <f>name!E$5</f>
        <v>Professional occupations</v>
      </c>
      <c r="B1217" s="302">
        <v>1.7631452966178629</v>
      </c>
      <c r="C1217" s="302">
        <v>3.2949993554304338</v>
      </c>
      <c r="D1217" s="302">
        <f t="shared" ref="D1217:D1224" si="442">SUM(B1217:C1217)</f>
        <v>5.0581446520482967</v>
      </c>
      <c r="E1217" s="303"/>
      <c r="F1217" s="302">
        <v>1.727054931077856</v>
      </c>
      <c r="G1217" s="302">
        <v>3.2580573948858902</v>
      </c>
      <c r="H1217" s="302">
        <f t="shared" ref="H1217:H1224" si="443">SUM(F1217:G1217)</f>
        <v>4.9851123259637458</v>
      </c>
      <c r="I1217" s="303"/>
      <c r="J1217" s="302">
        <v>2.3095905778583927</v>
      </c>
      <c r="K1217" s="302">
        <v>5.2792645059704624</v>
      </c>
      <c r="L1217" s="302">
        <f t="shared" ref="L1217:L1224" si="444">SUM(J1217:K1217)</f>
        <v>7.5888550838288555</v>
      </c>
      <c r="M1217" s="236"/>
      <c r="N1217" s="236"/>
    </row>
    <row r="1218" spans="1:14" x14ac:dyDescent="0.2">
      <c r="A1218" s="237" t="str">
        <f>name!E$6</f>
        <v>Associate professional occupations</v>
      </c>
      <c r="B1218" s="302">
        <v>2.8409113145768887</v>
      </c>
      <c r="C1218" s="302">
        <v>6.7124359176848234</v>
      </c>
      <c r="D1218" s="302">
        <f t="shared" si="442"/>
        <v>9.5533472322617126</v>
      </c>
      <c r="E1218" s="303"/>
      <c r="F1218" s="302">
        <v>2.6325061939971421</v>
      </c>
      <c r="G1218" s="302">
        <v>5.845530708408833</v>
      </c>
      <c r="H1218" s="302">
        <f t="shared" si="443"/>
        <v>8.4780369024059752</v>
      </c>
      <c r="I1218" s="303"/>
      <c r="J1218" s="302">
        <v>3.3717887097992398</v>
      </c>
      <c r="K1218" s="302">
        <v>8.2568671783184264</v>
      </c>
      <c r="L1218" s="302">
        <f t="shared" si="444"/>
        <v>11.628655888117667</v>
      </c>
      <c r="M1218" s="236"/>
      <c r="N1218" s="236"/>
    </row>
    <row r="1219" spans="1:14" x14ac:dyDescent="0.2">
      <c r="A1219" s="237" t="str">
        <f>name!E$7</f>
        <v>Administrative and secretarial occupations</v>
      </c>
      <c r="B1219" s="302">
        <v>1.0228314221048525</v>
      </c>
      <c r="C1219" s="302">
        <v>0.70241579658961772</v>
      </c>
      <c r="D1219" s="302">
        <f t="shared" si="442"/>
        <v>1.7252472186944701</v>
      </c>
      <c r="E1219" s="303"/>
      <c r="F1219" s="302">
        <v>0.72483167526306891</v>
      </c>
      <c r="G1219" s="302">
        <v>0.63000128715305059</v>
      </c>
      <c r="H1219" s="302">
        <f t="shared" si="443"/>
        <v>1.3548329624161195</v>
      </c>
      <c r="I1219" s="303"/>
      <c r="J1219" s="302">
        <v>0.73060617005320239</v>
      </c>
      <c r="K1219" s="302">
        <v>0.69437842739294731</v>
      </c>
      <c r="L1219" s="302">
        <f t="shared" si="444"/>
        <v>1.4249845974461497</v>
      </c>
      <c r="M1219" s="236"/>
      <c r="N1219" s="236"/>
    </row>
    <row r="1220" spans="1:14" x14ac:dyDescent="0.2">
      <c r="A1220" s="237" t="str">
        <f>name!E$8</f>
        <v>Skilled trades occupations</v>
      </c>
      <c r="B1220" s="302">
        <v>0.23592507092169793</v>
      </c>
      <c r="C1220" s="302">
        <v>1.6835392925359935</v>
      </c>
      <c r="D1220" s="302">
        <f t="shared" si="442"/>
        <v>1.9194643634576916</v>
      </c>
      <c r="E1220" s="303"/>
      <c r="F1220" s="302">
        <v>0.23118626921246602</v>
      </c>
      <c r="G1220" s="302">
        <v>1.0644259553336792</v>
      </c>
      <c r="H1220" s="302">
        <f t="shared" si="443"/>
        <v>1.2956122245461452</v>
      </c>
      <c r="I1220" s="303"/>
      <c r="J1220" s="302">
        <v>0.38110389836371228</v>
      </c>
      <c r="K1220" s="302">
        <v>1.2249916048902694</v>
      </c>
      <c r="L1220" s="302">
        <f t="shared" si="444"/>
        <v>1.6060955032539816</v>
      </c>
      <c r="M1220" s="236"/>
      <c r="N1220" s="236"/>
    </row>
    <row r="1221" spans="1:14" x14ac:dyDescent="0.2">
      <c r="A1221" s="237" t="str">
        <f>name!E$9</f>
        <v>Caring, leisure and other service occupations</v>
      </c>
      <c r="B1221" s="302">
        <v>0.38087947943323591</v>
      </c>
      <c r="C1221" s="302">
        <v>1.092222363012429</v>
      </c>
      <c r="D1221" s="302">
        <f t="shared" si="442"/>
        <v>1.473101842445665</v>
      </c>
      <c r="E1221" s="303"/>
      <c r="F1221" s="302">
        <v>0.26940272809480642</v>
      </c>
      <c r="G1221" s="302">
        <v>0.82057956225068618</v>
      </c>
      <c r="H1221" s="302">
        <f t="shared" si="443"/>
        <v>1.0899822903454925</v>
      </c>
      <c r="I1221" s="303"/>
      <c r="J1221" s="302">
        <v>0.30329642518772076</v>
      </c>
      <c r="K1221" s="302">
        <v>1.3013987505993072</v>
      </c>
      <c r="L1221" s="302">
        <f t="shared" si="444"/>
        <v>1.604695175787028</v>
      </c>
      <c r="M1221" s="236"/>
      <c r="N1221" s="236"/>
    </row>
    <row r="1222" spans="1:14" x14ac:dyDescent="0.2">
      <c r="A1222" s="237" t="str">
        <f>name!E$10</f>
        <v>Sales and customer service occupations</v>
      </c>
      <c r="B1222" s="302">
        <v>0.28783506981673501</v>
      </c>
      <c r="C1222" s="302">
        <v>0.73779156934839452</v>
      </c>
      <c r="D1222" s="302">
        <f t="shared" si="442"/>
        <v>1.0256266391651296</v>
      </c>
      <c r="E1222" s="303"/>
      <c r="F1222" s="302">
        <v>0.1996041920441276</v>
      </c>
      <c r="G1222" s="302">
        <v>0.56418056931901039</v>
      </c>
      <c r="H1222" s="302">
        <f t="shared" si="443"/>
        <v>0.763784761363138</v>
      </c>
      <c r="I1222" s="303"/>
      <c r="J1222" s="302">
        <v>0.223176065223082</v>
      </c>
      <c r="K1222" s="302">
        <v>0.82199788033127086</v>
      </c>
      <c r="L1222" s="302">
        <f t="shared" si="444"/>
        <v>1.0451739455543529</v>
      </c>
      <c r="M1222" s="236"/>
      <c r="N1222" s="236"/>
    </row>
    <row r="1223" spans="1:14" x14ac:dyDescent="0.2">
      <c r="A1223" s="237" t="str">
        <f>name!E$11</f>
        <v>Process, plant and machine operatives</v>
      </c>
      <c r="B1223" s="302">
        <v>1.2543310727824044E-2</v>
      </c>
      <c r="C1223" s="302">
        <v>0.13251464916124456</v>
      </c>
      <c r="D1223" s="302">
        <f t="shared" si="442"/>
        <v>0.14505795988906861</v>
      </c>
      <c r="E1223" s="303"/>
      <c r="F1223" s="302">
        <v>8.3249590277306561E-3</v>
      </c>
      <c r="G1223" s="302">
        <v>9.8526516468710357E-2</v>
      </c>
      <c r="H1223" s="302">
        <f t="shared" si="443"/>
        <v>0.10685147549644101</v>
      </c>
      <c r="I1223" s="303"/>
      <c r="J1223" s="302">
        <v>1.3718974986751842E-2</v>
      </c>
      <c r="K1223" s="302">
        <v>0.10711991710283059</v>
      </c>
      <c r="L1223" s="302">
        <f t="shared" si="444"/>
        <v>0.12083889208958243</v>
      </c>
      <c r="M1223" s="236"/>
      <c r="N1223" s="236"/>
    </row>
    <row r="1224" spans="1:14" x14ac:dyDescent="0.2">
      <c r="A1224" s="237" t="str">
        <f>name!E$12</f>
        <v>Elementary occupations</v>
      </c>
      <c r="B1224" s="302">
        <v>0.51069610488187311</v>
      </c>
      <c r="C1224" s="302">
        <v>1.2225314057747232</v>
      </c>
      <c r="D1224" s="302">
        <f t="shared" si="442"/>
        <v>1.7332275106565964</v>
      </c>
      <c r="E1224" s="303"/>
      <c r="F1224" s="302">
        <v>0.32682351085922556</v>
      </c>
      <c r="G1224" s="302">
        <v>0.77719317977797964</v>
      </c>
      <c r="H1224" s="302">
        <f t="shared" si="443"/>
        <v>1.1040166906372053</v>
      </c>
      <c r="I1224" s="303"/>
      <c r="J1224" s="302">
        <v>0.25417486383113364</v>
      </c>
      <c r="K1224" s="302">
        <v>0.58301201012981296</v>
      </c>
      <c r="L1224" s="302">
        <f t="shared" si="444"/>
        <v>0.8371868739609466</v>
      </c>
      <c r="M1224" s="236"/>
      <c r="N1224" s="236"/>
    </row>
    <row r="1225" spans="1:14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  <c r="N1225" s="236"/>
    </row>
    <row r="1226" spans="1:14" x14ac:dyDescent="0.2">
      <c r="A1226" s="244" t="s">
        <v>32</v>
      </c>
      <c r="B1226" s="311">
        <f>SUM(B1216:B1224)</f>
        <v>7.6859999999748334</v>
      </c>
      <c r="C1226" s="311">
        <f t="shared" ref="C1226:D1226" si="445">SUM(C1216:C1224)</f>
        <v>17.705000000054628</v>
      </c>
      <c r="D1226" s="311">
        <f t="shared" si="445"/>
        <v>25.391000000029464</v>
      </c>
      <c r="E1226" s="311"/>
      <c r="F1226" s="311">
        <f t="shared" ref="F1226:H1226" si="446">SUM(F1216:F1224)</f>
        <v>6.7349999999722563</v>
      </c>
      <c r="G1226" s="311">
        <f t="shared" si="446"/>
        <v>14.785000000104164</v>
      </c>
      <c r="H1226" s="311">
        <f t="shared" si="446"/>
        <v>21.520000000076418</v>
      </c>
      <c r="I1226" s="311"/>
      <c r="J1226" s="311">
        <f t="shared" ref="J1226:L1226" si="447">SUM(J1216:J1224)</f>
        <v>8.4780000000092652</v>
      </c>
      <c r="K1226" s="311">
        <f t="shared" si="447"/>
        <v>20.760000000277682</v>
      </c>
      <c r="L1226" s="311">
        <f t="shared" si="447"/>
        <v>29.238000000286942</v>
      </c>
      <c r="M1226" s="236"/>
      <c r="N1226" s="236"/>
    </row>
    <row r="1227" spans="1:14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  <c r="N1227" s="236"/>
    </row>
    <row r="1228" spans="1:14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56" t="s">
        <v>35</v>
      </c>
      <c r="M1228" s="236"/>
      <c r="N1228" s="236"/>
    </row>
    <row r="1229" spans="1:14" x14ac:dyDescent="0.2">
      <c r="A1229" s="242"/>
      <c r="B1229" s="250"/>
      <c r="C1229" s="250"/>
      <c r="D1229" s="250"/>
      <c r="E1229" s="250"/>
      <c r="F1229" s="250"/>
      <c r="G1229" s="250"/>
      <c r="H1229" s="250"/>
      <c r="I1229" s="250"/>
      <c r="J1229" s="250"/>
      <c r="K1229" s="250"/>
      <c r="L1229" s="236"/>
      <c r="M1229" s="236"/>
      <c r="N1229" s="236"/>
    </row>
    <row r="1230" spans="1:14" x14ac:dyDescent="0.2">
      <c r="A1230" s="241" t="str">
        <f>name!A75</f>
        <v>Sport and recreation</v>
      </c>
      <c r="B1230" s="372">
        <f>B$6</f>
        <v>2015</v>
      </c>
      <c r="C1230" s="372"/>
      <c r="D1230" s="372"/>
      <c r="E1230" s="253"/>
      <c r="F1230" s="372">
        <f>F$6</f>
        <v>2020</v>
      </c>
      <c r="G1230" s="372"/>
      <c r="H1230" s="372"/>
      <c r="I1230" s="253"/>
      <c r="J1230" s="372">
        <f>J$6</f>
        <v>2035</v>
      </c>
      <c r="K1230" s="372"/>
      <c r="L1230" s="372"/>
      <c r="M1230" s="236"/>
      <c r="N1230" s="236"/>
    </row>
    <row r="1231" spans="1:14" x14ac:dyDescent="0.2">
      <c r="A1231" s="254"/>
      <c r="B1231" s="255" t="s">
        <v>352</v>
      </c>
      <c r="C1231" s="255" t="s">
        <v>353</v>
      </c>
      <c r="D1231" s="255" t="s">
        <v>32</v>
      </c>
      <c r="E1231" s="255"/>
      <c r="F1231" s="255" t="s">
        <v>352</v>
      </c>
      <c r="G1231" s="255" t="s">
        <v>353</v>
      </c>
      <c r="H1231" s="255" t="s">
        <v>32</v>
      </c>
      <c r="I1231" s="255"/>
      <c r="J1231" s="255" t="s">
        <v>352</v>
      </c>
      <c r="K1231" s="255" t="s">
        <v>353</v>
      </c>
      <c r="L1231" s="255" t="s">
        <v>32</v>
      </c>
      <c r="M1231" s="236"/>
      <c r="N1231" s="236"/>
    </row>
    <row r="1232" spans="1:14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  <c r="N1232" s="236"/>
    </row>
    <row r="1233" spans="1:14" x14ac:dyDescent="0.2">
      <c r="A1233" s="237" t="str">
        <f>name!E$4</f>
        <v>Managers, directors and senior officials</v>
      </c>
      <c r="B1233" s="302">
        <v>2.6958428018023377</v>
      </c>
      <c r="C1233" s="302">
        <v>3.0231145321526642</v>
      </c>
      <c r="D1233" s="302">
        <f>SUM(B1233:C1233)</f>
        <v>5.7189573339550019</v>
      </c>
      <c r="E1233" s="303"/>
      <c r="F1233" s="302">
        <v>2.8672125714246914</v>
      </c>
      <c r="G1233" s="302">
        <v>2.9364002238128584</v>
      </c>
      <c r="H1233" s="302">
        <f>SUM(F1233:G1233)</f>
        <v>5.8036127952375498</v>
      </c>
      <c r="I1233" s="303"/>
      <c r="J1233" s="302">
        <v>4.1421799782307556</v>
      </c>
      <c r="K1233" s="302">
        <v>4.391238416771424</v>
      </c>
      <c r="L1233" s="302">
        <f>SUM(J1233:K1233)</f>
        <v>8.5334183950021796</v>
      </c>
      <c r="M1233" s="236"/>
      <c r="N1233" s="236"/>
    </row>
    <row r="1234" spans="1:14" x14ac:dyDescent="0.2">
      <c r="A1234" s="237" t="str">
        <f>name!E$5</f>
        <v>Professional occupations</v>
      </c>
      <c r="B1234" s="302">
        <v>8.2981024145808213</v>
      </c>
      <c r="C1234" s="302">
        <v>5.40920075539709</v>
      </c>
      <c r="D1234" s="302">
        <f t="shared" ref="D1234:D1241" si="448">SUM(B1234:C1234)</f>
        <v>13.707303169977912</v>
      </c>
      <c r="E1234" s="303"/>
      <c r="F1234" s="302">
        <v>8.7258502405819538</v>
      </c>
      <c r="G1234" s="302">
        <v>6.0405678160854901</v>
      </c>
      <c r="H1234" s="302">
        <f t="shared" ref="H1234:H1241" si="449">SUM(F1234:G1234)</f>
        <v>14.766418056667444</v>
      </c>
      <c r="I1234" s="303"/>
      <c r="J1234" s="302">
        <v>11.865968839498382</v>
      </c>
      <c r="K1234" s="302">
        <v>10.032558062365171</v>
      </c>
      <c r="L1234" s="302">
        <f t="shared" ref="L1234:L1241" si="450">SUM(J1234:K1234)</f>
        <v>21.898526901863555</v>
      </c>
      <c r="M1234" s="236"/>
      <c r="N1234" s="236"/>
    </row>
    <row r="1235" spans="1:14" x14ac:dyDescent="0.2">
      <c r="A1235" s="237" t="str">
        <f>name!E$6</f>
        <v>Associate professional occupations</v>
      </c>
      <c r="B1235" s="302">
        <v>12.717591497390476</v>
      </c>
      <c r="C1235" s="302">
        <v>11.46033077969803</v>
      </c>
      <c r="D1235" s="302">
        <f t="shared" si="448"/>
        <v>24.177922277088506</v>
      </c>
      <c r="E1235" s="303"/>
      <c r="F1235" s="302">
        <v>11.763341530383908</v>
      </c>
      <c r="G1235" s="302">
        <v>11.137914475647186</v>
      </c>
      <c r="H1235" s="302">
        <f t="shared" si="449"/>
        <v>22.901256006031094</v>
      </c>
      <c r="I1235" s="303"/>
      <c r="J1235" s="302">
        <v>15.203908148183496</v>
      </c>
      <c r="K1235" s="302">
        <v>15.857045390451777</v>
      </c>
      <c r="L1235" s="302">
        <f t="shared" si="450"/>
        <v>31.060953538635275</v>
      </c>
      <c r="M1235" s="236"/>
      <c r="N1235" s="236"/>
    </row>
    <row r="1236" spans="1:14" x14ac:dyDescent="0.2">
      <c r="A1236" s="237" t="str">
        <f>name!E$7</f>
        <v>Administrative and secretarial occupations</v>
      </c>
      <c r="B1236" s="302">
        <v>5.5533462380742087</v>
      </c>
      <c r="C1236" s="302">
        <v>1.4373206610599376</v>
      </c>
      <c r="D1236" s="302">
        <f t="shared" si="448"/>
        <v>6.9906668991341459</v>
      </c>
      <c r="E1236" s="303"/>
      <c r="F1236" s="302">
        <v>4.0380844514030603</v>
      </c>
      <c r="G1236" s="302">
        <v>1.2639648553511378</v>
      </c>
      <c r="H1236" s="302">
        <f t="shared" si="449"/>
        <v>5.3020493067541983</v>
      </c>
      <c r="I1236" s="303"/>
      <c r="J1236" s="302">
        <v>4.1302523726582647</v>
      </c>
      <c r="K1236" s="302">
        <v>1.3983505592848295</v>
      </c>
      <c r="L1236" s="302">
        <f t="shared" si="450"/>
        <v>5.5286029319430945</v>
      </c>
      <c r="M1236" s="236"/>
      <c r="N1236" s="236"/>
    </row>
    <row r="1237" spans="1:14" x14ac:dyDescent="0.2">
      <c r="A1237" s="237" t="str">
        <f>name!E$8</f>
        <v>Skilled trades occupations</v>
      </c>
      <c r="B1237" s="302">
        <v>0.82577657735573995</v>
      </c>
      <c r="C1237" s="302">
        <v>2.5999486921256714</v>
      </c>
      <c r="D1237" s="302">
        <f t="shared" si="448"/>
        <v>3.4257252694814113</v>
      </c>
      <c r="E1237" s="303"/>
      <c r="F1237" s="302">
        <v>0.82058696837021938</v>
      </c>
      <c r="G1237" s="302">
        <v>1.8437096003929223</v>
      </c>
      <c r="H1237" s="302">
        <f t="shared" si="449"/>
        <v>2.6642965687631417</v>
      </c>
      <c r="I1237" s="303"/>
      <c r="J1237" s="302">
        <v>1.3390528186052617</v>
      </c>
      <c r="K1237" s="302">
        <v>2.2862296805078435</v>
      </c>
      <c r="L1237" s="302">
        <f t="shared" si="450"/>
        <v>3.625282499113105</v>
      </c>
      <c r="M1237" s="236"/>
      <c r="N1237" s="236"/>
    </row>
    <row r="1238" spans="1:14" x14ac:dyDescent="0.2">
      <c r="A1238" s="237" t="str">
        <f>name!E$9</f>
        <v>Caring, leisure and other service occupations</v>
      </c>
      <c r="B1238" s="302">
        <v>3.2497867793682165</v>
      </c>
      <c r="C1238" s="302">
        <v>2.3990925537082375</v>
      </c>
      <c r="D1238" s="302">
        <f t="shared" si="448"/>
        <v>5.6488793330764544</v>
      </c>
      <c r="E1238" s="303"/>
      <c r="F1238" s="302">
        <v>2.4434657288658497</v>
      </c>
      <c r="G1238" s="302">
        <v>1.7944770091694964</v>
      </c>
      <c r="H1238" s="302">
        <f t="shared" si="449"/>
        <v>4.237942738035346</v>
      </c>
      <c r="I1238" s="303"/>
      <c r="J1238" s="302">
        <v>3.143575200843733</v>
      </c>
      <c r="K1238" s="302">
        <v>2.8567882814064585</v>
      </c>
      <c r="L1238" s="302">
        <f t="shared" si="450"/>
        <v>6.0003634822501919</v>
      </c>
      <c r="M1238" s="236"/>
      <c r="N1238" s="236"/>
    </row>
    <row r="1239" spans="1:14" x14ac:dyDescent="0.2">
      <c r="A1239" s="237" t="str">
        <f>name!E$10</f>
        <v>Sales and customer service occupations</v>
      </c>
      <c r="B1239" s="302">
        <v>1.4282689800496196</v>
      </c>
      <c r="C1239" s="302">
        <v>1.4691057854741343</v>
      </c>
      <c r="D1239" s="302">
        <f t="shared" si="448"/>
        <v>2.8973747655237538</v>
      </c>
      <c r="E1239" s="303"/>
      <c r="F1239" s="302">
        <v>1.0780151517648697</v>
      </c>
      <c r="G1239" s="302">
        <v>1.1239142929646018</v>
      </c>
      <c r="H1239" s="302">
        <f t="shared" si="449"/>
        <v>2.2019294447294717</v>
      </c>
      <c r="I1239" s="303"/>
      <c r="J1239" s="302">
        <v>1.2407608243463406</v>
      </c>
      <c r="K1239" s="302">
        <v>1.6691074116411551</v>
      </c>
      <c r="L1239" s="302">
        <f t="shared" si="450"/>
        <v>2.9098682359874957</v>
      </c>
      <c r="M1239" s="236"/>
      <c r="N1239" s="236"/>
    </row>
    <row r="1240" spans="1:14" x14ac:dyDescent="0.2">
      <c r="A1240" s="237" t="str">
        <f>name!E$11</f>
        <v>Process, plant and machine operatives</v>
      </c>
      <c r="B1240" s="302">
        <v>6.6199812900352178E-2</v>
      </c>
      <c r="C1240" s="302">
        <v>0.317011035959188</v>
      </c>
      <c r="D1240" s="302">
        <f t="shared" si="448"/>
        <v>0.38321084885954015</v>
      </c>
      <c r="E1240" s="303"/>
      <c r="F1240" s="302">
        <v>4.180200460087781E-2</v>
      </c>
      <c r="G1240" s="302">
        <v>0.24021551746451955</v>
      </c>
      <c r="H1240" s="302">
        <f t="shared" si="449"/>
        <v>0.28201752206539737</v>
      </c>
      <c r="I1240" s="303"/>
      <c r="J1240" s="302">
        <v>8.1813713791105677E-2</v>
      </c>
      <c r="K1240" s="302">
        <v>0.24673010042538357</v>
      </c>
      <c r="L1240" s="302">
        <f t="shared" si="450"/>
        <v>0.32854381421648926</v>
      </c>
      <c r="M1240" s="236"/>
      <c r="N1240" s="236"/>
    </row>
    <row r="1241" spans="1:14" x14ac:dyDescent="0.2">
      <c r="A1241" s="237" t="str">
        <f>name!E$12</f>
        <v>Elementary occupations</v>
      </c>
      <c r="B1241" s="302">
        <v>3.5060848983876376</v>
      </c>
      <c r="C1241" s="302">
        <v>2.7468752046640805</v>
      </c>
      <c r="D1241" s="302">
        <f t="shared" si="448"/>
        <v>6.2529601030517181</v>
      </c>
      <c r="E1241" s="303"/>
      <c r="F1241" s="302">
        <v>2.026641352475409</v>
      </c>
      <c r="G1241" s="302">
        <v>1.6428362093622446</v>
      </c>
      <c r="H1241" s="302">
        <f t="shared" si="449"/>
        <v>3.6694775618376534</v>
      </c>
      <c r="I1241" s="303"/>
      <c r="J1241" s="302">
        <v>1.5574881038439174</v>
      </c>
      <c r="K1241" s="302">
        <v>1.2369520978160384</v>
      </c>
      <c r="L1241" s="302">
        <f t="shared" si="450"/>
        <v>2.7944402016599561</v>
      </c>
      <c r="M1241" s="236"/>
      <c r="N1241" s="236"/>
    </row>
    <row r="1242" spans="1:14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  <c r="N1242" s="236"/>
    </row>
    <row r="1243" spans="1:14" x14ac:dyDescent="0.2">
      <c r="A1243" s="244" t="s">
        <v>32</v>
      </c>
      <c r="B1243" s="311">
        <f>SUM(B1233:B1241)</f>
        <v>38.340999999909414</v>
      </c>
      <c r="C1243" s="311">
        <f t="shared" ref="C1243:D1243" si="451">SUM(C1233:C1241)</f>
        <v>30.862000000239028</v>
      </c>
      <c r="D1243" s="311">
        <f t="shared" si="451"/>
        <v>69.203000000148435</v>
      </c>
      <c r="E1243" s="311"/>
      <c r="F1243" s="311">
        <f t="shared" ref="F1243:H1243" si="452">SUM(F1233:F1241)</f>
        <v>33.804999999870837</v>
      </c>
      <c r="G1243" s="311">
        <f t="shared" si="452"/>
        <v>28.02400000025046</v>
      </c>
      <c r="H1243" s="311">
        <f t="shared" si="452"/>
        <v>61.829000000121297</v>
      </c>
      <c r="I1243" s="311"/>
      <c r="J1243" s="311">
        <f t="shared" ref="J1243:L1243" si="453">SUM(J1233:J1241)</f>
        <v>42.705000000001249</v>
      </c>
      <c r="K1243" s="311">
        <f t="shared" si="453"/>
        <v>39.975000000670079</v>
      </c>
      <c r="L1243" s="311">
        <f t="shared" si="453"/>
        <v>82.680000000671342</v>
      </c>
      <c r="M1243" s="236"/>
      <c r="N1243" s="236"/>
    </row>
    <row r="1244" spans="1:14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  <c r="N1244" s="236"/>
    </row>
    <row r="1245" spans="1:14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56" t="s">
        <v>35</v>
      </c>
      <c r="M1245" s="236"/>
      <c r="N1245" s="236"/>
    </row>
    <row r="1246" spans="1:14" x14ac:dyDescent="0.2">
      <c r="A1246" s="242"/>
      <c r="B1246" s="250"/>
      <c r="C1246" s="250"/>
      <c r="D1246" s="250"/>
      <c r="E1246" s="250"/>
      <c r="F1246" s="250"/>
      <c r="G1246" s="250"/>
      <c r="H1246" s="250"/>
      <c r="I1246" s="250"/>
      <c r="J1246" s="250"/>
      <c r="K1246" s="250"/>
      <c r="L1246" s="236"/>
      <c r="M1246" s="236"/>
      <c r="N1246" s="236"/>
    </row>
    <row r="1247" spans="1:14" x14ac:dyDescent="0.2">
      <c r="A1247" s="241" t="str">
        <f>name!A76</f>
        <v>Membership organisations</v>
      </c>
      <c r="B1247" s="372">
        <f>B$6</f>
        <v>2015</v>
      </c>
      <c r="C1247" s="372"/>
      <c r="D1247" s="372"/>
      <c r="E1247" s="253"/>
      <c r="F1247" s="372">
        <f>F$6</f>
        <v>2020</v>
      </c>
      <c r="G1247" s="372"/>
      <c r="H1247" s="372"/>
      <c r="I1247" s="253"/>
      <c r="J1247" s="372">
        <f>J$6</f>
        <v>2035</v>
      </c>
      <c r="K1247" s="372"/>
      <c r="L1247" s="372"/>
      <c r="M1247" s="236"/>
      <c r="N1247" s="236"/>
    </row>
    <row r="1248" spans="1:14" x14ac:dyDescent="0.2">
      <c r="A1248" s="254"/>
      <c r="B1248" s="255" t="s">
        <v>352</v>
      </c>
      <c r="C1248" s="255" t="s">
        <v>353</v>
      </c>
      <c r="D1248" s="255" t="s">
        <v>32</v>
      </c>
      <c r="E1248" s="255"/>
      <c r="F1248" s="255" t="s">
        <v>352</v>
      </c>
      <c r="G1248" s="255" t="s">
        <v>353</v>
      </c>
      <c r="H1248" s="255" t="s">
        <v>32</v>
      </c>
      <c r="I1248" s="255"/>
      <c r="J1248" s="255" t="s">
        <v>352</v>
      </c>
      <c r="K1248" s="255" t="s">
        <v>353</v>
      </c>
      <c r="L1248" s="255" t="s">
        <v>32</v>
      </c>
      <c r="M1248" s="236"/>
      <c r="N1248" s="236"/>
    </row>
    <row r="1249" spans="1:14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  <c r="N1249" s="236"/>
    </row>
    <row r="1250" spans="1:14" x14ac:dyDescent="0.2">
      <c r="A1250" s="237" t="str">
        <f>name!E$4</f>
        <v>Managers, directors and senior officials</v>
      </c>
      <c r="B1250" s="302">
        <v>4.4260201740579603</v>
      </c>
      <c r="C1250" s="302">
        <v>3.8222281136390537</v>
      </c>
      <c r="D1250" s="302">
        <f>SUM(B1250:C1250)</f>
        <v>8.2482482876970131</v>
      </c>
      <c r="E1250" s="303"/>
      <c r="F1250" s="302">
        <v>4.7280668578271055</v>
      </c>
      <c r="G1250" s="302">
        <v>3.0096912439844048</v>
      </c>
      <c r="H1250" s="302">
        <f>SUM(F1250:G1250)</f>
        <v>7.7377581018115098</v>
      </c>
      <c r="I1250" s="303"/>
      <c r="J1250" s="302">
        <v>5.8024759185408143</v>
      </c>
      <c r="K1250" s="302">
        <v>3.9081100024551314</v>
      </c>
      <c r="L1250" s="302">
        <f>SUM(J1250:K1250)</f>
        <v>9.7105859209959462</v>
      </c>
      <c r="M1250" s="236"/>
      <c r="N1250" s="236"/>
    </row>
    <row r="1251" spans="1:14" x14ac:dyDescent="0.2">
      <c r="A1251" s="237" t="str">
        <f>name!E$5</f>
        <v>Professional occupations</v>
      </c>
      <c r="B1251" s="302">
        <v>19.945618150033159</v>
      </c>
      <c r="C1251" s="302">
        <v>19.638802827863742</v>
      </c>
      <c r="D1251" s="302">
        <f t="shared" ref="D1251:D1258" si="454">SUM(B1251:C1251)</f>
        <v>39.584420977896897</v>
      </c>
      <c r="E1251" s="303"/>
      <c r="F1251" s="302">
        <v>22.003633580344061</v>
      </c>
      <c r="G1251" s="302">
        <v>18.324722205902194</v>
      </c>
      <c r="H1251" s="302">
        <f t="shared" ref="H1251:H1258" si="455">SUM(F1251:G1251)</f>
        <v>40.328355786246256</v>
      </c>
      <c r="I1251" s="303"/>
      <c r="J1251" s="302">
        <v>26.67554040944561</v>
      </c>
      <c r="K1251" s="302">
        <v>24.852975228221617</v>
      </c>
      <c r="L1251" s="302">
        <f t="shared" ref="L1251:L1258" si="456">SUM(J1251:K1251)</f>
        <v>51.528515637667226</v>
      </c>
      <c r="M1251" s="236"/>
      <c r="N1251" s="236"/>
    </row>
    <row r="1252" spans="1:14" x14ac:dyDescent="0.2">
      <c r="A1252" s="237" t="str">
        <f>name!E$6</f>
        <v>Associate professional occupations</v>
      </c>
      <c r="B1252" s="302">
        <v>11.145151415587035</v>
      </c>
      <c r="C1252" s="302">
        <v>5.0883189861237978</v>
      </c>
      <c r="D1252" s="302">
        <f t="shared" si="454"/>
        <v>16.233470401710832</v>
      </c>
      <c r="E1252" s="303"/>
      <c r="F1252" s="302">
        <v>10.149135948804437</v>
      </c>
      <c r="G1252" s="302">
        <v>4.7017790113094851</v>
      </c>
      <c r="H1252" s="302">
        <f t="shared" si="455"/>
        <v>14.850914960113922</v>
      </c>
      <c r="I1252" s="303"/>
      <c r="J1252" s="302">
        <v>11.415029223781149</v>
      </c>
      <c r="K1252" s="302">
        <v>4.9657427774348113</v>
      </c>
      <c r="L1252" s="302">
        <f t="shared" si="456"/>
        <v>16.380772001215959</v>
      </c>
      <c r="M1252" s="236"/>
      <c r="N1252" s="236"/>
    </row>
    <row r="1253" spans="1:14" x14ac:dyDescent="0.2">
      <c r="A1253" s="237" t="str">
        <f>name!E$7</f>
        <v>Administrative and secretarial occupations</v>
      </c>
      <c r="B1253" s="302">
        <v>7.9641883207536335</v>
      </c>
      <c r="C1253" s="302">
        <v>1.2088280207018367</v>
      </c>
      <c r="D1253" s="302">
        <f t="shared" si="454"/>
        <v>9.1730163414554706</v>
      </c>
      <c r="E1253" s="303"/>
      <c r="F1253" s="302">
        <v>6.2411603868176631</v>
      </c>
      <c r="G1253" s="302">
        <v>1.0147557112614671</v>
      </c>
      <c r="H1253" s="302">
        <f t="shared" si="455"/>
        <v>7.2559160980791297</v>
      </c>
      <c r="I1253" s="303"/>
      <c r="J1253" s="302">
        <v>4.9197763072343044</v>
      </c>
      <c r="K1253" s="302">
        <v>0.84777459999776439</v>
      </c>
      <c r="L1253" s="302">
        <f t="shared" si="456"/>
        <v>5.767550907232069</v>
      </c>
      <c r="M1253" s="236"/>
      <c r="N1253" s="236"/>
    </row>
    <row r="1254" spans="1:14" x14ac:dyDescent="0.2">
      <c r="A1254" s="237" t="str">
        <f>name!E$8</f>
        <v>Skilled trades occupations</v>
      </c>
      <c r="B1254" s="302">
        <v>0.54320364737752425</v>
      </c>
      <c r="C1254" s="302">
        <v>1.0010970508942307</v>
      </c>
      <c r="D1254" s="302">
        <f t="shared" si="454"/>
        <v>1.5443006982717549</v>
      </c>
      <c r="E1254" s="303"/>
      <c r="F1254" s="302">
        <v>0.47472834054236795</v>
      </c>
      <c r="G1254" s="302">
        <v>0.67256974004105052</v>
      </c>
      <c r="H1254" s="302">
        <f t="shared" si="455"/>
        <v>1.1472980805834185</v>
      </c>
      <c r="I1254" s="303"/>
      <c r="J1254" s="302">
        <v>0.91399624086591458</v>
      </c>
      <c r="K1254" s="302">
        <v>0.89627478616566436</v>
      </c>
      <c r="L1254" s="302">
        <f t="shared" si="456"/>
        <v>1.8102710270315789</v>
      </c>
      <c r="M1254" s="236"/>
      <c r="N1254" s="236"/>
    </row>
    <row r="1255" spans="1:14" x14ac:dyDescent="0.2">
      <c r="A1255" s="237" t="str">
        <f>name!E$9</f>
        <v>Caring, leisure and other service occupations</v>
      </c>
      <c r="B1255" s="302">
        <v>2.8355755788742463</v>
      </c>
      <c r="C1255" s="302">
        <v>0.82910460223860372</v>
      </c>
      <c r="D1255" s="302">
        <f t="shared" si="454"/>
        <v>3.6646801811128498</v>
      </c>
      <c r="E1255" s="303"/>
      <c r="F1255" s="302">
        <v>2.3159196265697362</v>
      </c>
      <c r="G1255" s="302">
        <v>0.7499874161333584</v>
      </c>
      <c r="H1255" s="302">
        <f t="shared" si="455"/>
        <v>3.0659070427030946</v>
      </c>
      <c r="I1255" s="303"/>
      <c r="J1255" s="302">
        <v>2.7950339476875961</v>
      </c>
      <c r="K1255" s="302">
        <v>1.1548460476130624</v>
      </c>
      <c r="L1255" s="302">
        <f t="shared" si="456"/>
        <v>3.9498799953006585</v>
      </c>
      <c r="M1255" s="236"/>
      <c r="N1255" s="236"/>
    </row>
    <row r="1256" spans="1:14" x14ac:dyDescent="0.2">
      <c r="A1256" s="237" t="str">
        <f>name!E$10</f>
        <v>Sales and customer service occupations</v>
      </c>
      <c r="B1256" s="302">
        <v>1.1449306057615591</v>
      </c>
      <c r="C1256" s="302">
        <v>0.39950515193584146</v>
      </c>
      <c r="D1256" s="302">
        <f t="shared" si="454"/>
        <v>1.5444357576974006</v>
      </c>
      <c r="E1256" s="303"/>
      <c r="F1256" s="302">
        <v>0.85560962789927231</v>
      </c>
      <c r="G1256" s="302">
        <v>0.30775380736489288</v>
      </c>
      <c r="H1256" s="302">
        <f t="shared" si="455"/>
        <v>1.1633634352641651</v>
      </c>
      <c r="I1256" s="303"/>
      <c r="J1256" s="302">
        <v>0.99232784499575188</v>
      </c>
      <c r="K1256" s="302">
        <v>0.40957930000366127</v>
      </c>
      <c r="L1256" s="302">
        <f t="shared" si="456"/>
        <v>1.4019071449994132</v>
      </c>
      <c r="M1256" s="236"/>
      <c r="N1256" s="236"/>
    </row>
    <row r="1257" spans="1:14" x14ac:dyDescent="0.2">
      <c r="A1257" s="237" t="str">
        <f>name!E$11</f>
        <v>Process, plant and machine operatives</v>
      </c>
      <c r="B1257" s="302">
        <v>0.25609899216359</v>
      </c>
      <c r="C1257" s="302">
        <v>0.1943881374576221</v>
      </c>
      <c r="D1257" s="302">
        <f t="shared" si="454"/>
        <v>0.45048712962121207</v>
      </c>
      <c r="E1257" s="303"/>
      <c r="F1257" s="302">
        <v>0.15744407576931069</v>
      </c>
      <c r="G1257" s="302">
        <v>0.17028493461580779</v>
      </c>
      <c r="H1257" s="302">
        <f t="shared" si="455"/>
        <v>0.32772901038511848</v>
      </c>
      <c r="I1257" s="303"/>
      <c r="J1257" s="302">
        <v>0.20901720351343409</v>
      </c>
      <c r="K1257" s="302">
        <v>0.21393713570412778</v>
      </c>
      <c r="L1257" s="302">
        <f t="shared" si="456"/>
        <v>0.42295433921756187</v>
      </c>
      <c r="M1257" s="236"/>
      <c r="N1257" s="236"/>
    </row>
    <row r="1258" spans="1:14" x14ac:dyDescent="0.2">
      <c r="A1258" s="237" t="str">
        <f>name!E$12</f>
        <v>Elementary occupations</v>
      </c>
      <c r="B1258" s="302">
        <v>2.9062131148783341</v>
      </c>
      <c r="C1258" s="302">
        <v>0.68972710838718609</v>
      </c>
      <c r="D1258" s="302">
        <f t="shared" si="454"/>
        <v>3.5959402232655204</v>
      </c>
      <c r="E1258" s="303"/>
      <c r="F1258" s="302">
        <v>1.4903015554514434</v>
      </c>
      <c r="G1258" s="302">
        <v>0.49545592996268634</v>
      </c>
      <c r="H1258" s="302">
        <f t="shared" si="455"/>
        <v>1.9857574854141298</v>
      </c>
      <c r="I1258" s="303"/>
      <c r="J1258" s="302">
        <v>0.91680290396768027</v>
      </c>
      <c r="K1258" s="302">
        <v>0.31376012325747676</v>
      </c>
      <c r="L1258" s="302">
        <f t="shared" si="456"/>
        <v>1.2305630272251571</v>
      </c>
      <c r="M1258" s="236"/>
      <c r="N1258" s="236"/>
    </row>
    <row r="1259" spans="1:14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  <c r="N1259" s="236"/>
    </row>
    <row r="1260" spans="1:14" x14ac:dyDescent="0.2">
      <c r="A1260" s="244" t="s">
        <v>32</v>
      </c>
      <c r="B1260" s="311">
        <f>SUM(B1250:B1258)</f>
        <v>51.166999999487039</v>
      </c>
      <c r="C1260" s="311">
        <f t="shared" ref="C1260:D1260" si="457">SUM(C1250:C1258)</f>
        <v>32.871999999241915</v>
      </c>
      <c r="D1260" s="311">
        <f t="shared" si="457"/>
        <v>84.038999998728926</v>
      </c>
      <c r="E1260" s="311"/>
      <c r="F1260" s="311">
        <f t="shared" ref="F1260:H1260" si="458">SUM(F1250:F1258)</f>
        <v>48.416000000025399</v>
      </c>
      <c r="G1260" s="311">
        <f t="shared" si="458"/>
        <v>29.447000000575354</v>
      </c>
      <c r="H1260" s="311">
        <f t="shared" si="458"/>
        <v>77.863000000600721</v>
      </c>
      <c r="I1260" s="311"/>
      <c r="J1260" s="311">
        <f t="shared" ref="J1260:L1260" si="459">SUM(J1250:J1258)</f>
        <v>54.640000000032245</v>
      </c>
      <c r="K1260" s="311">
        <f t="shared" si="459"/>
        <v>37.563000000853314</v>
      </c>
      <c r="L1260" s="311">
        <f t="shared" si="459"/>
        <v>92.203000000885567</v>
      </c>
      <c r="M1260" s="236"/>
      <c r="N1260" s="236"/>
    </row>
    <row r="1261" spans="1:14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  <c r="N1261" s="236"/>
    </row>
    <row r="1262" spans="1:14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56" t="s">
        <v>35</v>
      </c>
      <c r="M1262" s="236"/>
      <c r="N1262" s="236"/>
    </row>
    <row r="1263" spans="1:14" x14ac:dyDescent="0.2">
      <c r="A1263" s="242"/>
      <c r="B1263" s="250"/>
      <c r="C1263" s="250"/>
      <c r="D1263" s="250"/>
      <c r="E1263" s="250"/>
      <c r="F1263" s="250"/>
      <c r="G1263" s="250"/>
      <c r="H1263" s="250"/>
      <c r="I1263" s="250"/>
      <c r="J1263" s="250"/>
      <c r="K1263" s="250"/>
      <c r="L1263" s="236"/>
      <c r="M1263" s="236"/>
      <c r="N1263" s="236"/>
    </row>
    <row r="1264" spans="1:14" x14ac:dyDescent="0.2">
      <c r="A1264" s="241" t="str">
        <f>name!A77</f>
        <v>Repair of goods</v>
      </c>
      <c r="B1264" s="372">
        <f>B$6</f>
        <v>2015</v>
      </c>
      <c r="C1264" s="372"/>
      <c r="D1264" s="372"/>
      <c r="E1264" s="253"/>
      <c r="F1264" s="372">
        <f>F$6</f>
        <v>2020</v>
      </c>
      <c r="G1264" s="372"/>
      <c r="H1264" s="372"/>
      <c r="I1264" s="253"/>
      <c r="J1264" s="372">
        <f>J$6</f>
        <v>2035</v>
      </c>
      <c r="K1264" s="372"/>
      <c r="L1264" s="372"/>
      <c r="M1264" s="236"/>
      <c r="N1264" s="236"/>
    </row>
    <row r="1265" spans="1:14" x14ac:dyDescent="0.2">
      <c r="A1265" s="254"/>
      <c r="B1265" s="255" t="s">
        <v>352</v>
      </c>
      <c r="C1265" s="255" t="s">
        <v>353</v>
      </c>
      <c r="D1265" s="255" t="s">
        <v>32</v>
      </c>
      <c r="E1265" s="255"/>
      <c r="F1265" s="255" t="s">
        <v>352</v>
      </c>
      <c r="G1265" s="255" t="s">
        <v>353</v>
      </c>
      <c r="H1265" s="255" t="s">
        <v>32</v>
      </c>
      <c r="I1265" s="255"/>
      <c r="J1265" s="255" t="s">
        <v>352</v>
      </c>
      <c r="K1265" s="255" t="s">
        <v>353</v>
      </c>
      <c r="L1265" s="255" t="s">
        <v>32</v>
      </c>
      <c r="M1265" s="236"/>
      <c r="N1265" s="236"/>
    </row>
    <row r="1266" spans="1:14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  <c r="N1266" s="236"/>
    </row>
    <row r="1267" spans="1:14" x14ac:dyDescent="0.2">
      <c r="A1267" s="237" t="str">
        <f>name!E$4</f>
        <v>Managers, directors and senior officials</v>
      </c>
      <c r="B1267" s="302">
        <v>0.36927609549479973</v>
      </c>
      <c r="C1267" s="302">
        <v>0.75703279914980304</v>
      </c>
      <c r="D1267" s="302">
        <f>SUM(B1267:C1267)</f>
        <v>1.1263088946446027</v>
      </c>
      <c r="E1267" s="303"/>
      <c r="F1267" s="302">
        <v>0.61050099965054883</v>
      </c>
      <c r="G1267" s="302">
        <v>1.83552391643375</v>
      </c>
      <c r="H1267" s="302">
        <f>SUM(F1267:G1267)</f>
        <v>2.4460249160842986</v>
      </c>
      <c r="I1267" s="303"/>
      <c r="J1267" s="302">
        <v>0.80242005590692589</v>
      </c>
      <c r="K1267" s="302">
        <v>2.6340688908361765</v>
      </c>
      <c r="L1267" s="302">
        <f>SUM(J1267:K1267)</f>
        <v>3.4364889467431023</v>
      </c>
      <c r="M1267" s="236"/>
      <c r="N1267" s="236"/>
    </row>
    <row r="1268" spans="1:14" x14ac:dyDescent="0.2">
      <c r="A1268" s="237" t="str">
        <f>name!E$5</f>
        <v>Professional occupations</v>
      </c>
      <c r="B1268" s="302">
        <v>0.35984635055968106</v>
      </c>
      <c r="C1268" s="302">
        <v>0.92904707239141648</v>
      </c>
      <c r="D1268" s="302">
        <f t="shared" ref="D1268:D1275" si="460">SUM(B1268:C1268)</f>
        <v>1.2888934229510975</v>
      </c>
      <c r="E1268" s="303"/>
      <c r="F1268" s="302">
        <v>0.66750793611951398</v>
      </c>
      <c r="G1268" s="302">
        <v>1.5203182507877537</v>
      </c>
      <c r="H1268" s="302">
        <f t="shared" ref="H1268:H1275" si="461">SUM(F1268:G1268)</f>
        <v>2.1878261869072677</v>
      </c>
      <c r="I1268" s="303"/>
      <c r="J1268" s="302">
        <v>0.80875975555503876</v>
      </c>
      <c r="K1268" s="302">
        <v>1.9768360505548257</v>
      </c>
      <c r="L1268" s="302">
        <f t="shared" ref="L1268:L1275" si="462">SUM(J1268:K1268)</f>
        <v>2.7855958061098645</v>
      </c>
      <c r="M1268" s="236"/>
      <c r="N1268" s="236"/>
    </row>
    <row r="1269" spans="1:14" x14ac:dyDescent="0.2">
      <c r="A1269" s="237" t="str">
        <f>name!E$6</f>
        <v>Associate professional occupations</v>
      </c>
      <c r="B1269" s="302">
        <v>0.27017284556429538</v>
      </c>
      <c r="C1269" s="302">
        <v>0.44036705490371286</v>
      </c>
      <c r="D1269" s="302">
        <f t="shared" si="460"/>
        <v>0.71053990046800819</v>
      </c>
      <c r="E1269" s="303"/>
      <c r="F1269" s="302">
        <v>0.44411362216532596</v>
      </c>
      <c r="G1269" s="302">
        <v>0.77098114135078255</v>
      </c>
      <c r="H1269" s="302">
        <f t="shared" si="461"/>
        <v>1.2150947635161085</v>
      </c>
      <c r="I1269" s="303"/>
      <c r="J1269" s="302">
        <v>0.48673965806940439</v>
      </c>
      <c r="K1269" s="302">
        <v>0.90580057802344205</v>
      </c>
      <c r="L1269" s="302">
        <f t="shared" si="462"/>
        <v>1.3925402360928465</v>
      </c>
      <c r="M1269" s="236"/>
      <c r="N1269" s="236"/>
    </row>
    <row r="1270" spans="1:14" x14ac:dyDescent="0.2">
      <c r="A1270" s="237" t="str">
        <f>name!E$7</f>
        <v>Administrative and secretarial occupations</v>
      </c>
      <c r="B1270" s="302">
        <v>0.18378625174068075</v>
      </c>
      <c r="C1270" s="302">
        <v>0.10011293884403315</v>
      </c>
      <c r="D1270" s="302">
        <f t="shared" si="460"/>
        <v>0.28389919058471391</v>
      </c>
      <c r="E1270" s="303"/>
      <c r="F1270" s="302">
        <v>0.28031322128284808</v>
      </c>
      <c r="G1270" s="302">
        <v>0.15413882922966965</v>
      </c>
      <c r="H1270" s="302">
        <f t="shared" si="461"/>
        <v>0.43445205051251773</v>
      </c>
      <c r="I1270" s="303"/>
      <c r="J1270" s="302">
        <v>0.26880201695073597</v>
      </c>
      <c r="K1270" s="302">
        <v>0.17840663002466331</v>
      </c>
      <c r="L1270" s="302">
        <f t="shared" si="462"/>
        <v>0.4472086469753993</v>
      </c>
      <c r="M1270" s="236"/>
      <c r="N1270" s="236"/>
    </row>
    <row r="1271" spans="1:14" x14ac:dyDescent="0.2">
      <c r="A1271" s="237" t="str">
        <f>name!E$8</f>
        <v>Skilled trades occupations</v>
      </c>
      <c r="B1271" s="302">
        <v>8.926882121722915E-2</v>
      </c>
      <c r="C1271" s="302">
        <v>0.33923231751042476</v>
      </c>
      <c r="D1271" s="302">
        <f t="shared" si="460"/>
        <v>0.42850113872765394</v>
      </c>
      <c r="E1271" s="303"/>
      <c r="F1271" s="302">
        <v>0.12357051942773788</v>
      </c>
      <c r="G1271" s="302">
        <v>0.75271498637907819</v>
      </c>
      <c r="H1271" s="302">
        <f t="shared" si="461"/>
        <v>0.87628550580681608</v>
      </c>
      <c r="I1271" s="303"/>
      <c r="J1271" s="302">
        <v>0.16341259747274717</v>
      </c>
      <c r="K1271" s="302">
        <v>1.2008697489148044</v>
      </c>
      <c r="L1271" s="302">
        <f t="shared" si="462"/>
        <v>1.3642823463875515</v>
      </c>
      <c r="M1271" s="236"/>
      <c r="N1271" s="236"/>
    </row>
    <row r="1272" spans="1:14" x14ac:dyDescent="0.2">
      <c r="A1272" s="237" t="str">
        <f>name!E$9</f>
        <v>Caring, leisure and other service occupations</v>
      </c>
      <c r="B1272" s="302">
        <v>3.0189903122485966E-2</v>
      </c>
      <c r="C1272" s="302">
        <v>2.4735445075335427E-2</v>
      </c>
      <c r="D1272" s="302">
        <f t="shared" si="460"/>
        <v>5.4925348197821397E-2</v>
      </c>
      <c r="E1272" s="303"/>
      <c r="F1272" s="302">
        <v>4.4172830231417236E-2</v>
      </c>
      <c r="G1272" s="302">
        <v>5.0217561557029056E-2</v>
      </c>
      <c r="H1272" s="302">
        <f t="shared" si="461"/>
        <v>9.4390391788446298E-2</v>
      </c>
      <c r="I1272" s="303"/>
      <c r="J1272" s="302">
        <v>6.6783141475144622E-2</v>
      </c>
      <c r="K1272" s="302">
        <v>8.9321466549950462E-2</v>
      </c>
      <c r="L1272" s="302">
        <f t="shared" si="462"/>
        <v>0.15610460802509507</v>
      </c>
      <c r="M1272" s="236"/>
      <c r="N1272" s="236"/>
    </row>
    <row r="1273" spans="1:14" x14ac:dyDescent="0.2">
      <c r="A1273" s="237" t="str">
        <f>name!E$10</f>
        <v>Sales and customer service occupations</v>
      </c>
      <c r="B1273" s="302">
        <v>0.61860180907184048</v>
      </c>
      <c r="C1273" s="302">
        <v>0.67709789176372204</v>
      </c>
      <c r="D1273" s="302">
        <f t="shared" si="460"/>
        <v>1.2956997008355624</v>
      </c>
      <c r="E1273" s="303"/>
      <c r="F1273" s="302">
        <v>1.0750057901517394</v>
      </c>
      <c r="G1273" s="302">
        <v>1.5498317988090013</v>
      </c>
      <c r="H1273" s="302">
        <f t="shared" si="461"/>
        <v>2.6248375889607409</v>
      </c>
      <c r="I1273" s="303"/>
      <c r="J1273" s="302">
        <v>1.080837939759892</v>
      </c>
      <c r="K1273" s="302">
        <v>1.7199006784123174</v>
      </c>
      <c r="L1273" s="302">
        <f t="shared" si="462"/>
        <v>2.8007386181722094</v>
      </c>
      <c r="M1273" s="236"/>
      <c r="N1273" s="236"/>
    </row>
    <row r="1274" spans="1:14" x14ac:dyDescent="0.2">
      <c r="A1274" s="237" t="str">
        <f>name!E$11</f>
        <v>Process, plant and machine operatives</v>
      </c>
      <c r="B1274" s="302">
        <v>1.8076825684914043E-2</v>
      </c>
      <c r="C1274" s="302">
        <v>0.15403526208756746</v>
      </c>
      <c r="D1274" s="302">
        <f t="shared" si="460"/>
        <v>0.17211208777248149</v>
      </c>
      <c r="E1274" s="303"/>
      <c r="F1274" s="302">
        <v>2.2563845961429858E-2</v>
      </c>
      <c r="G1274" s="302">
        <v>0.19266540668689633</v>
      </c>
      <c r="H1274" s="302">
        <f t="shared" si="461"/>
        <v>0.21522925264832618</v>
      </c>
      <c r="I1274" s="303"/>
      <c r="J1274" s="302">
        <v>3.4653202275233802E-2</v>
      </c>
      <c r="K1274" s="302">
        <v>0.20476199522933231</v>
      </c>
      <c r="L1274" s="302">
        <f t="shared" si="462"/>
        <v>0.23941519750456611</v>
      </c>
      <c r="M1274" s="236"/>
      <c r="N1274" s="236"/>
    </row>
    <row r="1275" spans="1:14" x14ac:dyDescent="0.2">
      <c r="A1275" s="237" t="str">
        <f>name!E$12</f>
        <v>Elementary occupations</v>
      </c>
      <c r="B1275" s="302">
        <v>0.14178109757228108</v>
      </c>
      <c r="C1275" s="302">
        <v>0.25333921825130323</v>
      </c>
      <c r="D1275" s="302">
        <f t="shared" si="460"/>
        <v>0.39512031582358431</v>
      </c>
      <c r="E1275" s="303"/>
      <c r="F1275" s="302">
        <v>0.21525123502625693</v>
      </c>
      <c r="G1275" s="302">
        <v>0.28860810879000254</v>
      </c>
      <c r="H1275" s="302">
        <f t="shared" si="461"/>
        <v>0.50385934381625952</v>
      </c>
      <c r="I1275" s="303"/>
      <c r="J1275" s="302">
        <v>0.24059163251346538</v>
      </c>
      <c r="K1275" s="302">
        <v>0.33803396149831666</v>
      </c>
      <c r="L1275" s="302">
        <f t="shared" si="462"/>
        <v>0.57862559401178204</v>
      </c>
      <c r="M1275" s="236"/>
      <c r="N1275" s="236"/>
    </row>
    <row r="1276" spans="1:14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  <c r="N1276" s="236"/>
    </row>
    <row r="1277" spans="1:14" x14ac:dyDescent="0.2">
      <c r="A1277" s="244" t="s">
        <v>32</v>
      </c>
      <c r="B1277" s="311">
        <f>SUM(B1267:B1275)</f>
        <v>2.0810000000282072</v>
      </c>
      <c r="C1277" s="311">
        <f t="shared" ref="C1277:D1277" si="463">SUM(C1267:C1275)</f>
        <v>3.6749999999773184</v>
      </c>
      <c r="D1277" s="311">
        <f t="shared" si="463"/>
        <v>5.7560000000055265</v>
      </c>
      <c r="E1277" s="311"/>
      <c r="F1277" s="311">
        <f t="shared" ref="F1277:H1277" si="464">SUM(F1267:F1275)</f>
        <v>3.4830000000168178</v>
      </c>
      <c r="G1277" s="311">
        <f t="shared" si="464"/>
        <v>7.1150000000239633</v>
      </c>
      <c r="H1277" s="311">
        <f t="shared" si="464"/>
        <v>10.598000000040782</v>
      </c>
      <c r="I1277" s="311"/>
      <c r="J1277" s="311">
        <f t="shared" ref="J1277:L1277" si="465">SUM(J1267:J1275)</f>
        <v>3.9529999999785881</v>
      </c>
      <c r="K1277" s="311">
        <f t="shared" si="465"/>
        <v>9.2480000000438292</v>
      </c>
      <c r="L1277" s="311">
        <f t="shared" si="465"/>
        <v>13.201000000022416</v>
      </c>
      <c r="M1277" s="236"/>
      <c r="N1277" s="236"/>
    </row>
    <row r="1278" spans="1:14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  <c r="N1278" s="236"/>
    </row>
    <row r="1279" spans="1:14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56" t="s">
        <v>35</v>
      </c>
      <c r="M1279" s="236"/>
      <c r="N1279" s="236"/>
    </row>
    <row r="1280" spans="1:14" x14ac:dyDescent="0.2">
      <c r="A1280" s="242"/>
      <c r="B1280" s="250"/>
      <c r="C1280" s="250"/>
      <c r="D1280" s="250"/>
      <c r="E1280" s="250"/>
      <c r="F1280" s="250"/>
      <c r="G1280" s="250"/>
      <c r="H1280" s="250"/>
      <c r="I1280" s="250"/>
      <c r="J1280" s="250"/>
      <c r="K1280" s="250"/>
      <c r="L1280" s="236"/>
      <c r="M1280" s="236"/>
      <c r="N1280" s="236"/>
    </row>
    <row r="1281" spans="1:14" x14ac:dyDescent="0.2">
      <c r="A1281" s="241" t="str">
        <f>name!A78</f>
        <v>Other personal service</v>
      </c>
      <c r="B1281" s="372">
        <f>B$6</f>
        <v>2015</v>
      </c>
      <c r="C1281" s="372"/>
      <c r="D1281" s="372"/>
      <c r="E1281" s="253"/>
      <c r="F1281" s="372">
        <f>F$6</f>
        <v>2020</v>
      </c>
      <c r="G1281" s="372"/>
      <c r="H1281" s="372"/>
      <c r="I1281" s="253"/>
      <c r="J1281" s="372">
        <f>J$6</f>
        <v>2035</v>
      </c>
      <c r="K1281" s="372"/>
      <c r="L1281" s="372"/>
      <c r="M1281" s="236"/>
      <c r="N1281" s="236"/>
    </row>
    <row r="1282" spans="1:14" x14ac:dyDescent="0.2">
      <c r="A1282" s="254"/>
      <c r="B1282" s="255" t="s">
        <v>352</v>
      </c>
      <c r="C1282" s="255" t="s">
        <v>353</v>
      </c>
      <c r="D1282" s="255" t="s">
        <v>32</v>
      </c>
      <c r="E1282" s="255"/>
      <c r="F1282" s="255" t="s">
        <v>352</v>
      </c>
      <c r="G1282" s="255" t="s">
        <v>353</v>
      </c>
      <c r="H1282" s="255" t="s">
        <v>32</v>
      </c>
      <c r="I1282" s="255"/>
      <c r="J1282" s="255" t="s">
        <v>352</v>
      </c>
      <c r="K1282" s="255" t="s">
        <v>353</v>
      </c>
      <c r="L1282" s="255" t="s">
        <v>32</v>
      </c>
      <c r="M1282" s="236"/>
      <c r="N1282" s="236"/>
    </row>
    <row r="1283" spans="1:14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  <c r="N1283" s="236"/>
    </row>
    <row r="1284" spans="1:14" x14ac:dyDescent="0.2">
      <c r="A1284" s="237" t="str">
        <f>name!E$4</f>
        <v>Managers, directors and senior officials</v>
      </c>
      <c r="B1284" s="302">
        <v>2.7331766149164984</v>
      </c>
      <c r="C1284" s="302">
        <v>4.4207249007676337</v>
      </c>
      <c r="D1284" s="302">
        <f>SUM(B1284:C1284)</f>
        <v>7.1539015156841321</v>
      </c>
      <c r="E1284" s="303"/>
      <c r="F1284" s="302">
        <v>3.579820864073834</v>
      </c>
      <c r="G1284" s="302">
        <v>4.9504238149789934</v>
      </c>
      <c r="H1284" s="302">
        <f>SUM(F1284:G1284)</f>
        <v>8.5302446790528279</v>
      </c>
      <c r="I1284" s="303"/>
      <c r="J1284" s="302">
        <v>4.5564943212308524</v>
      </c>
      <c r="K1284" s="302">
        <v>7.2872104200644596</v>
      </c>
      <c r="L1284" s="302">
        <f>SUM(J1284:K1284)</f>
        <v>11.843704741295312</v>
      </c>
      <c r="M1284" s="236"/>
      <c r="N1284" s="236"/>
    </row>
    <row r="1285" spans="1:14" x14ac:dyDescent="0.2">
      <c r="A1285" s="237" t="str">
        <f>name!E$5</f>
        <v>Professional occupations</v>
      </c>
      <c r="B1285" s="302">
        <v>4.6987555839306374</v>
      </c>
      <c r="C1285" s="302">
        <v>4.3094538319906954</v>
      </c>
      <c r="D1285" s="302">
        <f t="shared" ref="D1285:D1292" si="466">SUM(B1285:C1285)</f>
        <v>9.008209415921332</v>
      </c>
      <c r="E1285" s="303"/>
      <c r="F1285" s="302">
        <v>6.9723736856789582</v>
      </c>
      <c r="G1285" s="302">
        <v>5.8898059299675669</v>
      </c>
      <c r="H1285" s="302">
        <f t="shared" ref="H1285:H1292" si="467">SUM(F1285:G1285)</f>
        <v>12.862179615646525</v>
      </c>
      <c r="I1285" s="303"/>
      <c r="J1285" s="302">
        <v>9.032912556548423</v>
      </c>
      <c r="K1285" s="302">
        <v>8.3655586514558085</v>
      </c>
      <c r="L1285" s="302">
        <f t="shared" ref="L1285:L1292" si="468">SUM(J1285:K1285)</f>
        <v>17.398471208004231</v>
      </c>
      <c r="M1285" s="236"/>
      <c r="N1285" s="236"/>
    </row>
    <row r="1286" spans="1:14" x14ac:dyDescent="0.2">
      <c r="A1286" s="237" t="str">
        <f>name!E$6</f>
        <v>Associate professional occupations</v>
      </c>
      <c r="B1286" s="302">
        <v>4.7386168050578812</v>
      </c>
      <c r="C1286" s="302">
        <v>5.048699164863419</v>
      </c>
      <c r="D1286" s="302">
        <f t="shared" si="466"/>
        <v>9.7873159699213002</v>
      </c>
      <c r="E1286" s="303"/>
      <c r="F1286" s="302">
        <v>6.0056373774824809</v>
      </c>
      <c r="G1286" s="302">
        <v>6.4599995913368211</v>
      </c>
      <c r="H1286" s="302">
        <f t="shared" si="467"/>
        <v>12.465636968819302</v>
      </c>
      <c r="I1286" s="303"/>
      <c r="J1286" s="302">
        <v>6.4826441216268229</v>
      </c>
      <c r="K1286" s="302">
        <v>7.0907994680593873</v>
      </c>
      <c r="L1286" s="302">
        <f t="shared" si="468"/>
        <v>13.57344358968621</v>
      </c>
      <c r="M1286" s="236"/>
      <c r="N1286" s="236"/>
    </row>
    <row r="1287" spans="1:14" x14ac:dyDescent="0.2">
      <c r="A1287" s="237" t="str">
        <f>name!E$7</f>
        <v>Administrative and secretarial occupations</v>
      </c>
      <c r="B1287" s="302">
        <v>3.3342262478559768</v>
      </c>
      <c r="C1287" s="302">
        <v>0.58146438086492691</v>
      </c>
      <c r="D1287" s="302">
        <f t="shared" si="466"/>
        <v>3.9156906287209035</v>
      </c>
      <c r="E1287" s="303"/>
      <c r="F1287" s="302">
        <v>3.5979741308419615</v>
      </c>
      <c r="G1287" s="302">
        <v>0.78941155043869371</v>
      </c>
      <c r="H1287" s="302">
        <f t="shared" si="467"/>
        <v>4.3873856812806551</v>
      </c>
      <c r="I1287" s="303"/>
      <c r="J1287" s="302">
        <v>3.8230970146978471</v>
      </c>
      <c r="K1287" s="302">
        <v>0.74490705352719055</v>
      </c>
      <c r="L1287" s="302">
        <f t="shared" si="468"/>
        <v>4.5680040682250374</v>
      </c>
      <c r="M1287" s="236"/>
      <c r="N1287" s="236"/>
    </row>
    <row r="1288" spans="1:14" x14ac:dyDescent="0.2">
      <c r="A1288" s="237" t="str">
        <f>name!E$8</f>
        <v>Skilled trades occupations</v>
      </c>
      <c r="B1288" s="302">
        <v>0.58657259272558981</v>
      </c>
      <c r="C1288" s="302">
        <v>2.5265695070129945</v>
      </c>
      <c r="D1288" s="302">
        <f t="shared" si="466"/>
        <v>3.1131420997385844</v>
      </c>
      <c r="E1288" s="303"/>
      <c r="F1288" s="302">
        <v>0.75239528997489247</v>
      </c>
      <c r="G1288" s="302">
        <v>2.1831662924386017</v>
      </c>
      <c r="H1288" s="302">
        <f t="shared" si="467"/>
        <v>2.9355615824134942</v>
      </c>
      <c r="I1288" s="303"/>
      <c r="J1288" s="302">
        <v>1.4184170141700678</v>
      </c>
      <c r="K1288" s="302">
        <v>2.7888716953748238</v>
      </c>
      <c r="L1288" s="302">
        <f t="shared" si="468"/>
        <v>4.2072887095448914</v>
      </c>
      <c r="M1288" s="236"/>
      <c r="N1288" s="236"/>
    </row>
    <row r="1289" spans="1:14" x14ac:dyDescent="0.2">
      <c r="A1289" s="237" t="str">
        <f>name!E$9</f>
        <v>Caring, leisure and other service occupations</v>
      </c>
      <c r="B1289" s="302">
        <v>15.809794998237754</v>
      </c>
      <c r="C1289" s="302">
        <v>5.5627859668195185</v>
      </c>
      <c r="D1289" s="302">
        <f t="shared" si="466"/>
        <v>21.372580965057274</v>
      </c>
      <c r="E1289" s="303"/>
      <c r="F1289" s="302">
        <v>15.64272636680835</v>
      </c>
      <c r="G1289" s="302">
        <v>7.0248806317562389</v>
      </c>
      <c r="H1289" s="302">
        <f t="shared" si="467"/>
        <v>22.66760699856459</v>
      </c>
      <c r="I1289" s="303"/>
      <c r="J1289" s="302">
        <v>16.706350529328823</v>
      </c>
      <c r="K1289" s="302">
        <v>9.03164585803572</v>
      </c>
      <c r="L1289" s="302">
        <f t="shared" si="468"/>
        <v>25.737996387364543</v>
      </c>
      <c r="M1289" s="236"/>
      <c r="N1289" s="236"/>
    </row>
    <row r="1290" spans="1:14" x14ac:dyDescent="0.2">
      <c r="A1290" s="237" t="str">
        <f>name!E$10</f>
        <v>Sales and customer service occupations</v>
      </c>
      <c r="B1290" s="302">
        <v>1.4216616652151692</v>
      </c>
      <c r="C1290" s="302">
        <v>1.0587799919731695</v>
      </c>
      <c r="D1290" s="302">
        <f t="shared" si="466"/>
        <v>2.4804416571883388</v>
      </c>
      <c r="E1290" s="303"/>
      <c r="F1290" s="302">
        <v>1.4531776746588458</v>
      </c>
      <c r="G1290" s="302">
        <v>1.3041804316613403</v>
      </c>
      <c r="H1290" s="302">
        <f t="shared" si="467"/>
        <v>2.7573581063201864</v>
      </c>
      <c r="I1290" s="303"/>
      <c r="J1290" s="302">
        <v>1.6038924531208931</v>
      </c>
      <c r="K1290" s="302">
        <v>1.6198074244323166</v>
      </c>
      <c r="L1290" s="302">
        <f t="shared" si="468"/>
        <v>3.2236998775532095</v>
      </c>
      <c r="M1290" s="236"/>
      <c r="N1290" s="236"/>
    </row>
    <row r="1291" spans="1:14" x14ac:dyDescent="0.2">
      <c r="A1291" s="237" t="str">
        <f>name!E$11</f>
        <v>Process, plant and machine operatives</v>
      </c>
      <c r="B1291" s="302">
        <v>0.11404235072673537</v>
      </c>
      <c r="C1291" s="302">
        <v>0.96246073820322886</v>
      </c>
      <c r="D1291" s="302">
        <f t="shared" si="466"/>
        <v>1.0765030889299643</v>
      </c>
      <c r="E1291" s="303"/>
      <c r="F1291" s="302">
        <v>9.8384598366872619E-2</v>
      </c>
      <c r="G1291" s="302">
        <v>1.2559584955034517</v>
      </c>
      <c r="H1291" s="302">
        <f t="shared" si="467"/>
        <v>1.3543430938703243</v>
      </c>
      <c r="I1291" s="303"/>
      <c r="J1291" s="302">
        <v>0.18646584948184761</v>
      </c>
      <c r="K1291" s="302">
        <v>1.4126332803875319</v>
      </c>
      <c r="L1291" s="302">
        <f t="shared" si="468"/>
        <v>1.5990991298693795</v>
      </c>
      <c r="M1291" s="236"/>
      <c r="N1291" s="236"/>
    </row>
    <row r="1292" spans="1:14" x14ac:dyDescent="0.2">
      <c r="A1292" s="237" t="str">
        <f>name!E$12</f>
        <v>Elementary occupations</v>
      </c>
      <c r="B1292" s="302">
        <v>1.587153141723725</v>
      </c>
      <c r="C1292" s="302">
        <v>2.2190615176982287</v>
      </c>
      <c r="D1292" s="302">
        <f t="shared" si="466"/>
        <v>3.8062146594219537</v>
      </c>
      <c r="E1292" s="303"/>
      <c r="F1292" s="302">
        <v>1.3675100117907009</v>
      </c>
      <c r="G1292" s="302">
        <v>2.2861732620873347</v>
      </c>
      <c r="H1292" s="302">
        <f t="shared" si="467"/>
        <v>3.6536832738780358</v>
      </c>
      <c r="I1292" s="303"/>
      <c r="J1292" s="302">
        <v>1.0167261396261968</v>
      </c>
      <c r="K1292" s="302">
        <v>2.1935661488106208</v>
      </c>
      <c r="L1292" s="302">
        <f t="shared" si="468"/>
        <v>3.2102922884368175</v>
      </c>
      <c r="M1292" s="236"/>
      <c r="N1292" s="236"/>
    </row>
    <row r="1293" spans="1:14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  <c r="N1293" s="236"/>
    </row>
    <row r="1294" spans="1:14" x14ac:dyDescent="0.2">
      <c r="A1294" s="244" t="s">
        <v>32</v>
      </c>
      <c r="B1294" s="311">
        <f>SUM(B1284:B1292)</f>
        <v>35.024000000389968</v>
      </c>
      <c r="C1294" s="311">
        <f t="shared" ref="C1294:D1294" si="469">SUM(C1284:C1292)</f>
        <v>26.690000000193816</v>
      </c>
      <c r="D1294" s="311">
        <f t="shared" si="469"/>
        <v>61.714000000583773</v>
      </c>
      <c r="E1294" s="311"/>
      <c r="F1294" s="311">
        <f t="shared" ref="F1294:H1294" si="470">SUM(F1284:F1292)</f>
        <v>39.469999999676894</v>
      </c>
      <c r="G1294" s="311">
        <f t="shared" si="470"/>
        <v>32.144000000169044</v>
      </c>
      <c r="H1294" s="311">
        <f t="shared" si="470"/>
        <v>71.61399999984593</v>
      </c>
      <c r="I1294" s="311"/>
      <c r="J1294" s="311">
        <f t="shared" ref="J1294:L1294" si="471">SUM(J1284:J1292)</f>
        <v>44.82699999983177</v>
      </c>
      <c r="K1294" s="311">
        <f t="shared" si="471"/>
        <v>40.535000000147853</v>
      </c>
      <c r="L1294" s="311">
        <f t="shared" si="471"/>
        <v>85.361999999979631</v>
      </c>
      <c r="M1294" s="236"/>
      <c r="N1294" s="236"/>
    </row>
    <row r="1295" spans="1:14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  <c r="N1295" s="236"/>
    </row>
  </sheetData>
  <mergeCells count="228"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</mergeCells>
  <pageMargins left="0.7" right="0.7" top="0.75" bottom="0.75" header="0.3" footer="0.3"/>
  <pageSetup paperSize="9" scale="75" orientation="portrait" r:id="rId1"/>
  <rowBreaks count="19" manualBreakCount="19">
    <brk id="54" max="16383" man="1"/>
    <brk id="122" max="11" man="1"/>
    <brk id="190" max="11" man="1"/>
    <brk id="258" max="11" man="1"/>
    <brk id="326" max="11" man="1"/>
    <brk id="394" max="11" man="1"/>
    <brk id="462" max="11" man="1"/>
    <brk id="530" max="11" man="1"/>
    <brk id="598" max="11" man="1"/>
    <brk id="666" max="11" man="1"/>
    <brk id="734" max="11" man="1"/>
    <brk id="802" max="11" man="1"/>
    <brk id="870" max="11" man="1"/>
    <brk id="938" max="11" man="1"/>
    <brk id="1006" max="11" man="1"/>
    <brk id="1074" max="11" man="1"/>
    <brk id="1142" max="11" man="1"/>
    <brk id="1210" max="11" man="1"/>
    <brk id="1278" max="11" man="1"/>
  </rowBreaks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>
    <pageSetUpPr fitToPage="1"/>
  </sheetPr>
  <dimension ref="A1:W1295"/>
  <sheetViews>
    <sheetView showGridLines="0" zoomScale="85" zoomScaleNormal="85" workbookViewId="0"/>
  </sheetViews>
  <sheetFormatPr defaultRowHeight="12.75" x14ac:dyDescent="0.2"/>
  <cols>
    <col min="1" max="1" width="37.85546875" customWidth="1"/>
    <col min="2" max="3" width="5.7109375" bestFit="1" customWidth="1"/>
    <col min="4" max="4" width="4.140625" bestFit="1" customWidth="1"/>
    <col min="5" max="5" width="5.7109375" bestFit="1" customWidth="1"/>
    <col min="6" max="6" width="4.7109375" customWidth="1"/>
    <col min="7" max="8" width="5.7109375" bestFit="1" customWidth="1"/>
    <col min="9" max="9" width="4.140625" bestFit="1" customWidth="1"/>
    <col min="10" max="10" width="5.7109375" bestFit="1" customWidth="1"/>
    <col min="11" max="11" width="4.85546875" customWidth="1"/>
    <col min="12" max="13" width="5.7109375" bestFit="1" customWidth="1"/>
    <col min="14" max="14" width="4.140625" bestFit="1" customWidth="1"/>
    <col min="15" max="15" width="5.7109375" bestFit="1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8" t="str">
        <f>CONCATENATE("Industry and Occupation Table 2  Occuptation composition (SOC2020) by employment status, ",B$6,"-",L$6,", ",Info!B5)</f>
        <v>Industry and Occupation Table 2  Occuptation composition (SOC2020) by employment status, 2015-2035, London</v>
      </c>
    </row>
    <row r="2" spans="1:23" x14ac:dyDescent="0.2">
      <c r="A2" s="258" t="s">
        <v>535</v>
      </c>
    </row>
    <row r="4" spans="1:23" x14ac:dyDescent="0.2">
      <c r="O4" s="251" t="s">
        <v>35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2">
        <v>2015</v>
      </c>
      <c r="C6" s="372"/>
      <c r="D6" s="372"/>
      <c r="E6" s="372"/>
      <c r="F6" s="246"/>
      <c r="G6" s="372">
        <v>2020</v>
      </c>
      <c r="H6" s="372"/>
      <c r="I6" s="372"/>
      <c r="J6" s="372"/>
      <c r="K6" s="278"/>
      <c r="L6" s="372">
        <v>2035</v>
      </c>
      <c r="M6" s="372"/>
      <c r="N6" s="372"/>
      <c r="O6" s="372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32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32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32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484.38795335461322</v>
      </c>
      <c r="C9" s="249">
        <f t="shared" ref="C9:D9" si="0"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59.625426572347621</v>
      </c>
      <c r="D9" s="249">
        <f t="shared" si="0"/>
        <v>82.448612087021047</v>
      </c>
      <c r="E9" s="249">
        <f>SUM(B9:D9)</f>
        <v>626.4619920139819</v>
      </c>
      <c r="F9" s="238"/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543.10639425875502</v>
      </c>
      <c r="H9" s="249">
        <f t="shared" ref="H9:I9" si="1">SUM(H26,H43,H60,H77,H94,H111,H128,H145,H162,H179,H196,H213,H230,H247,H264,H281,H298,H315,H332,H349,H366,H383,H400,H417,H434,H451,H468,H485,H502,H519,H536,H553,H570,H587,H604,H621,H638,H655,H672,H689,H706,H723,H740,H757,H774,H791,H808,H825,H842,H859,H876,H893,H910,H927,H944,H961,H978,H995,H1012,H1029,H1046,H1063,H1080,H1097,H1114,H1131,H1148,H1165,H1182,H1199,H1216,H1233,H1250,H1267,H1284)</f>
        <v>86.611138446914865</v>
      </c>
      <c r="I9" s="249">
        <f t="shared" si="1"/>
        <v>95.355699679286943</v>
      </c>
      <c r="J9" s="249">
        <f>SUM(G9:I9)</f>
        <v>725.07323238495678</v>
      </c>
      <c r="K9" s="238"/>
      <c r="L9" s="249">
        <f>SUM(L26,L43,L60,L77,L94,L111,L128,L145,L162,L179,L196,L213,L230,L247,L264,L281,L298,L315,L332,L349,L366,L383,L400,L417,L434,L451,L468,L485,L502,L519,L536,L553,L570,L587,L604,L621,L638,L655,L672,L689,L706,L723,L740,L757,L774,L791,L808,L825,L842,L859,L876,L893,L910,L927,L944,L961,L978,L995,L1012,L1029,L1046,L1063,L1080,L1097,L1114,L1131,L1148,L1165,L1182,L1199,L1216,L1233,L1250,L1267,L1284)</f>
        <v>602.42268667481778</v>
      </c>
      <c r="M9" s="249">
        <f t="shared" ref="M9:N9" si="2">SUM(M26,M43,M60,M77,M94,M111,M128,M145,M162,M179,M196,M213,M230,M247,M264,M281,M298,M315,M332,M349,M366,M383,M400,M417,M434,M451,M468,M485,M502,M519,M536,M553,M570,M587,M604,M621,M638,M655,M672,M689,M706,M723,M740,M757,M774,M791,M808,M825,M842,M859,M876,M893,M910,M927,M944,M961,M978,M995,M1012,M1029,M1046,M1063,M1080,M1097,M1114,M1131,M1148,M1165,M1182,M1199,M1216,M1233,M1250,M1267,M1284)</f>
        <v>106.8863412665502</v>
      </c>
      <c r="N9" s="249">
        <f t="shared" si="2"/>
        <v>116.11773204527691</v>
      </c>
      <c r="O9" s="249">
        <f>SUM(L9:N9)</f>
        <v>825.42675998664481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0" si="3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1104.7553958126252</v>
      </c>
      <c r="C10" s="249">
        <f t="shared" si="3"/>
        <v>255.78142815564408</v>
      </c>
      <c r="D10" s="249">
        <f t="shared" si="3"/>
        <v>155.92897192815667</v>
      </c>
      <c r="E10" s="249">
        <f t="shared" ref="E10:E17" si="4">SUM(B10:D10)</f>
        <v>1516.465795896426</v>
      </c>
      <c r="F10" s="238"/>
      <c r="G10" s="249">
        <f t="shared" ref="G10:I10" si="5">SUM(G27,G44,G61,G78,G95,G112,G129,G146,G163,G180,G197,G214,G231,G248,G265,G282,G299,G316,G333,G350,G367,G384,G401,G418,G435,G452,G469,G486,G503,G520,G537,G554,G571,G588,G605,G622,G639,G656,G673,G690,G707,G724,G741,G758,G775,G792,G809,G826,G843,G860,G877,G894,G911,G928,G945,G962,G979,G996,G1013,G1030,G1047,G1064,G1081,G1098,G1115,G1132,G1149,G1166,G1183,G1200,G1217,G1234,G1251,G1268,G1285)</f>
        <v>1330.7123332511435</v>
      </c>
      <c r="H10" s="249">
        <f t="shared" si="5"/>
        <v>296.14492527405832</v>
      </c>
      <c r="I10" s="249">
        <f t="shared" si="5"/>
        <v>187.35603035500881</v>
      </c>
      <c r="J10" s="249">
        <f t="shared" ref="J10:J17" si="6">SUM(G10:I10)</f>
        <v>1814.2132888802107</v>
      </c>
      <c r="K10" s="238"/>
      <c r="L10" s="249">
        <f t="shared" ref="L10:N10" si="7">SUM(L27,L44,L61,L78,L95,L112,L129,L146,L163,L180,L197,L214,L231,L248,L265,L282,L299,L316,L333,L350,L367,L384,L401,L418,L435,L452,L469,L486,L503,L520,L537,L554,L571,L588,L605,L622,L639,L656,L673,L690,L707,L724,L741,L758,L775,L792,L809,L826,L843,L860,L877,L894,L911,L928,L945,L962,L979,L996,L1013,L1030,L1047,L1064,L1081,L1098,L1115,L1132,L1149,L1166,L1183,L1200,L1217,L1234,L1251,L1268,L1285)</f>
        <v>1594.4692376250764</v>
      </c>
      <c r="M10" s="249">
        <f t="shared" si="7"/>
        <v>359.92870163409435</v>
      </c>
      <c r="N10" s="249">
        <f t="shared" si="7"/>
        <v>187.96675806542831</v>
      </c>
      <c r="O10" s="249">
        <f t="shared" ref="O10:O17" si="8">SUM(L10:N10)</f>
        <v>2142.3646973245991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ref="B11:D11" si="9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672.51749020668956</v>
      </c>
      <c r="C11" s="249">
        <f t="shared" si="9"/>
        <v>157.15985578867659</v>
      </c>
      <c r="D11" s="249">
        <f t="shared" si="9"/>
        <v>142.18381215695848</v>
      </c>
      <c r="E11" s="249">
        <f t="shared" si="4"/>
        <v>971.86115815232461</v>
      </c>
      <c r="F11" s="238"/>
      <c r="G11" s="249">
        <f t="shared" ref="G11:I11" si="10">SUM(G28,G45,G62,G79,G96,G113,G130,G147,G164,G181,G198,G215,G232,G249,G266,G283,G300,G317,G334,G351,G368,G385,G402,G419,G436,G453,G470,G487,G504,G521,G538,G555,G572,G589,G606,G623,G640,G657,G674,G691,G708,G725,G742,G759,G776,G793,G810,G827,G844,G861,G878,G895,G912,G929,G946,G963,G980,G997,G1014,G1031,G1048,G1065,G1082,G1099,G1116,G1133,G1150,G1167,G1184,G1201,G1218,G1235,G1252,G1269,G1286)</f>
        <v>759.35778974323375</v>
      </c>
      <c r="H11" s="249">
        <f t="shared" si="10"/>
        <v>170.33312638995497</v>
      </c>
      <c r="I11" s="249">
        <f t="shared" si="10"/>
        <v>155.7870108958144</v>
      </c>
      <c r="J11" s="249">
        <f t="shared" si="6"/>
        <v>1085.477927029003</v>
      </c>
      <c r="K11" s="238"/>
      <c r="L11" s="249">
        <f t="shared" ref="L11:N11" si="11">SUM(L28,L45,L62,L79,L96,L113,L130,L147,L164,L181,L198,L215,L232,L249,L266,L283,L300,L317,L334,L351,L368,L385,L402,L419,L436,L453,L470,L487,L504,L521,L538,L555,L572,L589,L606,L623,L640,L657,L674,L691,L708,L725,L742,L759,L776,L793,L810,L827,L844,L861,L878,L895,L912,L929,L946,L963,L980,L997,L1014,L1031,L1048,L1065,L1082,L1099,L1116,L1133,L1150,L1167,L1184,L1201,L1218,L1235,L1252,L1269,L1286)</f>
        <v>796.58033686279612</v>
      </c>
      <c r="M11" s="249">
        <f t="shared" si="11"/>
        <v>186.03387047078763</v>
      </c>
      <c r="N11" s="249">
        <f t="shared" si="11"/>
        <v>168.25448420608259</v>
      </c>
      <c r="O11" s="249">
        <f t="shared" si="8"/>
        <v>1150.8686915396663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ref="B12:D12" si="12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320.40618662163183</v>
      </c>
      <c r="C12" s="249">
        <f t="shared" si="12"/>
        <v>160.33684605857965</v>
      </c>
      <c r="D12" s="249">
        <f t="shared" si="12"/>
        <v>20.960595558678872</v>
      </c>
      <c r="E12" s="249">
        <f t="shared" si="4"/>
        <v>501.70362823889036</v>
      </c>
      <c r="F12" s="238"/>
      <c r="G12" s="249">
        <f t="shared" ref="G12:I12" si="13">SUM(G29,G46,G63,G80,G97,G114,G131,G148,G165,G182,G199,G216,G233,G250,G267,G284,G301,G318,G335,G352,G369,G386,G403,G420,G437,G454,G471,G488,G505,G522,G539,G556,G573,G590,G607,G624,G641,G658,G675,G692,G709,G726,G743,G760,G777,G794,G811,G828,G845,G862,G879,G896,G913,G930,G947,G964,G981,G998,G1015,G1032,G1049,G1066,G1083,G1100,G1117,G1134,G1151,G1168,G1185,G1202,G1219,G1236,G1253,G1270,G1287)</f>
        <v>316.43271411447813</v>
      </c>
      <c r="H12" s="249">
        <f t="shared" si="13"/>
        <v>156.76738769091958</v>
      </c>
      <c r="I12" s="249">
        <f t="shared" si="13"/>
        <v>19.157528944810359</v>
      </c>
      <c r="J12" s="249">
        <f t="shared" si="6"/>
        <v>492.35763075020805</v>
      </c>
      <c r="K12" s="238"/>
      <c r="L12" s="249">
        <f t="shared" ref="L12:N12" si="14">SUM(L29,L46,L63,L80,L97,L114,L131,L148,L165,L182,L199,L216,L233,L250,L267,L284,L301,L318,L335,L352,L369,L386,L403,L420,L437,L454,L471,L488,L505,L522,L539,L556,L573,L590,L607,L624,L641,L658,L675,L692,L709,L726,L743,L760,L777,L794,L811,L828,L845,L862,L879,L896,L913,L930,L947,L964,L981,L998,L1015,L1032,L1049,L1066,L1083,L1100,L1117,L1134,L1151,L1168,L1185,L1202,L1219,L1236,L1253,L1270,L1287)</f>
        <v>258.76316672827386</v>
      </c>
      <c r="M12" s="249">
        <f t="shared" si="14"/>
        <v>138.5246743653405</v>
      </c>
      <c r="N12" s="249">
        <f t="shared" si="14"/>
        <v>16.863957268574229</v>
      </c>
      <c r="O12" s="249">
        <f t="shared" si="8"/>
        <v>414.15179836218857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ref="B13:D13" si="15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242.32479987921499</v>
      </c>
      <c r="C13" s="249">
        <f t="shared" si="15"/>
        <v>37.318455393066579</v>
      </c>
      <c r="D13" s="249">
        <f t="shared" si="15"/>
        <v>158.65158905970284</v>
      </c>
      <c r="E13" s="249">
        <f t="shared" si="4"/>
        <v>438.29484433198445</v>
      </c>
      <c r="F13" s="238"/>
      <c r="G13" s="249">
        <f t="shared" ref="G13:I13" si="16">SUM(G30,G47,G64,G81,G98,G115,G132,G149,G166,G183,G200,G217,G234,G251,G268,G285,G302,G319,G336,G353,G370,G387,G404,G421,G438,G455,G472,G489,G506,G523,G540,G557,G574,G591,G608,G625,G642,G659,G676,G693,G710,G727,G744,G761,G778,G795,G812,G829,G846,G863,G880,G897,G914,G931,G948,G965,G982,G999,G1016,G1033,G1050,G1067,G1084,G1101,G1118,G1135,G1152,G1169,G1186,G1203,G1220,G1237,G1254,G1271,G1288)</f>
        <v>218.35125970564698</v>
      </c>
      <c r="H13" s="249">
        <f t="shared" si="16"/>
        <v>33.649644734601438</v>
      </c>
      <c r="I13" s="249">
        <f t="shared" si="16"/>
        <v>109.80253897884991</v>
      </c>
      <c r="J13" s="249">
        <f t="shared" si="6"/>
        <v>361.8034434190983</v>
      </c>
      <c r="K13" s="238"/>
      <c r="L13" s="249">
        <f t="shared" ref="L13:N13" si="17">SUM(L30,L47,L64,L81,L98,L115,L132,L149,L166,L183,L200,L217,L234,L251,L268,L285,L302,L319,L336,L353,L370,L387,L404,L421,L438,L455,L472,L489,L506,L523,L540,L557,L574,L591,L608,L625,L642,L659,L676,L693,L710,L727,L744,L761,L778,L795,L812,L829,L846,L863,L880,L897,L914,L931,L948,L965,L982,L999,L1016,L1033,L1050,L1067,L1084,L1101,L1118,L1135,L1152,L1169,L1186,L1203,L1220,L1237,L1254,L1271,L1288)</f>
        <v>227.76274427968673</v>
      </c>
      <c r="M13" s="249">
        <f t="shared" si="17"/>
        <v>40.732782423420936</v>
      </c>
      <c r="N13" s="249">
        <f t="shared" si="17"/>
        <v>140.06944445407123</v>
      </c>
      <c r="O13" s="249">
        <f t="shared" si="8"/>
        <v>408.56497115717889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ref="B14:D14" si="18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194.38172966335588</v>
      </c>
      <c r="C14" s="249">
        <f t="shared" si="18"/>
        <v>131.2300227771749</v>
      </c>
      <c r="D14" s="249">
        <f t="shared" si="18"/>
        <v>33.516211982401543</v>
      </c>
      <c r="E14" s="249">
        <f t="shared" si="4"/>
        <v>359.12796442293234</v>
      </c>
      <c r="F14" s="238"/>
      <c r="G14" s="249">
        <f t="shared" ref="G14:I14" si="19">SUM(G31,G48,G65,G82,G99,G116,G133,G150,G167,G184,G201,G218,G235,G252,G269,G286,G303,G320,G337,G354,G371,G388,G405,G422,G439,G456,G473,G490,G507,G524,G541,G558,G575,G592,G609,G626,G643,G660,G677,G694,G711,G728,G745,G762,G779,G796,G813,G830,G847,G864,G881,G898,G915,G932,G949,G966,G983,G1000,G1017,G1034,G1051,G1068,G1085,G1102,G1119,G1136,G1153,G1170,G1187,G1204,G1221,G1238,G1255,G1272,G1289)</f>
        <v>195.29512481672438</v>
      </c>
      <c r="H14" s="249">
        <f t="shared" si="19"/>
        <v>124.03268637954375</v>
      </c>
      <c r="I14" s="249">
        <f t="shared" si="19"/>
        <v>39.066398399702166</v>
      </c>
      <c r="J14" s="249">
        <f t="shared" si="6"/>
        <v>358.39420959597032</v>
      </c>
      <c r="K14" s="238"/>
      <c r="L14" s="249">
        <f t="shared" ref="L14:N14" si="20">SUM(L31,L48,L65,L82,L99,L116,L133,L150,L167,L184,L201,L218,L235,L252,L269,L286,L303,L320,L337,L354,L371,L388,L405,L422,L439,L456,L473,L490,L507,L524,L541,L558,L575,L592,L609,L626,L643,L660,L677,L694,L711,L728,L745,L762,L779,L796,L813,L830,L847,L864,L881,L898,L915,L932,L949,L966,L983,L1000,L1017,L1034,L1051,L1068,L1085,L1102,L1119,L1136,L1153,L1170,L1187,L1204,L1221,L1238,L1255,L1272,L1289)</f>
        <v>230.61971409847519</v>
      </c>
      <c r="M14" s="249">
        <f t="shared" si="20"/>
        <v>126.92918494109547</v>
      </c>
      <c r="N14" s="249">
        <f t="shared" si="20"/>
        <v>50.899211461728697</v>
      </c>
      <c r="O14" s="249">
        <f t="shared" si="8"/>
        <v>408.44811050129931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ref="B15:D15" si="21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152.60593537827532</v>
      </c>
      <c r="C15" s="249">
        <f t="shared" si="21"/>
        <v>219.48231194559025</v>
      </c>
      <c r="D15" s="249">
        <f t="shared" si="21"/>
        <v>23.686413797532701</v>
      </c>
      <c r="E15" s="249">
        <f t="shared" si="4"/>
        <v>395.77466112139825</v>
      </c>
      <c r="F15" s="238"/>
      <c r="G15" s="249">
        <f t="shared" ref="G15:I15" si="22">SUM(G32,G49,G66,G83,G100,G117,G134,G151,G168,G185,G202,G219,G236,G253,G270,G287,G304,G321,G338,G355,G372,G389,G406,G423,G440,G457,G474,G491,G508,G525,G542,G559,G576,G593,G610,G627,G644,G661,G678,G695,G712,G729,G746,G763,G780,G797,G814,G831,G848,G865,G882,G899,G916,G933,G950,G967,G984,G1001,G1018,G1035,G1052,G1069,G1086,G1103,G1120,G1137,G1154,G1171,G1188,G1205,G1222,G1239,G1256,G1273,G1290)</f>
        <v>144.42176858339417</v>
      </c>
      <c r="H15" s="249">
        <f t="shared" si="22"/>
        <v>201.958641719713</v>
      </c>
      <c r="I15" s="249">
        <f t="shared" si="22"/>
        <v>15.644057950979191</v>
      </c>
      <c r="J15" s="249">
        <f t="shared" si="6"/>
        <v>362.02446825408634</v>
      </c>
      <c r="K15" s="238"/>
      <c r="L15" s="249">
        <f t="shared" ref="L15:N15" si="23">SUM(L32,L49,L66,L83,L100,L117,L134,L151,L168,L185,L202,L219,L236,L253,L270,L287,L304,L321,L338,L355,L372,L389,L406,L423,L440,L457,L474,L491,L508,L525,L542,L559,L576,L593,L610,L627,L644,L661,L678,L695,L712,L729,L746,L763,L780,L797,L814,L831,L848,L865,L882,L899,L916,L933,L950,L967,L984,L1001,L1018,L1035,L1052,L1069,L1086,L1103,L1120,L1137,L1154,L1171,L1188,L1205,L1222,L1239,L1256,L1273,L1290)</f>
        <v>142.84792005105248</v>
      </c>
      <c r="M15" s="249">
        <f t="shared" si="23"/>
        <v>203.65208254537512</v>
      </c>
      <c r="N15" s="249">
        <f t="shared" si="23"/>
        <v>14.931656689554629</v>
      </c>
      <c r="O15" s="249">
        <f t="shared" si="8"/>
        <v>361.43165928598228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ref="B16:D16" si="24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121.0358448680087</v>
      </c>
      <c r="C16" s="249">
        <f t="shared" si="24"/>
        <v>34.843002380857996</v>
      </c>
      <c r="D16" s="249">
        <f t="shared" si="24"/>
        <v>61.792422899670427</v>
      </c>
      <c r="E16" s="249">
        <f t="shared" si="4"/>
        <v>217.67127014853713</v>
      </c>
      <c r="F16" s="238"/>
      <c r="G16" s="249">
        <f t="shared" ref="G16:I16" si="25">SUM(G33,G50,G67,G84,G101,G118,G135,G152,G169,G186,G203,G220,G237,G254,G271,G288,G305,G322,G339,G356,G373,G390,G407,G424,G441,G458,G475,G492,G509,G526,G543,G560,G577,G594,G611,G628,G645,G662,G679,G696,G713,G730,G747,G764,G781,G798,G815,G832,G849,G866,G883,G900,G917,G934,G951,G968,G985,G1002,G1019,G1036,G1053,G1070,G1087,G1104,G1121,G1138,G1155,G1172,G1189,G1206,G1223,G1240,G1257,G1274,G1291)</f>
        <v>112.30249276792043</v>
      </c>
      <c r="H16" s="249">
        <f t="shared" si="25"/>
        <v>43.15999629684633</v>
      </c>
      <c r="I16" s="249">
        <f t="shared" si="25"/>
        <v>59.089129993997723</v>
      </c>
      <c r="J16" s="249">
        <f t="shared" si="6"/>
        <v>214.55161905876449</v>
      </c>
      <c r="K16" s="238"/>
      <c r="L16" s="249">
        <f t="shared" ref="L16:N16" si="26">SUM(L33,L50,L67,L84,L101,L118,L135,L152,L169,L186,L203,L220,L237,L254,L271,L288,L305,L322,L339,L356,L373,L390,L407,L424,L441,L458,L475,L492,L509,L526,L543,L560,L577,L594,L611,L628,L645,L662,L679,L696,L713,L730,L747,L764,L781,L798,L815,L832,L849,L866,L883,L900,L917,L934,L951,L968,L985,L1002,L1019,L1036,L1053,L1070,L1087,L1104,L1121,L1138,L1155,L1172,L1189,L1206,L1223,L1240,L1257,L1274,L1291)</f>
        <v>107.89333276923055</v>
      </c>
      <c r="M16" s="249">
        <f t="shared" si="26"/>
        <v>58.931601060357181</v>
      </c>
      <c r="N16" s="249">
        <f t="shared" si="26"/>
        <v>75.947605093094353</v>
      </c>
      <c r="O16" s="249">
        <f t="shared" si="8"/>
        <v>242.77253892268209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ref="B17:D17" si="27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223.44766420499272</v>
      </c>
      <c r="C17" s="249">
        <f t="shared" si="27"/>
        <v>280.6286509378229</v>
      </c>
      <c r="D17" s="249">
        <f t="shared" si="27"/>
        <v>42.11837053481478</v>
      </c>
      <c r="E17" s="249">
        <f t="shared" si="4"/>
        <v>546.19468567763033</v>
      </c>
      <c r="F17" s="238"/>
      <c r="G17" s="249">
        <f t="shared" ref="G17:I17" si="28">SUM(G34,G51,G68,G85,G102,G119,G136,G153,G170,G187,G204,G221,G238,G255,G272,G289,G306,G323,G340,G357,G374,G391,G408,G425,G442,G459,G476,G493,G510,G527,G544,G561,G578,G595,G612,G629,G646,G663,G680,G697,G714,G731,G748,G765,G782,G799,G816,G833,G850,G867,G884,G901,G918,G935,G952,G969,G986,G1003,G1020,G1037,G1054,G1071,G1088,G1105,G1122,G1139,G1156,G1173,G1190,G1207,G1224,G1241,G1258,G1275,G1292)</f>
        <v>209.31712276863547</v>
      </c>
      <c r="H17" s="249">
        <f t="shared" si="28"/>
        <v>284.03145305802917</v>
      </c>
      <c r="I17" s="249">
        <f t="shared" si="28"/>
        <v>30.136604806369473</v>
      </c>
      <c r="J17" s="249">
        <f t="shared" si="6"/>
        <v>523.48518063303413</v>
      </c>
      <c r="K17" s="238"/>
      <c r="L17" s="249">
        <f t="shared" ref="L17:N17" si="29">SUM(L34,L51,L68,L85,L102,L119,L136,L153,L170,L187,L204,L221,L238,L255,L272,L289,L306,L323,L340,L357,L374,L391,L408,L425,L442,L459,L476,L493,L510,L527,L544,L561,L578,L595,L612,L629,L646,L663,L680,L697,L714,L731,L748,L765,L782,L799,L816,L833,L850,L867,L884,L901,L918,L935,L952,L969,L986,L1003,L1020,L1037,L1054,L1071,L1088,L1105,L1122,L1139,L1156,L1173,L1190,L1207,L1224,L1241,L1258,L1275,L1292)</f>
        <v>217.23686091991419</v>
      </c>
      <c r="M17" s="249">
        <f t="shared" si="29"/>
        <v>267.30076128720839</v>
      </c>
      <c r="N17" s="249">
        <f t="shared" si="29"/>
        <v>42.168150720098282</v>
      </c>
      <c r="O17" s="249">
        <f t="shared" si="8"/>
        <v>526.70577292722089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32</v>
      </c>
      <c r="B19" s="247">
        <f>SUM(B9:B17)</f>
        <v>3515.8629999894069</v>
      </c>
      <c r="C19" s="247">
        <f t="shared" ref="C19:O19" si="30">SUM(C9:C17)</f>
        <v>1336.4060000097604</v>
      </c>
      <c r="D19" s="247">
        <f t="shared" si="30"/>
        <v>721.28700000493734</v>
      </c>
      <c r="E19" s="247">
        <f t="shared" si="30"/>
        <v>5573.556000004106</v>
      </c>
      <c r="F19" s="247"/>
      <c r="G19" s="247">
        <f t="shared" si="30"/>
        <v>3829.2970000099313</v>
      </c>
      <c r="H19" s="247">
        <f t="shared" si="30"/>
        <v>1396.6889999905816</v>
      </c>
      <c r="I19" s="247">
        <f t="shared" si="30"/>
        <v>711.39500000481917</v>
      </c>
      <c r="J19" s="247">
        <f t="shared" si="30"/>
        <v>5937.3810000053318</v>
      </c>
      <c r="K19" s="247"/>
      <c r="L19" s="247">
        <f t="shared" si="30"/>
        <v>4178.5960000093228</v>
      </c>
      <c r="M19" s="247">
        <f t="shared" si="30"/>
        <v>1488.91999999423</v>
      </c>
      <c r="N19" s="247">
        <f t="shared" si="30"/>
        <v>813.21900000390929</v>
      </c>
      <c r="O19" s="247">
        <f t="shared" si="30"/>
        <v>6480.735000007463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35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name!A4</f>
        <v>Agriculture, etc</v>
      </c>
      <c r="B23" s="374">
        <f>$B$6</f>
        <v>2015</v>
      </c>
      <c r="C23" s="374"/>
      <c r="D23" s="374"/>
      <c r="E23" s="374"/>
      <c r="F23" s="263"/>
      <c r="G23" s="374">
        <f>$G$6</f>
        <v>2020</v>
      </c>
      <c r="H23" s="374"/>
      <c r="I23" s="374"/>
      <c r="J23" s="374"/>
      <c r="K23" s="263"/>
      <c r="L23" s="374">
        <f>$L$6</f>
        <v>2035</v>
      </c>
      <c r="M23" s="374"/>
      <c r="N23" s="374"/>
      <c r="O23" s="374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0.17588193733447363</v>
      </c>
      <c r="C26" s="302">
        <v>4.6387996237580498E-2</v>
      </c>
      <c r="D26" s="302">
        <v>1.119992680753487E-4</v>
      </c>
      <c r="E26" s="302">
        <f>SUM(B26:D26)</f>
        <v>0.22238193284012947</v>
      </c>
      <c r="F26" s="303"/>
      <c r="G26" s="302">
        <v>0.13902125078925792</v>
      </c>
      <c r="H26" s="302">
        <v>2.1070588584397153E-3</v>
      </c>
      <c r="I26" s="302">
        <v>1.2660339383797396E-4</v>
      </c>
      <c r="J26" s="302">
        <f>SUM(G26:I26)</f>
        <v>0.14125491304153559</v>
      </c>
      <c r="K26" s="303"/>
      <c r="L26" s="302">
        <v>0.14467443260275628</v>
      </c>
      <c r="M26" s="302">
        <v>1.6663935169099371E-3</v>
      </c>
      <c r="N26" s="302">
        <v>1.0433170294725961E-4</v>
      </c>
      <c r="O26" s="302">
        <f>SUM(L26:N26)</f>
        <v>0.1464451578226135</v>
      </c>
    </row>
    <row r="27" spans="1:15" s="236" customFormat="1" x14ac:dyDescent="0.2">
      <c r="A27" s="237" t="str">
        <f>name!E$5</f>
        <v>Professional occupations</v>
      </c>
      <c r="B27" s="302">
        <v>0.54892525259677771</v>
      </c>
      <c r="C27" s="302">
        <v>0.12433150352134839</v>
      </c>
      <c r="D27" s="302">
        <v>6.0315673031655006E-4</v>
      </c>
      <c r="E27" s="302">
        <f t="shared" ref="E27:E34" si="31">SUM(B27:D27)</f>
        <v>0.6738599128484426</v>
      </c>
      <c r="F27" s="303"/>
      <c r="G27" s="302">
        <v>0.50721535780098714</v>
      </c>
      <c r="H27" s="302">
        <v>4.2844506211094178E-3</v>
      </c>
      <c r="I27" s="302">
        <v>3.8009125442835489E-4</v>
      </c>
      <c r="J27" s="302">
        <f t="shared" ref="J27:J34" si="32">SUM(G27:I27)</f>
        <v>0.51187989967652492</v>
      </c>
      <c r="K27" s="303"/>
      <c r="L27" s="302">
        <v>0.56155005693344318</v>
      </c>
      <c r="M27" s="302">
        <v>4.2349798415134525E-3</v>
      </c>
      <c r="N27" s="302">
        <v>3.6214298789436454E-4</v>
      </c>
      <c r="O27" s="302">
        <f t="shared" ref="O27:O34" si="33">SUM(L27:N27)</f>
        <v>0.566147179762851</v>
      </c>
    </row>
    <row r="28" spans="1:15" s="236" customFormat="1" x14ac:dyDescent="0.2">
      <c r="A28" s="237" t="str">
        <f>name!E$6</f>
        <v>Associate professional occupations</v>
      </c>
      <c r="B28" s="302">
        <v>0.27585625592289625</v>
      </c>
      <c r="C28" s="302">
        <v>7.7950495922596869E-2</v>
      </c>
      <c r="D28" s="302">
        <v>1.6943591417047056E-4</v>
      </c>
      <c r="E28" s="302">
        <f t="shared" si="31"/>
        <v>0.35397618775966361</v>
      </c>
      <c r="F28" s="303"/>
      <c r="G28" s="302">
        <v>0.22408830583326358</v>
      </c>
      <c r="H28" s="302">
        <v>2.3713186413476827E-3</v>
      </c>
      <c r="I28" s="302">
        <v>2.6173183429134561E-4</v>
      </c>
      <c r="J28" s="302">
        <f t="shared" si="32"/>
        <v>0.22672135630890261</v>
      </c>
      <c r="K28" s="303"/>
      <c r="L28" s="302">
        <v>0.21827374603811259</v>
      </c>
      <c r="M28" s="302">
        <v>2.0842253618040775E-3</v>
      </c>
      <c r="N28" s="302">
        <v>2.9270081307040816E-4</v>
      </c>
      <c r="O28" s="302">
        <f t="shared" si="33"/>
        <v>0.22065067221298706</v>
      </c>
    </row>
    <row r="29" spans="1:15" s="236" customFormat="1" x14ac:dyDescent="0.2">
      <c r="A29" s="237" t="str">
        <f>name!E$7</f>
        <v>Administrative and secretarial occupations</v>
      </c>
      <c r="B29" s="302">
        <v>0.12738197979710861</v>
      </c>
      <c r="C29" s="302">
        <v>0.17511762240269035</v>
      </c>
      <c r="D29" s="302">
        <v>2.4886711034869399E-5</v>
      </c>
      <c r="E29" s="302">
        <f t="shared" si="31"/>
        <v>0.30252448891083383</v>
      </c>
      <c r="F29" s="303"/>
      <c r="G29" s="302">
        <v>8.5630967916723991E-2</v>
      </c>
      <c r="H29" s="302">
        <v>4.3073288376888836E-3</v>
      </c>
      <c r="I29" s="302">
        <v>1.2721261088084843E-4</v>
      </c>
      <c r="J29" s="302">
        <f t="shared" si="32"/>
        <v>9.0065509365293728E-2</v>
      </c>
      <c r="K29" s="303"/>
      <c r="L29" s="302">
        <v>8.4898331449699188E-2</v>
      </c>
      <c r="M29" s="302">
        <v>4.558964567227884E-3</v>
      </c>
      <c r="N29" s="302">
        <v>1.1537956745510785E-4</v>
      </c>
      <c r="O29" s="302">
        <f t="shared" si="33"/>
        <v>8.9572675584382186E-2</v>
      </c>
    </row>
    <row r="30" spans="1:15" s="236" customFormat="1" x14ac:dyDescent="0.2">
      <c r="A30" s="237" t="str">
        <f>name!E$8</f>
        <v>Skilled trades occupations</v>
      </c>
      <c r="B30" s="302">
        <v>4.2513581590685148E-2</v>
      </c>
      <c r="C30" s="302">
        <v>4.6229644774843743E-3</v>
      </c>
      <c r="D30" s="302">
        <v>5.8018344812753334E-5</v>
      </c>
      <c r="E30" s="302">
        <f t="shared" si="31"/>
        <v>4.7194564412982275E-2</v>
      </c>
      <c r="F30" s="303"/>
      <c r="G30" s="302">
        <v>2.7576852597125216E-2</v>
      </c>
      <c r="H30" s="302">
        <v>1.7509157669339354E-3</v>
      </c>
      <c r="I30" s="302">
        <v>3.9177293788472866E-5</v>
      </c>
      <c r="J30" s="302">
        <f>SUM(G30:I30)</f>
        <v>2.9366945657847626E-2</v>
      </c>
      <c r="K30" s="303"/>
      <c r="L30" s="302">
        <v>3.6446504257447714E-2</v>
      </c>
      <c r="M30" s="302">
        <v>1.7661516257466855E-3</v>
      </c>
      <c r="N30" s="302">
        <v>1.2408644190849219E-5</v>
      </c>
      <c r="O30" s="302">
        <f t="shared" si="33"/>
        <v>3.822506452738525E-2</v>
      </c>
    </row>
    <row r="31" spans="1:15" s="236" customFormat="1" x14ac:dyDescent="0.2">
      <c r="A31" s="237" t="str">
        <f>name!E$9</f>
        <v>Caring, leisure and other service occupations</v>
      </c>
      <c r="B31" s="302">
        <v>4.5730587971457379E-3</v>
      </c>
      <c r="C31" s="302">
        <v>2.0484503218719131E-3</v>
      </c>
      <c r="D31" s="302">
        <v>7.9294193346096535E-6</v>
      </c>
      <c r="E31" s="302">
        <f t="shared" si="31"/>
        <v>6.6294385383522609E-3</v>
      </c>
      <c r="F31" s="303"/>
      <c r="G31" s="302">
        <v>3.4575221827537147E-3</v>
      </c>
      <c r="H31" s="302">
        <v>2.9937484656257908E-4</v>
      </c>
      <c r="I31" s="302">
        <v>6.6886459441801474E-6</v>
      </c>
      <c r="J31" s="302">
        <f t="shared" si="32"/>
        <v>3.7635856752604737E-3</v>
      </c>
      <c r="K31" s="303"/>
      <c r="L31" s="302">
        <v>3.793099351769694E-3</v>
      </c>
      <c r="M31" s="302">
        <v>2.3313175209000716E-4</v>
      </c>
      <c r="N31" s="302">
        <v>7.8388999982199116E-6</v>
      </c>
      <c r="O31" s="302">
        <f t="shared" si="33"/>
        <v>4.0340700038579208E-3</v>
      </c>
    </row>
    <row r="32" spans="1:15" s="236" customFormat="1" x14ac:dyDescent="0.2">
      <c r="A32" s="237" t="str">
        <f>name!E$10</f>
        <v>Sales and customer service occupations</v>
      </c>
      <c r="B32" s="302">
        <v>3.014134816350237E-2</v>
      </c>
      <c r="C32" s="302">
        <v>2.2593518222621345E-2</v>
      </c>
      <c r="D32" s="302">
        <v>1.3469984261467073E-5</v>
      </c>
      <c r="E32" s="302">
        <f t="shared" si="31"/>
        <v>5.2748336370385181E-2</v>
      </c>
      <c r="F32" s="303"/>
      <c r="G32" s="302">
        <v>2.0392369608838539E-2</v>
      </c>
      <c r="H32" s="302">
        <v>8.7395153310247024E-4</v>
      </c>
      <c r="I32" s="302">
        <v>1.7625285158133907E-5</v>
      </c>
      <c r="J32" s="302">
        <f t="shared" si="32"/>
        <v>2.1283946427099142E-2</v>
      </c>
      <c r="K32" s="303"/>
      <c r="L32" s="302">
        <v>2.2866835517206027E-2</v>
      </c>
      <c r="M32" s="302">
        <v>8.9436015689569421E-4</v>
      </c>
      <c r="N32" s="302">
        <v>1.7704103641230796E-5</v>
      </c>
      <c r="O32" s="302">
        <f t="shared" si="33"/>
        <v>2.3778899777742953E-2</v>
      </c>
    </row>
    <row r="33" spans="1:15" s="236" customFormat="1" x14ac:dyDescent="0.2">
      <c r="A33" s="237" t="str">
        <f>name!E$11</f>
        <v>Process, plant and machine operatives</v>
      </c>
      <c r="B33" s="302">
        <v>6.6161598671730399E-3</v>
      </c>
      <c r="C33" s="302">
        <v>3.5624151240799392E-3</v>
      </c>
      <c r="D33" s="302">
        <v>4.519101775609883E-6</v>
      </c>
      <c r="E33" s="302">
        <f t="shared" si="31"/>
        <v>1.0183094093028588E-2</v>
      </c>
      <c r="F33" s="303"/>
      <c r="G33" s="302">
        <v>3.7665667133521962E-3</v>
      </c>
      <c r="H33" s="302">
        <v>7.2383319051420631E-4</v>
      </c>
      <c r="I33" s="302">
        <v>1.1239249357820888E-5</v>
      </c>
      <c r="J33" s="302">
        <f t="shared" si="32"/>
        <v>4.5016391532242232E-3</v>
      </c>
      <c r="K33" s="303"/>
      <c r="L33" s="302">
        <v>5.3633009428410263E-3</v>
      </c>
      <c r="M33" s="302">
        <v>9.9967143616524318E-4</v>
      </c>
      <c r="N33" s="302">
        <v>3.178178753826652E-5</v>
      </c>
      <c r="O33" s="302">
        <f t="shared" si="33"/>
        <v>6.3947541665445359E-3</v>
      </c>
    </row>
    <row r="34" spans="1:15" s="236" customFormat="1" x14ac:dyDescent="0.2">
      <c r="A34" s="237" t="str">
        <f>name!E$12</f>
        <v>Elementary occupations</v>
      </c>
      <c r="B34" s="302">
        <v>8.1104259093578608E-3</v>
      </c>
      <c r="C34" s="302">
        <v>1.838503376994086E-2</v>
      </c>
      <c r="D34" s="302">
        <v>6.5845262284662053E-6</v>
      </c>
      <c r="E34" s="302">
        <f t="shared" si="31"/>
        <v>2.6502044205527188E-2</v>
      </c>
      <c r="F34" s="303"/>
      <c r="G34" s="302">
        <v>4.8508065603325434E-3</v>
      </c>
      <c r="H34" s="302">
        <v>1.2817677040827462E-3</v>
      </c>
      <c r="I34" s="302">
        <v>2.9630432295587865E-5</v>
      </c>
      <c r="J34" s="302">
        <f t="shared" si="32"/>
        <v>6.1622046967108775E-3</v>
      </c>
      <c r="K34" s="303"/>
      <c r="L34" s="302">
        <v>5.1336929114992134E-3</v>
      </c>
      <c r="M34" s="302">
        <v>5.6212174121670147E-4</v>
      </c>
      <c r="N34" s="302">
        <v>5.571149325241194E-5</v>
      </c>
      <c r="O34" s="302">
        <f t="shared" si="33"/>
        <v>5.7515261459683267E-3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32</v>
      </c>
      <c r="B36" s="311">
        <f>SUM(B26:B34)</f>
        <v>1.2199999999791205</v>
      </c>
      <c r="C36" s="311">
        <f t="shared" ref="C36:O36" si="34">SUM(C26:C34)</f>
        <v>0.47500000000021458</v>
      </c>
      <c r="D36" s="311">
        <f t="shared" si="34"/>
        <v>1.0000000000101447E-3</v>
      </c>
      <c r="E36" s="311">
        <f t="shared" si="34"/>
        <v>1.6959999999793451</v>
      </c>
      <c r="F36" s="311"/>
      <c r="G36" s="311">
        <f t="shared" si="34"/>
        <v>1.0160000000026348</v>
      </c>
      <c r="H36" s="311">
        <f t="shared" si="34"/>
        <v>1.7999999999781635E-2</v>
      </c>
      <c r="I36" s="311">
        <f t="shared" si="34"/>
        <v>9.9999999998271849E-4</v>
      </c>
      <c r="J36" s="311">
        <f t="shared" si="34"/>
        <v>1.0350000000023991</v>
      </c>
      <c r="K36" s="311"/>
      <c r="L36" s="311">
        <f t="shared" si="34"/>
        <v>1.0830000000047748</v>
      </c>
      <c r="M36" s="311">
        <f t="shared" si="34"/>
        <v>1.6999999999569686E-2</v>
      </c>
      <c r="N36" s="311">
        <f t="shared" si="34"/>
        <v>9.9999999998811847E-4</v>
      </c>
      <c r="O36" s="311">
        <f t="shared" si="34"/>
        <v>1.1010000000043327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35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name!A5</f>
        <v>Coal, oil &amp; gas; Mining &amp; related</v>
      </c>
      <c r="B40" s="374">
        <f>$B$6</f>
        <v>2015</v>
      </c>
      <c r="C40" s="374"/>
      <c r="D40" s="374"/>
      <c r="E40" s="374"/>
      <c r="F40" s="263"/>
      <c r="G40" s="374">
        <f>$G$6</f>
        <v>2020</v>
      </c>
      <c r="H40" s="374"/>
      <c r="I40" s="374"/>
      <c r="J40" s="374"/>
      <c r="K40" s="263"/>
      <c r="L40" s="374">
        <f>$L$6</f>
        <v>2035</v>
      </c>
      <c r="M40" s="374"/>
      <c r="N40" s="374"/>
      <c r="O40" s="374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0.59855203287640302</v>
      </c>
      <c r="C43" s="302">
        <v>2.8857456642178698E-3</v>
      </c>
      <c r="D43" s="302">
        <v>5.0806584031136873E-2</v>
      </c>
      <c r="E43" s="302">
        <f>SUM(B43:D43)</f>
        <v>0.65224436257175777</v>
      </c>
      <c r="F43" s="303"/>
      <c r="G43" s="302">
        <v>0.43532815736684211</v>
      </c>
      <c r="H43" s="302">
        <v>9.9067431812006154E-2</v>
      </c>
      <c r="I43" s="302">
        <v>0</v>
      </c>
      <c r="J43" s="302">
        <f>SUM(G43:I43)</f>
        <v>0.53439558917884822</v>
      </c>
      <c r="K43" s="303"/>
      <c r="L43" s="302">
        <v>0.26582250655500117</v>
      </c>
      <c r="M43" s="302">
        <v>7.7116626210731995E-2</v>
      </c>
      <c r="N43" s="302">
        <v>0</v>
      </c>
      <c r="O43" s="302">
        <f>SUM(L43:N43)</f>
        <v>0.34293913276573318</v>
      </c>
    </row>
    <row r="44" spans="1:15" s="236" customFormat="1" x14ac:dyDescent="0.2">
      <c r="A44" s="237" t="str">
        <f>name!E$5</f>
        <v>Professional occupations</v>
      </c>
      <c r="B44" s="302">
        <v>1.0477722053014067</v>
      </c>
      <c r="C44" s="302">
        <v>1.0290196047934198E-2</v>
      </c>
      <c r="D44" s="302">
        <v>6.2997149648145706E-2</v>
      </c>
      <c r="E44" s="302">
        <f t="shared" ref="E44:E51" si="35">SUM(B44:D44)</f>
        <v>1.1210595509974866</v>
      </c>
      <c r="F44" s="303"/>
      <c r="G44" s="302">
        <v>0.86003596582148389</v>
      </c>
      <c r="H44" s="302">
        <v>4.1667476341333769E-2</v>
      </c>
      <c r="I44" s="302">
        <v>0</v>
      </c>
      <c r="J44" s="302">
        <f t="shared" ref="J44:J46" si="36">SUM(G44:I44)</f>
        <v>0.90170344216281761</v>
      </c>
      <c r="K44" s="303"/>
      <c r="L44" s="302">
        <v>0.59377973573729848</v>
      </c>
      <c r="M44" s="302">
        <v>2.1904281287548566E-2</v>
      </c>
      <c r="N44" s="302">
        <v>0</v>
      </c>
      <c r="O44" s="302">
        <f t="shared" ref="O44:O51" si="37">SUM(L44:N44)</f>
        <v>0.61568401702484699</v>
      </c>
    </row>
    <row r="45" spans="1:15" s="236" customFormat="1" x14ac:dyDescent="0.2">
      <c r="A45" s="237" t="str">
        <f>name!E$6</f>
        <v>Associate professional occupations</v>
      </c>
      <c r="B45" s="302">
        <v>0.67703372883477964</v>
      </c>
      <c r="C45" s="302">
        <v>6.8442764204987407E-3</v>
      </c>
      <c r="D45" s="302">
        <v>4.8059478452284636E-2</v>
      </c>
      <c r="E45" s="302">
        <f t="shared" si="35"/>
        <v>0.73193748370756306</v>
      </c>
      <c r="F45" s="303"/>
      <c r="G45" s="302">
        <v>0.5071781531409284</v>
      </c>
      <c r="H45" s="302">
        <v>3.2238331561377079E-2</v>
      </c>
      <c r="I45" s="302">
        <v>0</v>
      </c>
      <c r="J45" s="302">
        <f t="shared" si="36"/>
        <v>0.53941648470230552</v>
      </c>
      <c r="K45" s="303"/>
      <c r="L45" s="302">
        <v>0.27582192619209134</v>
      </c>
      <c r="M45" s="302">
        <v>1.7051032655904887E-2</v>
      </c>
      <c r="N45" s="302">
        <v>0</v>
      </c>
      <c r="O45" s="302">
        <f t="shared" si="37"/>
        <v>0.29287295884799625</v>
      </c>
    </row>
    <row r="46" spans="1:15" s="236" customFormat="1" x14ac:dyDescent="0.2">
      <c r="A46" s="237" t="str">
        <f>name!E$7</f>
        <v>Administrative and secretarial occupations</v>
      </c>
      <c r="B46" s="302">
        <v>0.43000899864021391</v>
      </c>
      <c r="C46" s="302">
        <v>1.3185158301518776E-2</v>
      </c>
      <c r="D46" s="302">
        <v>1.5560721469965795E-2</v>
      </c>
      <c r="E46" s="302">
        <f t="shared" si="35"/>
        <v>0.45875487841169849</v>
      </c>
      <c r="F46" s="303"/>
      <c r="G46" s="302">
        <v>0.28377176837699819</v>
      </c>
      <c r="H46" s="302">
        <v>0.13838326373762377</v>
      </c>
      <c r="I46" s="302">
        <v>0</v>
      </c>
      <c r="J46" s="302">
        <f t="shared" si="36"/>
        <v>0.42215503211462196</v>
      </c>
      <c r="K46" s="303"/>
      <c r="L46" s="302">
        <v>0.12932873222194374</v>
      </c>
      <c r="M46" s="302">
        <v>9.9292444383344933E-2</v>
      </c>
      <c r="N46" s="302">
        <v>0</v>
      </c>
      <c r="O46" s="302">
        <f t="shared" si="37"/>
        <v>0.22862117660528869</v>
      </c>
    </row>
    <row r="47" spans="1:15" s="236" customFormat="1" x14ac:dyDescent="0.2">
      <c r="A47" s="237" t="str">
        <f>name!E$8</f>
        <v>Skilled trades occupations</v>
      </c>
      <c r="B47" s="302">
        <v>0.10590971552507737</v>
      </c>
      <c r="C47" s="302">
        <v>2.7383129527106744E-3</v>
      </c>
      <c r="D47" s="302">
        <v>0.24259895592265501</v>
      </c>
      <c r="E47" s="302">
        <f t="shared" si="35"/>
        <v>0.35124698440044305</v>
      </c>
      <c r="F47" s="303"/>
      <c r="G47" s="302">
        <v>5.5542495193304633E-2</v>
      </c>
      <c r="H47" s="302">
        <v>2.9690988950158773E-3</v>
      </c>
      <c r="I47" s="302">
        <v>0</v>
      </c>
      <c r="J47" s="302">
        <f>SUM(G47:I47)</f>
        <v>5.8511594088320511E-2</v>
      </c>
      <c r="K47" s="303"/>
      <c r="L47" s="302">
        <v>2.4416363509455984E-2</v>
      </c>
      <c r="M47" s="302">
        <v>1.406262650806333E-3</v>
      </c>
      <c r="N47" s="302">
        <v>0</v>
      </c>
      <c r="O47" s="302">
        <f t="shared" si="37"/>
        <v>2.5822626160262319E-2</v>
      </c>
    </row>
    <row r="48" spans="1:15" s="236" customFormat="1" x14ac:dyDescent="0.2">
      <c r="A48" s="237" t="str">
        <f>name!E$9</f>
        <v>Caring, leisure and other service occupations</v>
      </c>
      <c r="B48" s="302">
        <v>5.1543127667929373E-2</v>
      </c>
      <c r="C48" s="302">
        <v>1.2338987008899615E-2</v>
      </c>
      <c r="D48" s="302">
        <v>4.8483518501204817E-3</v>
      </c>
      <c r="E48" s="302">
        <f t="shared" si="35"/>
        <v>6.8730466526949474E-2</v>
      </c>
      <c r="F48" s="303"/>
      <c r="G48" s="302">
        <v>3.2951100264874023E-2</v>
      </c>
      <c r="H48" s="302">
        <v>1.4936298141207826E-2</v>
      </c>
      <c r="I48" s="302">
        <v>0</v>
      </c>
      <c r="J48" s="302">
        <f t="shared" ref="J48:J51" si="38">SUM(G48:I48)</f>
        <v>4.7887398406081846E-2</v>
      </c>
      <c r="K48" s="303"/>
      <c r="L48" s="302">
        <v>2.3638068945940154E-2</v>
      </c>
      <c r="M48" s="302">
        <v>1.0153501773949879E-2</v>
      </c>
      <c r="N48" s="302">
        <v>0</v>
      </c>
      <c r="O48" s="302">
        <f t="shared" si="37"/>
        <v>3.3791570719890029E-2</v>
      </c>
    </row>
    <row r="49" spans="1:15" s="236" customFormat="1" x14ac:dyDescent="0.2">
      <c r="A49" s="237" t="str">
        <f>name!E$10</f>
        <v>Sales and customer service occupations</v>
      </c>
      <c r="B49" s="302">
        <v>0.1124695646212592</v>
      </c>
      <c r="C49" s="302">
        <v>1.6701825108613733E-2</v>
      </c>
      <c r="D49" s="302">
        <v>2.0269172689865288E-2</v>
      </c>
      <c r="E49" s="302">
        <f t="shared" si="35"/>
        <v>0.14944056241973822</v>
      </c>
      <c r="F49" s="303"/>
      <c r="G49" s="302">
        <v>6.8413808716361643E-2</v>
      </c>
      <c r="H49" s="302">
        <v>3.0275492163910081E-2</v>
      </c>
      <c r="I49" s="302">
        <v>0</v>
      </c>
      <c r="J49" s="302">
        <f t="shared" si="38"/>
        <v>9.8689300880271724E-2</v>
      </c>
      <c r="K49" s="303"/>
      <c r="L49" s="302">
        <v>4.0784491391882095E-2</v>
      </c>
      <c r="M49" s="302">
        <v>1.9182400109758371E-2</v>
      </c>
      <c r="N49" s="302">
        <v>0</v>
      </c>
      <c r="O49" s="302">
        <f t="shared" si="37"/>
        <v>5.9966891501640467E-2</v>
      </c>
    </row>
    <row r="50" spans="1:15" s="236" customFormat="1" x14ac:dyDescent="0.2">
      <c r="A50" s="237" t="str">
        <f>name!E$11</f>
        <v>Process, plant and machine operatives</v>
      </c>
      <c r="B50" s="302">
        <v>0.11824429059529164</v>
      </c>
      <c r="C50" s="302">
        <v>2.5069093552245727E-3</v>
      </c>
      <c r="D50" s="302">
        <v>0.10568839412680335</v>
      </c>
      <c r="E50" s="302">
        <f t="shared" si="35"/>
        <v>0.22643959407731956</v>
      </c>
      <c r="F50" s="303"/>
      <c r="G50" s="302">
        <v>6.1597003101107377E-2</v>
      </c>
      <c r="H50" s="302">
        <v>7.2623952416478645E-3</v>
      </c>
      <c r="I50" s="302">
        <v>0</v>
      </c>
      <c r="J50" s="302">
        <f t="shared" si="38"/>
        <v>6.8859398342755243E-2</v>
      </c>
      <c r="K50" s="303"/>
      <c r="L50" s="302">
        <v>3.135905048069966E-2</v>
      </c>
      <c r="M50" s="302">
        <v>1.1880786376713139E-3</v>
      </c>
      <c r="N50" s="302">
        <v>0</v>
      </c>
      <c r="O50" s="302">
        <f t="shared" si="37"/>
        <v>3.2547129118370974E-2</v>
      </c>
    </row>
    <row r="51" spans="1:15" s="236" customFormat="1" x14ac:dyDescent="0.2">
      <c r="A51" s="237" t="str">
        <f>name!E$12</f>
        <v>Elementary occupations</v>
      </c>
      <c r="B51" s="302">
        <v>2.8466335895626277E-2</v>
      </c>
      <c r="C51" s="302">
        <v>1.950858914098845E-2</v>
      </c>
      <c r="D51" s="302">
        <v>0.45417119182585075</v>
      </c>
      <c r="E51" s="302">
        <f t="shared" si="35"/>
        <v>0.50214611686246546</v>
      </c>
      <c r="F51" s="303"/>
      <c r="G51" s="302">
        <v>1.5181548026583605E-2</v>
      </c>
      <c r="H51" s="302">
        <v>1.6200212108568028E-2</v>
      </c>
      <c r="I51" s="302">
        <v>0</v>
      </c>
      <c r="J51" s="302">
        <f t="shared" si="38"/>
        <v>3.1381760135151635E-2</v>
      </c>
      <c r="K51" s="303"/>
      <c r="L51" s="302">
        <v>5.0491249794199691E-3</v>
      </c>
      <c r="M51" s="302">
        <v>6.7053722927683714E-3</v>
      </c>
      <c r="N51" s="302">
        <v>0</v>
      </c>
      <c r="O51" s="302">
        <f t="shared" si="37"/>
        <v>1.175449727218834E-2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32</v>
      </c>
      <c r="B53" s="311">
        <f>SUM(B43:B51)</f>
        <v>3.1699999999579873</v>
      </c>
      <c r="C53" s="311">
        <f t="shared" ref="C53:E53" si="39">SUM(C43:C51)</f>
        <v>8.7000000000606634E-2</v>
      </c>
      <c r="D53" s="311">
        <f t="shared" si="39"/>
        <v>1.0050000000168278</v>
      </c>
      <c r="E53" s="311">
        <f t="shared" si="39"/>
        <v>4.261999999975421</v>
      </c>
      <c r="F53" s="311"/>
      <c r="G53" s="311">
        <f t="shared" ref="G53:J53" si="40">SUM(G43:G51)</f>
        <v>2.3200000000084837</v>
      </c>
      <c r="H53" s="311">
        <f t="shared" si="40"/>
        <v>0.38300000000269047</v>
      </c>
      <c r="I53" s="311">
        <f t="shared" si="40"/>
        <v>0</v>
      </c>
      <c r="J53" s="311">
        <f t="shared" si="40"/>
        <v>2.7030000000111745</v>
      </c>
      <c r="K53" s="311"/>
      <c r="L53" s="311">
        <f t="shared" ref="L53:O53" si="41">SUM(L43:L51)</f>
        <v>1.3900000000137325</v>
      </c>
      <c r="M53" s="311">
        <f t="shared" si="41"/>
        <v>0.25400000000248468</v>
      </c>
      <c r="N53" s="311">
        <f t="shared" si="41"/>
        <v>0</v>
      </c>
      <c r="O53" s="311">
        <f t="shared" si="41"/>
        <v>1.6440000000162172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35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name!A6</f>
        <v>Food products</v>
      </c>
      <c r="B57" s="374">
        <f>$B$6</f>
        <v>2015</v>
      </c>
      <c r="C57" s="374"/>
      <c r="D57" s="374"/>
      <c r="E57" s="374"/>
      <c r="F57" s="263"/>
      <c r="G57" s="374">
        <f>$G$6</f>
        <v>2020</v>
      </c>
      <c r="H57" s="374"/>
      <c r="I57" s="374"/>
      <c r="J57" s="374"/>
      <c r="K57" s="263"/>
      <c r="L57" s="374">
        <f>$L$6</f>
        <v>2035</v>
      </c>
      <c r="M57" s="374"/>
      <c r="N57" s="374"/>
      <c r="O57" s="374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2.3905907460193103</v>
      </c>
      <c r="C60" s="302">
        <v>0.36214576486821864</v>
      </c>
      <c r="D60" s="302">
        <v>0.18627023727357295</v>
      </c>
      <c r="E60" s="302">
        <f>SUM(B60:D60)</f>
        <v>2.939006748161102</v>
      </c>
      <c r="F60" s="303"/>
      <c r="G60" s="302">
        <v>4.4037235164716035</v>
      </c>
      <c r="H60" s="302">
        <v>0.50751063854192668</v>
      </c>
      <c r="I60" s="302">
        <v>0.44083919165147722</v>
      </c>
      <c r="J60" s="302">
        <f>SUM(G60:I60)</f>
        <v>5.3520733466650077</v>
      </c>
      <c r="K60" s="303"/>
      <c r="L60" s="302">
        <v>4.9029769692593765</v>
      </c>
      <c r="M60" s="302">
        <v>0.493265894576566</v>
      </c>
      <c r="N60" s="302">
        <v>0.46006460060580456</v>
      </c>
      <c r="O60" s="302">
        <f>SUM(L60:N60)</f>
        <v>5.8563074644417465</v>
      </c>
    </row>
    <row r="61" spans="1:15" s="236" customFormat="1" x14ac:dyDescent="0.2">
      <c r="A61" s="237" t="str">
        <f>name!E$5</f>
        <v>Professional occupations</v>
      </c>
      <c r="B61" s="302">
        <v>1.67487331318835</v>
      </c>
      <c r="C61" s="302">
        <v>0.13822247404964358</v>
      </c>
      <c r="D61" s="302">
        <v>5.8000630175608935E-2</v>
      </c>
      <c r="E61" s="302">
        <f t="shared" ref="E61:E68" si="42">SUM(B61:D61)</f>
        <v>1.8710964174136024</v>
      </c>
      <c r="F61" s="303"/>
      <c r="G61" s="302">
        <v>3.5173848982439164</v>
      </c>
      <c r="H61" s="302">
        <v>0.21678102721240652</v>
      </c>
      <c r="I61" s="302">
        <v>0.12411752350526453</v>
      </c>
      <c r="J61" s="302">
        <f t="shared" ref="J61:J63" si="43">SUM(G61:I61)</f>
        <v>3.8582834489615876</v>
      </c>
      <c r="K61" s="303"/>
      <c r="L61" s="302">
        <v>4.6201351129848156</v>
      </c>
      <c r="M61" s="302">
        <v>0.18845249926810381</v>
      </c>
      <c r="N61" s="302">
        <v>8.6558229692994926E-2</v>
      </c>
      <c r="O61" s="302">
        <f t="shared" ref="O61:O68" si="44">SUM(L61:N61)</f>
        <v>4.8951458419459142</v>
      </c>
    </row>
    <row r="62" spans="1:15" s="236" customFormat="1" x14ac:dyDescent="0.2">
      <c r="A62" s="237" t="str">
        <f>name!E$6</f>
        <v>Associate professional occupations</v>
      </c>
      <c r="B62" s="302">
        <v>2.5987287775638901</v>
      </c>
      <c r="C62" s="302">
        <v>0.30202341141217676</v>
      </c>
      <c r="D62" s="302">
        <v>5.6726741952054877E-2</v>
      </c>
      <c r="E62" s="302">
        <f t="shared" si="42"/>
        <v>2.9574789309281218</v>
      </c>
      <c r="F62" s="303"/>
      <c r="G62" s="302">
        <v>4.9141281829392076</v>
      </c>
      <c r="H62" s="302">
        <v>0.3794220116268458</v>
      </c>
      <c r="I62" s="302">
        <v>0.11485891489102855</v>
      </c>
      <c r="J62" s="302">
        <f t="shared" si="43"/>
        <v>5.4084091094570823</v>
      </c>
      <c r="K62" s="303"/>
      <c r="L62" s="302">
        <v>5.3476506643019892</v>
      </c>
      <c r="M62" s="302">
        <v>0.24906467882756711</v>
      </c>
      <c r="N62" s="302">
        <v>7.5450976108536474E-2</v>
      </c>
      <c r="O62" s="302">
        <f t="shared" si="44"/>
        <v>5.6721663192380927</v>
      </c>
    </row>
    <row r="63" spans="1:15" s="236" customFormat="1" x14ac:dyDescent="0.2">
      <c r="A63" s="237" t="str">
        <f>name!E$7</f>
        <v>Administrative and secretarial occupations</v>
      </c>
      <c r="B63" s="302">
        <v>2.3576607559484786</v>
      </c>
      <c r="C63" s="302">
        <v>0.74043800199458909</v>
      </c>
      <c r="D63" s="302">
        <v>2.3749042691222577E-2</v>
      </c>
      <c r="E63" s="302">
        <f t="shared" si="42"/>
        <v>3.1218478006342902</v>
      </c>
      <c r="F63" s="303"/>
      <c r="G63" s="302">
        <v>3.8991480058331325</v>
      </c>
      <c r="H63" s="302">
        <v>0.86991875650467776</v>
      </c>
      <c r="I63" s="302">
        <v>4.6559852349737897E-2</v>
      </c>
      <c r="J63" s="302">
        <f t="shared" si="43"/>
        <v>4.8156266146875479</v>
      </c>
      <c r="K63" s="303"/>
      <c r="L63" s="302">
        <v>3.5983974900235776</v>
      </c>
      <c r="M63" s="302">
        <v>0.5366741398879904</v>
      </c>
      <c r="N63" s="302">
        <v>3.5331956397136585E-2</v>
      </c>
      <c r="O63" s="302">
        <f t="shared" si="44"/>
        <v>4.170403586308705</v>
      </c>
    </row>
    <row r="64" spans="1:15" s="236" customFormat="1" x14ac:dyDescent="0.2">
      <c r="A64" s="237" t="str">
        <f>name!E$8</f>
        <v>Skilled trades occupations</v>
      </c>
      <c r="B64" s="302">
        <v>3.5386175954514156</v>
      </c>
      <c r="C64" s="302">
        <v>0.49323544931928109</v>
      </c>
      <c r="D64" s="302">
        <v>0.4532458639289863</v>
      </c>
      <c r="E64" s="302">
        <f t="shared" si="42"/>
        <v>4.4850989086996824</v>
      </c>
      <c r="F64" s="303"/>
      <c r="G64" s="302">
        <v>4.2529562687664555</v>
      </c>
      <c r="H64" s="302">
        <v>0.31762044620386776</v>
      </c>
      <c r="I64" s="302">
        <v>0.80215283370843982</v>
      </c>
      <c r="J64" s="302">
        <f>SUM(G64:I64)</f>
        <v>5.3727295486787625</v>
      </c>
      <c r="K64" s="303"/>
      <c r="L64" s="302">
        <v>3.6550953593485933</v>
      </c>
      <c r="M64" s="302">
        <v>0.17181156379171375</v>
      </c>
      <c r="N64" s="302">
        <v>0.63795829794839953</v>
      </c>
      <c r="O64" s="302">
        <f t="shared" si="44"/>
        <v>4.4648652210887061</v>
      </c>
    </row>
    <row r="65" spans="1:15" s="236" customFormat="1" x14ac:dyDescent="0.2">
      <c r="A65" s="237" t="str">
        <f>name!E$9</f>
        <v>Caring, leisure and other service occupations</v>
      </c>
      <c r="B65" s="302">
        <v>0.17760833331851081</v>
      </c>
      <c r="C65" s="302">
        <v>5.288354717106318E-2</v>
      </c>
      <c r="D65" s="302">
        <v>5.4543899348842842E-3</v>
      </c>
      <c r="E65" s="302">
        <f t="shared" si="42"/>
        <v>0.23594627042445826</v>
      </c>
      <c r="F65" s="303"/>
      <c r="G65" s="302">
        <v>0.28135224256383035</v>
      </c>
      <c r="H65" s="302">
        <v>5.2464077552200519E-2</v>
      </c>
      <c r="I65" s="302">
        <v>1.4273560075029541E-2</v>
      </c>
      <c r="J65" s="302">
        <f t="shared" ref="J65:J68" si="45">SUM(G65:I65)</f>
        <v>0.34808988019106041</v>
      </c>
      <c r="K65" s="303"/>
      <c r="L65" s="302">
        <v>0.3001854643863382</v>
      </c>
      <c r="M65" s="302">
        <v>3.575212019739004E-2</v>
      </c>
      <c r="N65" s="302">
        <v>1.3241642111284048E-2</v>
      </c>
      <c r="O65" s="302">
        <f t="shared" si="44"/>
        <v>0.34917922669501228</v>
      </c>
    </row>
    <row r="66" spans="1:15" s="236" customFormat="1" x14ac:dyDescent="0.2">
      <c r="A66" s="237" t="str">
        <f>name!E$10</f>
        <v>Sales and customer service occupations</v>
      </c>
      <c r="B66" s="302">
        <v>0.64722979164418348</v>
      </c>
      <c r="C66" s="302">
        <v>0.8523967324325149</v>
      </c>
      <c r="D66" s="302">
        <v>2.9349530450969989E-2</v>
      </c>
      <c r="E66" s="302">
        <f t="shared" si="42"/>
        <v>1.5289760545276683</v>
      </c>
      <c r="F66" s="303"/>
      <c r="G66" s="302">
        <v>0.9985857521023499</v>
      </c>
      <c r="H66" s="302">
        <v>0.80002619276583564</v>
      </c>
      <c r="I66" s="302">
        <v>5.2059075072445934E-2</v>
      </c>
      <c r="J66" s="302">
        <f t="shared" si="45"/>
        <v>1.8506710199406315</v>
      </c>
      <c r="K66" s="303"/>
      <c r="L66" s="302">
        <v>1.1199114272621231</v>
      </c>
      <c r="M66" s="302">
        <v>0.62317583037622637</v>
      </c>
      <c r="N66" s="302">
        <v>4.4603353936722212E-2</v>
      </c>
      <c r="O66" s="302">
        <f t="shared" si="44"/>
        <v>1.7876906115750715</v>
      </c>
    </row>
    <row r="67" spans="1:15" s="236" customFormat="1" x14ac:dyDescent="0.2">
      <c r="A67" s="237" t="str">
        <f>name!E$11</f>
        <v>Process, plant and machine operatives</v>
      </c>
      <c r="B67" s="302">
        <v>3.1035368172167734</v>
      </c>
      <c r="C67" s="302">
        <v>1.8893598913013443</v>
      </c>
      <c r="D67" s="302">
        <v>0.35630319592062648</v>
      </c>
      <c r="E67" s="302">
        <f t="shared" si="42"/>
        <v>5.3491999044387448</v>
      </c>
      <c r="F67" s="303"/>
      <c r="G67" s="302">
        <v>3.9565173124477298</v>
      </c>
      <c r="H67" s="302">
        <v>1.668556134285452</v>
      </c>
      <c r="I67" s="302">
        <v>0.9203836115455265</v>
      </c>
      <c r="J67" s="302">
        <f t="shared" si="45"/>
        <v>6.5454570582787079</v>
      </c>
      <c r="K67" s="303"/>
      <c r="L67" s="302">
        <v>3.6188614665421937</v>
      </c>
      <c r="M67" s="302">
        <v>2.588427194660905</v>
      </c>
      <c r="N67" s="302">
        <v>1.1928155142764709</v>
      </c>
      <c r="O67" s="302">
        <f t="shared" si="44"/>
        <v>7.4001041754795693</v>
      </c>
    </row>
    <row r="68" spans="1:15" s="236" customFormat="1" x14ac:dyDescent="0.2">
      <c r="A68" s="237" t="str">
        <f>name!E$12</f>
        <v>Elementary occupations</v>
      </c>
      <c r="B68" s="302">
        <v>3.2531538699710234</v>
      </c>
      <c r="C68" s="302">
        <v>1.2252947276255899</v>
      </c>
      <c r="D68" s="302">
        <v>6.4900367692583172E-2</v>
      </c>
      <c r="E68" s="302">
        <f t="shared" si="42"/>
        <v>4.5433489652891961</v>
      </c>
      <c r="F68" s="303"/>
      <c r="G68" s="302">
        <v>4.1162038200801394</v>
      </c>
      <c r="H68" s="302">
        <v>1.1347007152849753</v>
      </c>
      <c r="I68" s="302">
        <v>8.9755437153480819E-2</v>
      </c>
      <c r="J68" s="302">
        <f t="shared" si="45"/>
        <v>5.340659972518595</v>
      </c>
      <c r="K68" s="303"/>
      <c r="L68" s="302">
        <v>3.1807860453070806</v>
      </c>
      <c r="M68" s="302">
        <v>0.88937607834861643</v>
      </c>
      <c r="N68" s="302">
        <v>0.10097542890264206</v>
      </c>
      <c r="O68" s="302">
        <f t="shared" si="44"/>
        <v>4.1711375525583394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32</v>
      </c>
      <c r="B70" s="311">
        <f>SUM(B60:B68)</f>
        <v>19.742000000321937</v>
      </c>
      <c r="C70" s="311">
        <f t="shared" ref="C70:E70" si="46">SUM(C60:C68)</f>
        <v>6.0560000001744214</v>
      </c>
      <c r="D70" s="311">
        <f t="shared" si="46"/>
        <v>1.2340000000205096</v>
      </c>
      <c r="E70" s="311">
        <f t="shared" si="46"/>
        <v>27.032000000516867</v>
      </c>
      <c r="F70" s="311"/>
      <c r="G70" s="311">
        <f t="shared" ref="G70:J70" si="47">SUM(G60:G68)</f>
        <v>30.339999999448366</v>
      </c>
      <c r="H70" s="311">
        <f t="shared" si="47"/>
        <v>5.9469999999781891</v>
      </c>
      <c r="I70" s="311">
        <f t="shared" si="47"/>
        <v>2.6049999999524305</v>
      </c>
      <c r="J70" s="311">
        <f t="shared" si="47"/>
        <v>38.891999999378982</v>
      </c>
      <c r="K70" s="311"/>
      <c r="L70" s="311">
        <f t="shared" ref="L70:O70" si="48">SUM(L60:L68)</f>
        <v>30.343999999416088</v>
      </c>
      <c r="M70" s="311">
        <f t="shared" si="48"/>
        <v>5.7759999999350793</v>
      </c>
      <c r="N70" s="311">
        <f t="shared" si="48"/>
        <v>2.6469999999799909</v>
      </c>
      <c r="O70" s="311">
        <f t="shared" si="48"/>
        <v>38.766999999331155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35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name!A7</f>
        <v>Beverages and tobacco</v>
      </c>
      <c r="B74" s="374">
        <f>$B$6</f>
        <v>2015</v>
      </c>
      <c r="C74" s="374"/>
      <c r="D74" s="374"/>
      <c r="E74" s="374"/>
      <c r="F74" s="263"/>
      <c r="G74" s="374">
        <f>$G$6</f>
        <v>2020</v>
      </c>
      <c r="H74" s="374"/>
      <c r="I74" s="374"/>
      <c r="J74" s="374"/>
      <c r="K74" s="263"/>
      <c r="L74" s="374">
        <f>$L$6</f>
        <v>2035</v>
      </c>
      <c r="M74" s="374"/>
      <c r="N74" s="374"/>
      <c r="O74" s="374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0.17037406833010604</v>
      </c>
      <c r="C77" s="302">
        <v>1.9574127255519713E-2</v>
      </c>
      <c r="D77" s="302">
        <v>1.2266028886730097E-2</v>
      </c>
      <c r="E77" s="302">
        <f>SUM(B77:D77)</f>
        <v>0.20221422447235585</v>
      </c>
      <c r="F77" s="303"/>
      <c r="G77" s="302">
        <v>0.72919684798541384</v>
      </c>
      <c r="H77" s="302">
        <v>5.2759497503114344E-2</v>
      </c>
      <c r="I77" s="302">
        <v>0.15870015254385292</v>
      </c>
      <c r="J77" s="302">
        <f>SUM(G77:I77)</f>
        <v>0.94065649803238116</v>
      </c>
      <c r="K77" s="303"/>
      <c r="L77" s="302">
        <v>0.71026076152305828</v>
      </c>
      <c r="M77" s="302">
        <v>6.0509641756001875E-2</v>
      </c>
      <c r="N77" s="302">
        <v>0.20008831218668921</v>
      </c>
      <c r="O77" s="302">
        <f>SUM(L77:N77)</f>
        <v>0.97085871546574931</v>
      </c>
    </row>
    <row r="78" spans="1:15" s="236" customFormat="1" x14ac:dyDescent="0.2">
      <c r="A78" s="237" t="str">
        <f>name!E$5</f>
        <v>Professional occupations</v>
      </c>
      <c r="B78" s="302">
        <v>0.16121092301274303</v>
      </c>
      <c r="C78" s="302">
        <v>1.5269325010726436E-2</v>
      </c>
      <c r="D78" s="302">
        <v>1.3621492947290745E-2</v>
      </c>
      <c r="E78" s="302">
        <f t="shared" ref="E78:E85" si="49">SUM(B78:D78)</f>
        <v>0.19010174097076021</v>
      </c>
      <c r="F78" s="303"/>
      <c r="G78" s="302">
        <v>0.76123307966989961</v>
      </c>
      <c r="H78" s="302">
        <v>7.2832722598299357E-2</v>
      </c>
      <c r="I78" s="302">
        <v>0.1611196610734896</v>
      </c>
      <c r="J78" s="302">
        <f t="shared" ref="J78:J80" si="50">SUM(G78:I78)</f>
        <v>0.99518546334168856</v>
      </c>
      <c r="K78" s="303"/>
      <c r="L78" s="302">
        <v>0.90625299010282223</v>
      </c>
      <c r="M78" s="302">
        <v>0.11074720571072612</v>
      </c>
      <c r="N78" s="302">
        <v>0.138042405861698</v>
      </c>
      <c r="O78" s="302">
        <f t="shared" ref="O78:O85" si="51">SUM(L78:N78)</f>
        <v>1.1550426016752464</v>
      </c>
    </row>
    <row r="79" spans="1:15" s="236" customFormat="1" x14ac:dyDescent="0.2">
      <c r="A79" s="237" t="str">
        <f>name!E$6</f>
        <v>Associate professional occupations</v>
      </c>
      <c r="B79" s="302">
        <v>0.19918377367606163</v>
      </c>
      <c r="C79" s="302">
        <v>3.7216238491339641E-2</v>
      </c>
      <c r="D79" s="302">
        <v>8.854609650335684E-3</v>
      </c>
      <c r="E79" s="302">
        <f t="shared" si="49"/>
        <v>0.24525462181773697</v>
      </c>
      <c r="F79" s="303"/>
      <c r="G79" s="302">
        <v>0.86244117716748891</v>
      </c>
      <c r="H79" s="302">
        <v>7.5255143820652209E-2</v>
      </c>
      <c r="I79" s="302">
        <v>7.8449201220955E-2</v>
      </c>
      <c r="J79" s="302">
        <f t="shared" si="50"/>
        <v>1.0161455222090963</v>
      </c>
      <c r="K79" s="303"/>
      <c r="L79" s="302">
        <v>0.81362791954199198</v>
      </c>
      <c r="M79" s="302">
        <v>6.7991904868960354E-2</v>
      </c>
      <c r="N79" s="302">
        <v>6.9319130093439957E-2</v>
      </c>
      <c r="O79" s="302">
        <f t="shared" si="51"/>
        <v>0.95093895450439225</v>
      </c>
    </row>
    <row r="80" spans="1:15" s="236" customFormat="1" x14ac:dyDescent="0.2">
      <c r="A80" s="237" t="str">
        <f>name!E$7</f>
        <v>Administrative and secretarial occupations</v>
      </c>
      <c r="B80" s="302">
        <v>5.3916621625139945E-2</v>
      </c>
      <c r="C80" s="302">
        <v>2.7687815102615802E-2</v>
      </c>
      <c r="D80" s="302">
        <v>2.8632169131541673E-3</v>
      </c>
      <c r="E80" s="302">
        <f t="shared" si="49"/>
        <v>8.4467653640909912E-2</v>
      </c>
      <c r="F80" s="303"/>
      <c r="G80" s="302">
        <v>0.22121137622068854</v>
      </c>
      <c r="H80" s="302">
        <v>7.7313457992119999E-2</v>
      </c>
      <c r="I80" s="302">
        <v>2.2501091992354026E-2</v>
      </c>
      <c r="J80" s="302">
        <f t="shared" si="50"/>
        <v>0.32102592620516252</v>
      </c>
      <c r="K80" s="303"/>
      <c r="L80" s="302">
        <v>0.17171351063015769</v>
      </c>
      <c r="M80" s="302">
        <v>6.1090350211965724E-2</v>
      </c>
      <c r="N80" s="302">
        <v>2.2864126071544619E-2</v>
      </c>
      <c r="O80" s="302">
        <f t="shared" si="51"/>
        <v>0.25566798691366804</v>
      </c>
    </row>
    <row r="81" spans="1:15" s="236" customFormat="1" x14ac:dyDescent="0.2">
      <c r="A81" s="237" t="str">
        <f>name!E$8</f>
        <v>Skilled trades occupations</v>
      </c>
      <c r="B81" s="302">
        <v>0.12286446634664838</v>
      </c>
      <c r="C81" s="302">
        <v>2.3722546950163136E-2</v>
      </c>
      <c r="D81" s="302">
        <v>1.4597854367750436E-2</v>
      </c>
      <c r="E81" s="302">
        <f t="shared" si="49"/>
        <v>0.16118486766456194</v>
      </c>
      <c r="F81" s="303"/>
      <c r="G81" s="302">
        <v>0.36733668056032465</v>
      </c>
      <c r="H81" s="302">
        <v>1.6000446303755439E-2</v>
      </c>
      <c r="I81" s="302">
        <v>0.13449482139294539</v>
      </c>
      <c r="J81" s="302">
        <f>SUM(G81:I81)</f>
        <v>0.5178319482570255</v>
      </c>
      <c r="K81" s="303"/>
      <c r="L81" s="302">
        <v>0.28407503650580274</v>
      </c>
      <c r="M81" s="302">
        <v>7.1728337120573367E-3</v>
      </c>
      <c r="N81" s="302">
        <v>0.13144111361058178</v>
      </c>
      <c r="O81" s="302">
        <f t="shared" si="51"/>
        <v>0.42268898382844189</v>
      </c>
    </row>
    <row r="82" spans="1:15" s="236" customFormat="1" x14ac:dyDescent="0.2">
      <c r="A82" s="237" t="str">
        <f>name!E$9</f>
        <v>Caring, leisure and other service occupations</v>
      </c>
      <c r="B82" s="302">
        <v>2.2510805333065546E-2</v>
      </c>
      <c r="C82" s="302">
        <v>1.7911404408533331E-2</v>
      </c>
      <c r="D82" s="302">
        <v>1.0061393804026651E-2</v>
      </c>
      <c r="E82" s="302">
        <f t="shared" si="49"/>
        <v>5.0483603545625533E-2</v>
      </c>
      <c r="F82" s="303"/>
      <c r="G82" s="302">
        <v>8.8152905998721678E-2</v>
      </c>
      <c r="H82" s="302">
        <v>3.8048988530918343E-2</v>
      </c>
      <c r="I82" s="302">
        <v>9.4611667393588159E-2</v>
      </c>
      <c r="J82" s="302">
        <f t="shared" ref="J82:J85" si="52">SUM(G82:I82)</f>
        <v>0.22081356192322821</v>
      </c>
      <c r="K82" s="303"/>
      <c r="L82" s="302">
        <v>0.10842279324382215</v>
      </c>
      <c r="M82" s="302">
        <v>2.5289481495805708E-2</v>
      </c>
      <c r="N82" s="302">
        <v>0.13094581236727362</v>
      </c>
      <c r="O82" s="302">
        <f t="shared" si="51"/>
        <v>0.26465808710690147</v>
      </c>
    </row>
    <row r="83" spans="1:15" s="236" customFormat="1" x14ac:dyDescent="0.2">
      <c r="A83" s="237" t="str">
        <f>name!E$10</f>
        <v>Sales and customer service occupations</v>
      </c>
      <c r="B83" s="302">
        <v>4.2999338082541624E-2</v>
      </c>
      <c r="C83" s="302">
        <v>2.7949722533817636E-2</v>
      </c>
      <c r="D83" s="302">
        <v>7.8523905674993295E-3</v>
      </c>
      <c r="E83" s="302">
        <f t="shared" si="49"/>
        <v>7.880145118385859E-2</v>
      </c>
      <c r="F83" s="303"/>
      <c r="G83" s="302">
        <v>0.15936203379602096</v>
      </c>
      <c r="H83" s="302">
        <v>7.5668663523556071E-2</v>
      </c>
      <c r="I83" s="302">
        <v>6.5720629364899877E-2</v>
      </c>
      <c r="J83" s="302">
        <f t="shared" si="52"/>
        <v>0.30075132668447691</v>
      </c>
      <c r="K83" s="303"/>
      <c r="L83" s="302">
        <v>0.16790174334868371</v>
      </c>
      <c r="M83" s="302">
        <v>9.3238079686930653E-2</v>
      </c>
      <c r="N83" s="302">
        <v>7.3587463150250484E-2</v>
      </c>
      <c r="O83" s="302">
        <f t="shared" si="51"/>
        <v>0.33472728618586484</v>
      </c>
    </row>
    <row r="84" spans="1:15" s="236" customFormat="1" x14ac:dyDescent="0.2">
      <c r="A84" s="237" t="str">
        <f>name!E$11</f>
        <v>Process, plant and machine operatives</v>
      </c>
      <c r="B84" s="302">
        <v>0.23468796442110343</v>
      </c>
      <c r="C84" s="302">
        <v>3.2179212124826689E-2</v>
      </c>
      <c r="D84" s="302">
        <v>7.6291850243232614E-3</v>
      </c>
      <c r="E84" s="302">
        <f t="shared" si="49"/>
        <v>0.27449636157025337</v>
      </c>
      <c r="F84" s="303"/>
      <c r="G84" s="302">
        <v>0.78035460001156309</v>
      </c>
      <c r="H84" s="302">
        <v>2.3318768680625282E-2</v>
      </c>
      <c r="I84" s="302">
        <v>9.4422029429963625E-2</v>
      </c>
      <c r="J84" s="302">
        <f t="shared" si="52"/>
        <v>0.898095398122152</v>
      </c>
      <c r="K84" s="303"/>
      <c r="L84" s="302">
        <v>0.76477010646566534</v>
      </c>
      <c r="M84" s="302">
        <v>3.5802947104036113E-3</v>
      </c>
      <c r="N84" s="302">
        <v>9.0312294952197447E-2</v>
      </c>
      <c r="O84" s="302">
        <f t="shared" si="51"/>
        <v>0.8586626961282664</v>
      </c>
    </row>
    <row r="85" spans="1:15" s="236" customFormat="1" x14ac:dyDescent="0.2">
      <c r="A85" s="237" t="str">
        <f>name!E$12</f>
        <v>Elementary occupations</v>
      </c>
      <c r="B85" s="302">
        <v>0.12625203918943934</v>
      </c>
      <c r="C85" s="302">
        <v>3.9489608125879899E-2</v>
      </c>
      <c r="D85" s="302">
        <v>6.253827839472508E-3</v>
      </c>
      <c r="E85" s="302">
        <f t="shared" si="49"/>
        <v>0.17199547515479174</v>
      </c>
      <c r="F85" s="303"/>
      <c r="G85" s="302">
        <v>0.38171129852655916</v>
      </c>
      <c r="H85" s="302">
        <v>0.10180231104553961</v>
      </c>
      <c r="I85" s="302">
        <v>3.8980745588828455E-2</v>
      </c>
      <c r="J85" s="302">
        <f t="shared" si="52"/>
        <v>0.52249435516092724</v>
      </c>
      <c r="K85" s="303"/>
      <c r="L85" s="302">
        <v>0.26397513855307236</v>
      </c>
      <c r="M85" s="302">
        <v>8.9380207841961407E-2</v>
      </c>
      <c r="N85" s="302">
        <v>5.5399341708874228E-2</v>
      </c>
      <c r="O85" s="302">
        <f t="shared" si="51"/>
        <v>0.40875468810390797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32</v>
      </c>
      <c r="B87" s="311">
        <f>SUM(B77:B85)</f>
        <v>1.1340000000168491</v>
      </c>
      <c r="C87" s="311">
        <f t="shared" ref="C87:E87" si="53">SUM(C77:C85)</f>
        <v>0.24100000000342228</v>
      </c>
      <c r="D87" s="311">
        <f t="shared" si="53"/>
        <v>8.4000000000582872E-2</v>
      </c>
      <c r="E87" s="311">
        <f t="shared" si="53"/>
        <v>1.4590000000208541</v>
      </c>
      <c r="F87" s="311"/>
      <c r="G87" s="311">
        <f t="shared" ref="G87:J87" si="54">SUM(G77:G85)</f>
        <v>4.3509999999366809</v>
      </c>
      <c r="H87" s="311">
        <f t="shared" si="54"/>
        <v>0.53299999999858061</v>
      </c>
      <c r="I87" s="311">
        <f t="shared" si="54"/>
        <v>0.84900000000087694</v>
      </c>
      <c r="J87" s="311">
        <f t="shared" si="54"/>
        <v>5.7329999999361378</v>
      </c>
      <c r="K87" s="311"/>
      <c r="L87" s="311">
        <f t="shared" ref="L87:O87" si="55">SUM(L77:L85)</f>
        <v>4.1909999999150767</v>
      </c>
      <c r="M87" s="311">
        <f t="shared" si="55"/>
        <v>0.51899999999481283</v>
      </c>
      <c r="N87" s="311">
        <f t="shared" si="55"/>
        <v>0.91200000000254944</v>
      </c>
      <c r="O87" s="311">
        <f t="shared" si="55"/>
        <v>5.6219999999124397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35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name!A8</f>
        <v>Textiles</v>
      </c>
      <c r="B91" s="374">
        <f>$B$6</f>
        <v>2015</v>
      </c>
      <c r="C91" s="374"/>
      <c r="D91" s="374"/>
      <c r="E91" s="374"/>
      <c r="F91" s="263"/>
      <c r="G91" s="374">
        <f>$G$6</f>
        <v>2020</v>
      </c>
      <c r="H91" s="374"/>
      <c r="I91" s="374"/>
      <c r="J91" s="374"/>
      <c r="K91" s="263"/>
      <c r="L91" s="374">
        <f>$L$6</f>
        <v>2035</v>
      </c>
      <c r="M91" s="374"/>
      <c r="N91" s="374"/>
      <c r="O91" s="374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0.29847670459533016</v>
      </c>
      <c r="C94" s="302">
        <v>2.3720430352924943E-2</v>
      </c>
      <c r="D94" s="302">
        <v>0.12129261038188134</v>
      </c>
      <c r="E94" s="302">
        <f>SUM(B94:D94)</f>
        <v>0.44348974533013641</v>
      </c>
      <c r="F94" s="303"/>
      <c r="G94" s="302">
        <v>0.4826654726440584</v>
      </c>
      <c r="H94" s="302">
        <v>4.0377455543749562E-3</v>
      </c>
      <c r="I94" s="302">
        <v>0.42163333214441867</v>
      </c>
      <c r="J94" s="302">
        <f>SUM(G94:I94)</f>
        <v>0.90833655034285199</v>
      </c>
      <c r="K94" s="303"/>
      <c r="L94" s="302">
        <v>0.3890168447593717</v>
      </c>
      <c r="M94" s="302">
        <v>3.0363834416844773E-3</v>
      </c>
      <c r="N94" s="302">
        <v>0.32668876783696821</v>
      </c>
      <c r="O94" s="302">
        <f>SUM(L94:N94)</f>
        <v>0.71874199603802436</v>
      </c>
    </row>
    <row r="95" spans="1:15" s="236" customFormat="1" x14ac:dyDescent="0.2">
      <c r="A95" s="237" t="str">
        <f>name!E$5</f>
        <v>Professional occupations</v>
      </c>
      <c r="B95" s="302">
        <v>0.18553378338984297</v>
      </c>
      <c r="C95" s="302">
        <v>1.1360250049162371E-2</v>
      </c>
      <c r="D95" s="302">
        <v>4.3650586903187974E-2</v>
      </c>
      <c r="E95" s="302">
        <f t="shared" ref="E95:E102" si="56">SUM(B95:D95)</f>
        <v>0.24054462034219332</v>
      </c>
      <c r="F95" s="303"/>
      <c r="G95" s="302">
        <v>0.36788952192429775</v>
      </c>
      <c r="H95" s="302">
        <v>2.0215201219352932E-3</v>
      </c>
      <c r="I95" s="302">
        <v>0.13064145631471524</v>
      </c>
      <c r="J95" s="302">
        <f t="shared" ref="J95:J97" si="57">SUM(G95:I95)</f>
        <v>0.50055249836094828</v>
      </c>
      <c r="K95" s="303"/>
      <c r="L95" s="302">
        <v>0.35335092698153436</v>
      </c>
      <c r="M95" s="302">
        <v>1.3932398616383779E-3</v>
      </c>
      <c r="N95" s="302">
        <v>8.4523796436889828E-2</v>
      </c>
      <c r="O95" s="302">
        <f t="shared" ref="O95:O102" si="58">SUM(L95:N95)</f>
        <v>0.43926796328006257</v>
      </c>
    </row>
    <row r="96" spans="1:15" s="236" customFormat="1" x14ac:dyDescent="0.2">
      <c r="A96" s="237" t="str">
        <f>name!E$6</f>
        <v>Associate professional occupations</v>
      </c>
      <c r="B96" s="302">
        <v>0.19953790182525843</v>
      </c>
      <c r="C96" s="302">
        <v>1.9175922987877431E-2</v>
      </c>
      <c r="D96" s="302">
        <v>8.9117493244806972E-2</v>
      </c>
      <c r="E96" s="302">
        <f t="shared" si="56"/>
        <v>0.30783131805794284</v>
      </c>
      <c r="F96" s="303"/>
      <c r="G96" s="302">
        <v>0.38101143437865437</v>
      </c>
      <c r="H96" s="302">
        <v>2.9212410090646789E-3</v>
      </c>
      <c r="I96" s="302">
        <v>0.30471536513322128</v>
      </c>
      <c r="J96" s="302">
        <f t="shared" si="57"/>
        <v>0.68864804052094031</v>
      </c>
      <c r="K96" s="303"/>
      <c r="L96" s="302">
        <v>0.30403352497229458</v>
      </c>
      <c r="M96" s="302">
        <v>1.851829580680599E-3</v>
      </c>
      <c r="N96" s="302">
        <v>0.25164286348526221</v>
      </c>
      <c r="O96" s="302">
        <f t="shared" si="58"/>
        <v>0.55752821803823738</v>
      </c>
    </row>
    <row r="97" spans="1:15" s="236" customFormat="1" x14ac:dyDescent="0.2">
      <c r="A97" s="237" t="str">
        <f>name!E$7</f>
        <v>Administrative and secretarial occupations</v>
      </c>
      <c r="B97" s="302">
        <v>0.25975522827630176</v>
      </c>
      <c r="C97" s="302">
        <v>2.4669123707035744E-2</v>
      </c>
      <c r="D97" s="302">
        <v>1.1231848282970983E-2</v>
      </c>
      <c r="E97" s="302">
        <f t="shared" si="56"/>
        <v>0.29565620026630846</v>
      </c>
      <c r="F97" s="303"/>
      <c r="G97" s="302">
        <v>0.45519892184405419</v>
      </c>
      <c r="H97" s="302">
        <v>3.211693334201089E-3</v>
      </c>
      <c r="I97" s="302">
        <v>3.481388244296027E-2</v>
      </c>
      <c r="J97" s="302">
        <f t="shared" si="57"/>
        <v>0.49322449762121556</v>
      </c>
      <c r="K97" s="303"/>
      <c r="L97" s="302">
        <v>0.33997530245825941</v>
      </c>
      <c r="M97" s="302">
        <v>1.8253161657452062E-3</v>
      </c>
      <c r="N97" s="302">
        <v>1.9872374969935019E-2</v>
      </c>
      <c r="O97" s="302">
        <f t="shared" si="58"/>
        <v>0.36167299359393967</v>
      </c>
    </row>
    <row r="98" spans="1:15" s="236" customFormat="1" x14ac:dyDescent="0.2">
      <c r="A98" s="237" t="str">
        <f>name!E$8</f>
        <v>Skilled trades occupations</v>
      </c>
      <c r="B98" s="302">
        <v>0.4255145889530465</v>
      </c>
      <c r="C98" s="302">
        <v>3.1129196421569503E-2</v>
      </c>
      <c r="D98" s="302">
        <v>0.1280227223143636</v>
      </c>
      <c r="E98" s="302">
        <f t="shared" si="56"/>
        <v>0.58466650768897965</v>
      </c>
      <c r="F98" s="303"/>
      <c r="G98" s="302">
        <v>0.45919867861064939</v>
      </c>
      <c r="H98" s="302">
        <v>2.8859128537054649E-3</v>
      </c>
      <c r="I98" s="302">
        <v>0.3658422846009613</v>
      </c>
      <c r="J98" s="302">
        <f>SUM(G98:I98)</f>
        <v>0.82792687606531623</v>
      </c>
      <c r="K98" s="303"/>
      <c r="L98" s="302">
        <v>0.28620148027097891</v>
      </c>
      <c r="M98" s="302">
        <v>2.1074583349935754E-3</v>
      </c>
      <c r="N98" s="302">
        <v>0.24957361436929598</v>
      </c>
      <c r="O98" s="302">
        <f t="shared" si="58"/>
        <v>0.53788255297526844</v>
      </c>
    </row>
    <row r="99" spans="1:15" s="236" customFormat="1" x14ac:dyDescent="0.2">
      <c r="A99" s="237" t="str">
        <f>name!E$9</f>
        <v>Caring, leisure and other service occupations</v>
      </c>
      <c r="B99" s="302">
        <v>1.305282775856053E-2</v>
      </c>
      <c r="C99" s="302">
        <v>1.6243450156229273E-3</v>
      </c>
      <c r="D99" s="302">
        <v>5.6248158025352692E-3</v>
      </c>
      <c r="E99" s="302">
        <f t="shared" si="56"/>
        <v>2.0301988576718728E-2</v>
      </c>
      <c r="F99" s="303"/>
      <c r="G99" s="302">
        <v>2.359502191125834E-2</v>
      </c>
      <c r="H99" s="302">
        <v>2.0671847863999048E-4</v>
      </c>
      <c r="I99" s="302">
        <v>2.6503875457117274E-2</v>
      </c>
      <c r="J99" s="302">
        <f t="shared" ref="J99:J102" si="59">SUM(G99:I99)</f>
        <v>5.0305615847015608E-2</v>
      </c>
      <c r="K99" s="303"/>
      <c r="L99" s="302">
        <v>1.7310222008913991E-2</v>
      </c>
      <c r="M99" s="302">
        <v>7.1097907786991655E-5</v>
      </c>
      <c r="N99" s="302">
        <v>2.1826854377609589E-2</v>
      </c>
      <c r="O99" s="302">
        <f t="shared" si="58"/>
        <v>3.9208174294310574E-2</v>
      </c>
    </row>
    <row r="100" spans="1:15" s="236" customFormat="1" x14ac:dyDescent="0.2">
      <c r="A100" s="237" t="str">
        <f>name!E$10</f>
        <v>Sales and customer service occupations</v>
      </c>
      <c r="B100" s="302">
        <v>7.9505734762100835E-2</v>
      </c>
      <c r="C100" s="302">
        <v>3.6134600637637307E-2</v>
      </c>
      <c r="D100" s="302">
        <v>3.2881035464944995E-2</v>
      </c>
      <c r="E100" s="302">
        <f t="shared" si="56"/>
        <v>0.14852137086468314</v>
      </c>
      <c r="F100" s="303"/>
      <c r="G100" s="302">
        <v>0.12483924689917933</v>
      </c>
      <c r="H100" s="302">
        <v>4.0823184443159665E-3</v>
      </c>
      <c r="I100" s="302">
        <v>7.4489809144854563E-2</v>
      </c>
      <c r="J100" s="302">
        <f t="shared" si="59"/>
        <v>0.20341137448834987</v>
      </c>
      <c r="K100" s="303"/>
      <c r="L100" s="302">
        <v>0.10224430166494947</v>
      </c>
      <c r="M100" s="302">
        <v>3.2814630420871459E-3</v>
      </c>
      <c r="N100" s="302">
        <v>4.7950426498281275E-2</v>
      </c>
      <c r="O100" s="302">
        <f t="shared" si="58"/>
        <v>0.15347619120531789</v>
      </c>
    </row>
    <row r="101" spans="1:15" s="236" customFormat="1" x14ac:dyDescent="0.2">
      <c r="A101" s="237" t="str">
        <f>name!E$11</f>
        <v>Process, plant and machine operatives</v>
      </c>
      <c r="B101" s="302">
        <v>0.30896134896770472</v>
      </c>
      <c r="C101" s="302">
        <v>6.1180382487196087E-2</v>
      </c>
      <c r="D101" s="302">
        <v>7.4174950105945076E-2</v>
      </c>
      <c r="E101" s="302">
        <f t="shared" si="56"/>
        <v>0.44431668156084592</v>
      </c>
      <c r="F101" s="303"/>
      <c r="G101" s="302">
        <v>0.37114092253457054</v>
      </c>
      <c r="H101" s="302">
        <v>6.3821074260004438E-3</v>
      </c>
      <c r="I101" s="302">
        <v>0.24905381482582847</v>
      </c>
      <c r="J101" s="302">
        <f t="shared" si="59"/>
        <v>0.62657684478639941</v>
      </c>
      <c r="K101" s="303"/>
      <c r="L101" s="302">
        <v>0.26839278956055856</v>
      </c>
      <c r="M101" s="302">
        <v>6.3881822979480812E-3</v>
      </c>
      <c r="N101" s="302">
        <v>0.17503408620233626</v>
      </c>
      <c r="O101" s="302">
        <f t="shared" si="58"/>
        <v>0.44981505806084288</v>
      </c>
    </row>
    <row r="102" spans="1:15" s="236" customFormat="1" x14ac:dyDescent="0.2">
      <c r="A102" s="237" t="str">
        <f>name!E$12</f>
        <v>Elementary occupations</v>
      </c>
      <c r="B102" s="302">
        <v>0.14966188148919121</v>
      </c>
      <c r="C102" s="302">
        <v>2.2005748346702152E-2</v>
      </c>
      <c r="D102" s="302">
        <v>2.1003937508961835E-2</v>
      </c>
      <c r="E102" s="302">
        <f t="shared" si="56"/>
        <v>0.19267156734485522</v>
      </c>
      <c r="F102" s="303"/>
      <c r="G102" s="302">
        <v>0.16146077921489438</v>
      </c>
      <c r="H102" s="302">
        <v>2.2507427775746471E-3</v>
      </c>
      <c r="I102" s="302">
        <v>4.0306179917243813E-2</v>
      </c>
      <c r="J102" s="302">
        <f t="shared" si="59"/>
        <v>0.20401770190971283</v>
      </c>
      <c r="K102" s="303"/>
      <c r="L102" s="302">
        <v>9.7474607306282504E-2</v>
      </c>
      <c r="M102" s="302">
        <v>1.0450293671604763E-3</v>
      </c>
      <c r="N102" s="302">
        <v>2.9887215826323792E-2</v>
      </c>
      <c r="O102" s="302">
        <f t="shared" si="58"/>
        <v>0.12840685249976677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32</v>
      </c>
      <c r="B104" s="311">
        <f>SUM(B94:B102)</f>
        <v>1.9200000000173372</v>
      </c>
      <c r="C104" s="311">
        <f t="shared" ref="C104:E104" si="60">SUM(C94:C102)</f>
        <v>0.23100000000572848</v>
      </c>
      <c r="D104" s="311">
        <f t="shared" si="60"/>
        <v>0.5270000000095979</v>
      </c>
      <c r="E104" s="311">
        <f t="shared" si="60"/>
        <v>2.6780000000326645</v>
      </c>
      <c r="F104" s="311"/>
      <c r="G104" s="311">
        <f t="shared" ref="G104:J104" si="61">SUM(G94:G102)</f>
        <v>2.8269999999616169</v>
      </c>
      <c r="H104" s="311">
        <f t="shared" si="61"/>
        <v>2.7999999999812529E-2</v>
      </c>
      <c r="I104" s="311">
        <f t="shared" si="61"/>
        <v>1.6479999999813206</v>
      </c>
      <c r="J104" s="311">
        <f t="shared" si="61"/>
        <v>4.5029999999427499</v>
      </c>
      <c r="K104" s="311"/>
      <c r="L104" s="311">
        <f t="shared" ref="L104:O104" si="62">SUM(L94:L102)</f>
        <v>2.1579999999831436</v>
      </c>
      <c r="M104" s="311">
        <f t="shared" si="62"/>
        <v>2.099999999972493E-2</v>
      </c>
      <c r="N104" s="311">
        <f t="shared" si="62"/>
        <v>1.207000000002902</v>
      </c>
      <c r="O104" s="311">
        <f t="shared" si="62"/>
        <v>3.3859999999857702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35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name!A9</f>
        <v>Wearing apparel; Leather, etc</v>
      </c>
      <c r="B108" s="374">
        <f>$B$6</f>
        <v>2015</v>
      </c>
      <c r="C108" s="374"/>
      <c r="D108" s="374"/>
      <c r="E108" s="374"/>
      <c r="F108" s="263"/>
      <c r="G108" s="374">
        <f>$G$6</f>
        <v>2020</v>
      </c>
      <c r="H108" s="374"/>
      <c r="I108" s="374"/>
      <c r="J108" s="374"/>
      <c r="K108" s="263"/>
      <c r="L108" s="374">
        <f>$L$6</f>
        <v>2035</v>
      </c>
      <c r="M108" s="374"/>
      <c r="N108" s="374"/>
      <c r="O108" s="374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1.3799192621904663</v>
      </c>
      <c r="C111" s="302">
        <v>0.19464672128265345</v>
      </c>
      <c r="D111" s="302">
        <v>0.33420887800948257</v>
      </c>
      <c r="E111" s="302">
        <f>SUM(B111:D111)</f>
        <v>1.9087748614826023</v>
      </c>
      <c r="F111" s="303"/>
      <c r="G111" s="302">
        <v>0.56166177202089929</v>
      </c>
      <c r="H111" s="302">
        <v>7.5445411990524944E-2</v>
      </c>
      <c r="I111" s="302">
        <v>0.42769175341335525</v>
      </c>
      <c r="J111" s="302">
        <f>SUM(G111:I111)</f>
        <v>1.0647989374247795</v>
      </c>
      <c r="K111" s="303"/>
      <c r="L111" s="302">
        <v>0.44411460111499318</v>
      </c>
      <c r="M111" s="302">
        <v>5.407902070411006E-2</v>
      </c>
      <c r="N111" s="302">
        <v>0.27888594221051333</v>
      </c>
      <c r="O111" s="302">
        <f>SUM(L111:N111)</f>
        <v>0.77707956402961664</v>
      </c>
    </row>
    <row r="112" spans="1:15" s="236" customFormat="1" x14ac:dyDescent="0.2">
      <c r="A112" s="237" t="str">
        <f>name!E$5</f>
        <v>Professional occupations</v>
      </c>
      <c r="B112" s="302">
        <v>1.2701738845005053</v>
      </c>
      <c r="C112" s="302">
        <v>0.11980010885948374</v>
      </c>
      <c r="D112" s="302">
        <v>0.18829527948207889</v>
      </c>
      <c r="E112" s="302">
        <f t="shared" ref="E112:E119" si="63">SUM(B112:D112)</f>
        <v>1.578269272842068</v>
      </c>
      <c r="F112" s="303"/>
      <c r="G112" s="302">
        <v>0.60693838560323832</v>
      </c>
      <c r="H112" s="302">
        <v>4.3931341191177767E-2</v>
      </c>
      <c r="I112" s="302">
        <v>0.17138626050822603</v>
      </c>
      <c r="J112" s="302">
        <f t="shared" ref="J112:J114" si="64">SUM(G112:I112)</f>
        <v>0.82225598730264216</v>
      </c>
      <c r="K112" s="303"/>
      <c r="L112" s="302">
        <v>0.52843722064596232</v>
      </c>
      <c r="M112" s="302">
        <v>2.9464583421497076E-2</v>
      </c>
      <c r="N112" s="302">
        <v>8.4483664606079367E-2</v>
      </c>
      <c r="O112" s="302">
        <f t="shared" ref="O112:O119" si="65">SUM(L112:N112)</f>
        <v>0.64238546867353874</v>
      </c>
    </row>
    <row r="113" spans="1:15" s="236" customFormat="1" x14ac:dyDescent="0.2">
      <c r="A113" s="237" t="str">
        <f>name!E$6</f>
        <v>Associate professional occupations</v>
      </c>
      <c r="B113" s="302">
        <v>1.4421466183536658</v>
      </c>
      <c r="C113" s="302">
        <v>0.2789633165570567</v>
      </c>
      <c r="D113" s="302">
        <v>0.51160178738962137</v>
      </c>
      <c r="E113" s="302">
        <f t="shared" si="63"/>
        <v>2.2327117223003436</v>
      </c>
      <c r="F113" s="303"/>
      <c r="G113" s="302">
        <v>0.63359240467062816</v>
      </c>
      <c r="H113" s="302">
        <v>9.0661565452366352E-2</v>
      </c>
      <c r="I113" s="302">
        <v>0.42011217455653682</v>
      </c>
      <c r="J113" s="302">
        <f t="shared" si="64"/>
        <v>1.1443661446795312</v>
      </c>
      <c r="K113" s="303"/>
      <c r="L113" s="302">
        <v>0.46655400447534451</v>
      </c>
      <c r="M113" s="302">
        <v>5.0491561178520293E-2</v>
      </c>
      <c r="N113" s="302">
        <v>0.20745346099579598</v>
      </c>
      <c r="O113" s="302">
        <f t="shared" si="65"/>
        <v>0.72449902664966082</v>
      </c>
    </row>
    <row r="114" spans="1:15" s="236" customFormat="1" x14ac:dyDescent="0.2">
      <c r="A114" s="237" t="str">
        <f>name!E$7</f>
        <v>Administrative and secretarial occupations</v>
      </c>
      <c r="B114" s="302">
        <v>1.5829504358168591</v>
      </c>
      <c r="C114" s="302">
        <v>0.34059132879369353</v>
      </c>
      <c r="D114" s="302">
        <v>7.8043285680709132E-2</v>
      </c>
      <c r="E114" s="302">
        <f t="shared" si="63"/>
        <v>2.0015850502912618</v>
      </c>
      <c r="F114" s="303"/>
      <c r="G114" s="302">
        <v>0.60827749145941878</v>
      </c>
      <c r="H114" s="302">
        <v>8.6901665291989602E-2</v>
      </c>
      <c r="I114" s="302">
        <v>7.514946536990233E-2</v>
      </c>
      <c r="J114" s="302">
        <f t="shared" si="64"/>
        <v>0.7703286221213107</v>
      </c>
      <c r="K114" s="303"/>
      <c r="L114" s="302">
        <v>0.43745308169227132</v>
      </c>
      <c r="M114" s="302">
        <v>4.8807774891595941E-2</v>
      </c>
      <c r="N114" s="302">
        <v>0.10758741882420832</v>
      </c>
      <c r="O114" s="302">
        <f t="shared" si="65"/>
        <v>0.59384827540807561</v>
      </c>
    </row>
    <row r="115" spans="1:15" s="236" customFormat="1" x14ac:dyDescent="0.2">
      <c r="A115" s="237" t="str">
        <f>name!E$8</f>
        <v>Skilled trades occupations</v>
      </c>
      <c r="B115" s="302">
        <v>0.66587379658920365</v>
      </c>
      <c r="C115" s="302">
        <v>0.47124262765573638</v>
      </c>
      <c r="D115" s="302">
        <v>0.9287401908029721</v>
      </c>
      <c r="E115" s="302">
        <f t="shared" si="63"/>
        <v>2.0658566150479123</v>
      </c>
      <c r="F115" s="303"/>
      <c r="G115" s="302">
        <v>0.20747592570284257</v>
      </c>
      <c r="H115" s="302">
        <v>9.2966624038166537E-2</v>
      </c>
      <c r="I115" s="302">
        <v>0.96790685024091416</v>
      </c>
      <c r="J115" s="302">
        <f>SUM(G115:I115)</f>
        <v>1.2683493999819233</v>
      </c>
      <c r="K115" s="303"/>
      <c r="L115" s="302">
        <v>0.24053280151802897</v>
      </c>
      <c r="M115" s="302">
        <v>7.2813054041364803E-2</v>
      </c>
      <c r="N115" s="302">
        <v>0.85155901165893799</v>
      </c>
      <c r="O115" s="302">
        <f t="shared" si="65"/>
        <v>1.1649048672183318</v>
      </c>
    </row>
    <row r="116" spans="1:15" s="236" customFormat="1" x14ac:dyDescent="0.2">
      <c r="A116" s="237" t="str">
        <f>name!E$9</f>
        <v>Caring, leisure and other service occupations</v>
      </c>
      <c r="B116" s="302">
        <v>0.12719194863332811</v>
      </c>
      <c r="C116" s="302">
        <v>5.8053335644499084E-2</v>
      </c>
      <c r="D116" s="302">
        <v>3.3271551360660206E-2</v>
      </c>
      <c r="E116" s="302">
        <f t="shared" si="63"/>
        <v>0.21851683563848739</v>
      </c>
      <c r="F116" s="303"/>
      <c r="G116" s="302">
        <v>4.4223146463307293E-2</v>
      </c>
      <c r="H116" s="302">
        <v>1.6353735180836985E-2</v>
      </c>
      <c r="I116" s="302">
        <v>3.7655229951933475E-2</v>
      </c>
      <c r="J116" s="302">
        <f t="shared" ref="J116:J119" si="66">SUM(G116:I116)</f>
        <v>9.8232111596077754E-2</v>
      </c>
      <c r="K116" s="303"/>
      <c r="L116" s="302">
        <v>4.4988706343342587E-2</v>
      </c>
      <c r="M116" s="302">
        <v>9.341082762506071E-3</v>
      </c>
      <c r="N116" s="302">
        <v>2.3706112714598111E-2</v>
      </c>
      <c r="O116" s="302">
        <f t="shared" si="65"/>
        <v>7.8035901820446771E-2</v>
      </c>
    </row>
    <row r="117" spans="1:15" s="236" customFormat="1" x14ac:dyDescent="0.2">
      <c r="A117" s="237" t="str">
        <f>name!E$10</f>
        <v>Sales and customer service occupations</v>
      </c>
      <c r="B117" s="302">
        <v>0.40682965651004821</v>
      </c>
      <c r="C117" s="302">
        <v>0.4021052367750414</v>
      </c>
      <c r="D117" s="302">
        <v>6.4089840028729611E-2</v>
      </c>
      <c r="E117" s="302">
        <f t="shared" si="63"/>
        <v>0.87302473331381925</v>
      </c>
      <c r="F117" s="303"/>
      <c r="G117" s="302">
        <v>0.15000889388158281</v>
      </c>
      <c r="H117" s="302">
        <v>9.6408270446314295E-2</v>
      </c>
      <c r="I117" s="302">
        <v>5.0327435358367575E-2</v>
      </c>
      <c r="J117" s="302">
        <f t="shared" si="66"/>
        <v>0.29674459968626471</v>
      </c>
      <c r="K117" s="303"/>
      <c r="L117" s="302">
        <v>0.12785200311320882</v>
      </c>
      <c r="M117" s="302">
        <v>6.917681804097546E-2</v>
      </c>
      <c r="N117" s="302">
        <v>3.3030866914520451E-2</v>
      </c>
      <c r="O117" s="302">
        <f t="shared" si="65"/>
        <v>0.23005968806870475</v>
      </c>
    </row>
    <row r="118" spans="1:15" s="236" customFormat="1" x14ac:dyDescent="0.2">
      <c r="A118" s="237" t="str">
        <f>name!E$11</f>
        <v>Process, plant and machine operatives</v>
      </c>
      <c r="B118" s="302">
        <v>0.89434140851983057</v>
      </c>
      <c r="C118" s="302">
        <v>1.0814071736865933</v>
      </c>
      <c r="D118" s="302">
        <v>0.31058630196408932</v>
      </c>
      <c r="E118" s="302">
        <f t="shared" si="63"/>
        <v>2.2863348841705129</v>
      </c>
      <c r="F118" s="303"/>
      <c r="G118" s="302">
        <v>0.24016105853214448</v>
      </c>
      <c r="H118" s="302">
        <v>0.22985147048188748</v>
      </c>
      <c r="I118" s="302">
        <v>0.33878512774717434</v>
      </c>
      <c r="J118" s="302">
        <f t="shared" si="66"/>
        <v>0.8087976567612063</v>
      </c>
      <c r="K118" s="303"/>
      <c r="L118" s="302">
        <v>0.12606840236169847</v>
      </c>
      <c r="M118" s="302">
        <v>0.23085900514441995</v>
      </c>
      <c r="N118" s="302">
        <v>0.32455856521274412</v>
      </c>
      <c r="O118" s="302">
        <f t="shared" si="65"/>
        <v>0.68148597271886246</v>
      </c>
    </row>
    <row r="119" spans="1:15" s="236" customFormat="1" x14ac:dyDescent="0.2">
      <c r="A119" s="237" t="str">
        <f>name!E$12</f>
        <v>Elementary occupations</v>
      </c>
      <c r="B119" s="302">
        <v>1.6085729889408151</v>
      </c>
      <c r="C119" s="302">
        <v>0.25319015085972013</v>
      </c>
      <c r="D119" s="302">
        <v>0.23816288532488886</v>
      </c>
      <c r="E119" s="302">
        <f t="shared" si="63"/>
        <v>2.0999260251254239</v>
      </c>
      <c r="F119" s="303"/>
      <c r="G119" s="302">
        <v>0.38066092163048038</v>
      </c>
      <c r="H119" s="302">
        <v>5.6479915918241134E-2</v>
      </c>
      <c r="I119" s="302">
        <v>0.1619857028174306</v>
      </c>
      <c r="J119" s="302">
        <f t="shared" si="66"/>
        <v>0.59912654036615209</v>
      </c>
      <c r="K119" s="303"/>
      <c r="L119" s="302">
        <v>0.21599917871717669</v>
      </c>
      <c r="M119" s="302">
        <v>2.4967099801032185E-2</v>
      </c>
      <c r="N119" s="302">
        <v>0.11673495687059326</v>
      </c>
      <c r="O119" s="302">
        <f t="shared" si="65"/>
        <v>0.35770123538880216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32</v>
      </c>
      <c r="B121" s="311">
        <f>SUM(B111:B119)</f>
        <v>9.3780000000547226</v>
      </c>
      <c r="C121" s="311">
        <f t="shared" ref="C121:E121" si="67">SUM(C111:C119)</f>
        <v>3.2000000001144775</v>
      </c>
      <c r="D121" s="311">
        <f t="shared" si="67"/>
        <v>2.6870000000432324</v>
      </c>
      <c r="E121" s="311">
        <f t="shared" si="67"/>
        <v>15.265000000212432</v>
      </c>
      <c r="F121" s="311"/>
      <c r="G121" s="311">
        <f t="shared" ref="G121:J121" si="68">SUM(G111:G119)</f>
        <v>3.432999999964542</v>
      </c>
      <c r="H121" s="311">
        <f t="shared" si="68"/>
        <v>0.78899999999150505</v>
      </c>
      <c r="I121" s="311">
        <f t="shared" si="68"/>
        <v>2.6509999999638403</v>
      </c>
      <c r="J121" s="311">
        <f t="shared" si="68"/>
        <v>6.8729999999198874</v>
      </c>
      <c r="K121" s="311"/>
      <c r="L121" s="311">
        <f t="shared" ref="L121:O121" si="69">SUM(L111:L119)</f>
        <v>2.6319999999820261</v>
      </c>
      <c r="M121" s="311">
        <f t="shared" si="69"/>
        <v>0.58999999998602182</v>
      </c>
      <c r="N121" s="311">
        <f t="shared" si="69"/>
        <v>2.028000000007991</v>
      </c>
      <c r="O121" s="311">
        <f t="shared" si="69"/>
        <v>5.2499999999760396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35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name!A10</f>
        <v xml:space="preserve">Wood and cork </v>
      </c>
      <c r="B125" s="374">
        <f>$B$6</f>
        <v>2015</v>
      </c>
      <c r="C125" s="374"/>
      <c r="D125" s="374"/>
      <c r="E125" s="374"/>
      <c r="F125" s="263"/>
      <c r="G125" s="374">
        <f>$G$6</f>
        <v>2020</v>
      </c>
      <c r="H125" s="374"/>
      <c r="I125" s="374"/>
      <c r="J125" s="374"/>
      <c r="K125" s="263"/>
      <c r="L125" s="374">
        <f>$L$6</f>
        <v>2035</v>
      </c>
      <c r="M125" s="374"/>
      <c r="N125" s="374"/>
      <c r="O125" s="374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0.30256849410664444</v>
      </c>
      <c r="C128" s="302">
        <v>6.0854482852404582E-3</v>
      </c>
      <c r="D128" s="302">
        <v>5.466917849824969E-2</v>
      </c>
      <c r="E128" s="302">
        <f>SUM(B128:D128)</f>
        <v>0.36332312089013458</v>
      </c>
      <c r="F128" s="303"/>
      <c r="G128" s="302">
        <v>0.57686014578663591</v>
      </c>
      <c r="H128" s="302">
        <v>2.2174704100031157E-2</v>
      </c>
      <c r="I128" s="302">
        <v>0.36431236672047618</v>
      </c>
      <c r="J128" s="302">
        <f>SUM(G128:I128)</f>
        <v>0.96334721660714329</v>
      </c>
      <c r="K128" s="303"/>
      <c r="L128" s="302">
        <v>0.69390611220644116</v>
      </c>
      <c r="M128" s="302">
        <v>3.0882277377783977E-2</v>
      </c>
      <c r="N128" s="302">
        <v>0.42292063911469824</v>
      </c>
      <c r="O128" s="302">
        <f>SUM(L128:N128)</f>
        <v>1.1477090286989233</v>
      </c>
    </row>
    <row r="129" spans="1:15" s="236" customFormat="1" x14ac:dyDescent="0.2">
      <c r="A129" s="237" t="str">
        <f>name!E$5</f>
        <v>Professional occupations</v>
      </c>
      <c r="B129" s="302">
        <v>0.22719392890783766</v>
      </c>
      <c r="C129" s="302">
        <v>4.9239075914878569E-3</v>
      </c>
      <c r="D129" s="302">
        <v>1.8731799041410469E-2</v>
      </c>
      <c r="E129" s="302">
        <f t="shared" ref="E129:E136" si="70">SUM(B129:D129)</f>
        <v>0.25084963554073597</v>
      </c>
      <c r="F129" s="303"/>
      <c r="G129" s="302">
        <v>0.51155718246089943</v>
      </c>
      <c r="H129" s="302">
        <v>1.3737372894446718E-2</v>
      </c>
      <c r="I129" s="302">
        <v>9.7291840422956008E-2</v>
      </c>
      <c r="J129" s="302">
        <f t="shared" ref="J129:J131" si="71">SUM(G129:I129)</f>
        <v>0.62258639577830222</v>
      </c>
      <c r="K129" s="303"/>
      <c r="L129" s="302">
        <v>0.73678858634880429</v>
      </c>
      <c r="M129" s="302">
        <v>1.7595710163518415E-2</v>
      </c>
      <c r="N129" s="302">
        <v>9.4297745767790028E-2</v>
      </c>
      <c r="O129" s="302">
        <f t="shared" ref="O129:O136" si="72">SUM(L129:N129)</f>
        <v>0.84868204228011279</v>
      </c>
    </row>
    <row r="130" spans="1:15" s="236" customFormat="1" x14ac:dyDescent="0.2">
      <c r="A130" s="237" t="str">
        <f>name!E$6</f>
        <v>Associate professional occupations</v>
      </c>
      <c r="B130" s="302">
        <v>0.32931636733933456</v>
      </c>
      <c r="C130" s="302">
        <v>5.9591779821377673E-3</v>
      </c>
      <c r="D130" s="302">
        <v>1.9182874320393877E-2</v>
      </c>
      <c r="E130" s="302">
        <f t="shared" si="70"/>
        <v>0.3544584196418662</v>
      </c>
      <c r="F130" s="303"/>
      <c r="G130" s="302">
        <v>0.64840749802322495</v>
      </c>
      <c r="H130" s="302">
        <v>1.7295691304109014E-2</v>
      </c>
      <c r="I130" s="302">
        <v>9.8744518760535069E-2</v>
      </c>
      <c r="J130" s="302">
        <f t="shared" si="71"/>
        <v>0.76444770808786899</v>
      </c>
      <c r="K130" s="303"/>
      <c r="L130" s="302">
        <v>0.76613557359664375</v>
      </c>
      <c r="M130" s="302">
        <v>1.8867300964859949E-2</v>
      </c>
      <c r="N130" s="302">
        <v>0.10208557038854729</v>
      </c>
      <c r="O130" s="302">
        <f t="shared" si="72"/>
        <v>0.88708844495005101</v>
      </c>
    </row>
    <row r="131" spans="1:15" s="236" customFormat="1" x14ac:dyDescent="0.2">
      <c r="A131" s="237" t="str">
        <f>name!E$7</f>
        <v>Administrative and secretarial occupations</v>
      </c>
      <c r="B131" s="302">
        <v>7.0225001201007109E-2</v>
      </c>
      <c r="C131" s="302">
        <v>2.7133190884877031E-2</v>
      </c>
      <c r="D131" s="302">
        <v>5.6061472354318378E-3</v>
      </c>
      <c r="E131" s="302">
        <f t="shared" si="70"/>
        <v>0.10296433932131598</v>
      </c>
      <c r="F131" s="303"/>
      <c r="G131" s="302">
        <v>0.13506374048137604</v>
      </c>
      <c r="H131" s="302">
        <v>3.4796248365270559E-2</v>
      </c>
      <c r="I131" s="302">
        <v>2.2009666956849371E-2</v>
      </c>
      <c r="J131" s="302">
        <f t="shared" si="71"/>
        <v>0.19186965580349596</v>
      </c>
      <c r="K131" s="303"/>
      <c r="L131" s="302">
        <v>0.13500152830398948</v>
      </c>
      <c r="M131" s="302">
        <v>3.6021913356133854E-2</v>
      </c>
      <c r="N131" s="302">
        <v>2.0325277136440605E-2</v>
      </c>
      <c r="O131" s="302">
        <f t="shared" si="72"/>
        <v>0.19134871879656395</v>
      </c>
    </row>
    <row r="132" spans="1:15" s="236" customFormat="1" x14ac:dyDescent="0.2">
      <c r="A132" s="237" t="str">
        <f>name!E$8</f>
        <v>Skilled trades occupations</v>
      </c>
      <c r="B132" s="302">
        <v>0.31582296631701579</v>
      </c>
      <c r="C132" s="302">
        <v>1.3492666218361119E-2</v>
      </c>
      <c r="D132" s="302">
        <v>0.2041258759913176</v>
      </c>
      <c r="E132" s="302">
        <f t="shared" si="70"/>
        <v>0.53344150852669447</v>
      </c>
      <c r="F132" s="303"/>
      <c r="G132" s="302">
        <v>0.41892256013516144</v>
      </c>
      <c r="H132" s="302">
        <v>2.8627088517738066E-2</v>
      </c>
      <c r="I132" s="302">
        <v>0.84657858261323349</v>
      </c>
      <c r="J132" s="302">
        <f>SUM(G132:I132)</f>
        <v>1.2941282312661331</v>
      </c>
      <c r="K132" s="303"/>
      <c r="L132" s="302">
        <v>0.39685879215756686</v>
      </c>
      <c r="M132" s="302">
        <v>4.5791809320973084E-2</v>
      </c>
      <c r="N132" s="302">
        <v>0.91719474635619935</v>
      </c>
      <c r="O132" s="302">
        <f t="shared" si="72"/>
        <v>1.3598453478347392</v>
      </c>
    </row>
    <row r="133" spans="1:15" s="236" customFormat="1" x14ac:dyDescent="0.2">
      <c r="A133" s="237" t="str">
        <f>name!E$9</f>
        <v>Caring, leisure and other service occupations</v>
      </c>
      <c r="B133" s="302">
        <v>4.1178968994425871E-2</v>
      </c>
      <c r="C133" s="302">
        <v>4.1695500935340791E-3</v>
      </c>
      <c r="D133" s="302">
        <v>1.5356831840987889E-3</v>
      </c>
      <c r="E133" s="302">
        <f t="shared" si="70"/>
        <v>4.6884202272058736E-2</v>
      </c>
      <c r="F133" s="303"/>
      <c r="G133" s="302">
        <v>7.7813419710119083E-2</v>
      </c>
      <c r="H133" s="302">
        <v>7.2330014670221477E-3</v>
      </c>
      <c r="I133" s="302">
        <v>7.6287733795140531E-3</v>
      </c>
      <c r="J133" s="302">
        <f t="shared" ref="J133:J136" si="73">SUM(G133:I133)</f>
        <v>9.267519455665528E-2</v>
      </c>
      <c r="K133" s="303"/>
      <c r="L133" s="302">
        <v>0.12184135929095066</v>
      </c>
      <c r="M133" s="302">
        <v>7.8569057697177314E-3</v>
      </c>
      <c r="N133" s="302">
        <v>9.4548238837486188E-3</v>
      </c>
      <c r="O133" s="302">
        <f t="shared" si="72"/>
        <v>0.13915308894441702</v>
      </c>
    </row>
    <row r="134" spans="1:15" s="236" customFormat="1" x14ac:dyDescent="0.2">
      <c r="A134" s="237" t="str">
        <f>name!E$10</f>
        <v>Sales and customer service occupations</v>
      </c>
      <c r="B134" s="302">
        <v>3.9427094235564904E-2</v>
      </c>
      <c r="C134" s="302">
        <v>4.94531093025971E-3</v>
      </c>
      <c r="D134" s="302">
        <v>4.4539196189876057E-3</v>
      </c>
      <c r="E134" s="302">
        <f t="shared" si="70"/>
        <v>4.8826324784812219E-2</v>
      </c>
      <c r="F134" s="303"/>
      <c r="G134" s="302">
        <v>6.570824656508141E-2</v>
      </c>
      <c r="H134" s="302">
        <v>9.8422800148731115E-3</v>
      </c>
      <c r="I134" s="302">
        <v>2.0040069600366448E-2</v>
      </c>
      <c r="J134" s="302">
        <f t="shared" si="73"/>
        <v>9.5590596180320966E-2</v>
      </c>
      <c r="K134" s="303"/>
      <c r="L134" s="302">
        <v>8.363069081616617E-2</v>
      </c>
      <c r="M134" s="302">
        <v>1.3482024243960987E-2</v>
      </c>
      <c r="N134" s="302">
        <v>1.9907543610028153E-2</v>
      </c>
      <c r="O134" s="302">
        <f t="shared" si="72"/>
        <v>0.11702025867015531</v>
      </c>
    </row>
    <row r="135" spans="1:15" s="236" customFormat="1" x14ac:dyDescent="0.2">
      <c r="A135" s="237" t="str">
        <f>name!E$11</f>
        <v>Process, plant and machine operatives</v>
      </c>
      <c r="B135" s="302">
        <v>0.20882473467095408</v>
      </c>
      <c r="C135" s="302">
        <v>7.5589560342507927E-3</v>
      </c>
      <c r="D135" s="302">
        <v>1.9085288257470048E-2</v>
      </c>
      <c r="E135" s="302">
        <f t="shared" si="70"/>
        <v>0.23546897896267494</v>
      </c>
      <c r="F135" s="303"/>
      <c r="G135" s="302">
        <v>0.29377893976105529</v>
      </c>
      <c r="H135" s="302">
        <v>2.3526459771186347E-2</v>
      </c>
      <c r="I135" s="302">
        <v>0.10328959749139557</v>
      </c>
      <c r="J135" s="302">
        <f t="shared" si="73"/>
        <v>0.42059499702363723</v>
      </c>
      <c r="K135" s="303"/>
      <c r="L135" s="302">
        <v>0.31186887251550277</v>
      </c>
      <c r="M135" s="302">
        <v>3.412362632366886E-2</v>
      </c>
      <c r="N135" s="302">
        <v>0.12421711436960206</v>
      </c>
      <c r="O135" s="302">
        <f t="shared" si="72"/>
        <v>0.47020961320877364</v>
      </c>
    </row>
    <row r="136" spans="1:15" s="236" customFormat="1" x14ac:dyDescent="0.2">
      <c r="A136" s="237" t="str">
        <f>name!E$12</f>
        <v>Elementary occupations</v>
      </c>
      <c r="B136" s="302">
        <v>9.8442444240037758E-2</v>
      </c>
      <c r="C136" s="302">
        <v>1.2731791982185757E-2</v>
      </c>
      <c r="D136" s="302">
        <v>9.6092338519937915E-3</v>
      </c>
      <c r="E136" s="302">
        <f t="shared" si="70"/>
        <v>0.1207834700742173</v>
      </c>
      <c r="F136" s="303"/>
      <c r="G136" s="302">
        <v>0.13288826705032278</v>
      </c>
      <c r="H136" s="302">
        <v>2.1767153562644768E-2</v>
      </c>
      <c r="I136" s="302">
        <v>3.4104583999921514E-2</v>
      </c>
      <c r="J136" s="302">
        <f t="shared" si="73"/>
        <v>0.18876000461288905</v>
      </c>
      <c r="K136" s="303"/>
      <c r="L136" s="302">
        <v>9.7968484736767891E-2</v>
      </c>
      <c r="M136" s="302">
        <v>1.8378432474354885E-2</v>
      </c>
      <c r="N136" s="302">
        <v>3.2596539268948441E-2</v>
      </c>
      <c r="O136" s="302">
        <f t="shared" si="72"/>
        <v>0.14894345648007123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32</v>
      </c>
      <c r="B138" s="311">
        <f>SUM(B128:B136)</f>
        <v>1.6330000000128224</v>
      </c>
      <c r="C138" s="311">
        <f t="shared" ref="C138:E138" si="74">SUM(C128:C136)</f>
        <v>8.7000000002334571E-2</v>
      </c>
      <c r="D138" s="311">
        <f t="shared" si="74"/>
        <v>0.33699999999935371</v>
      </c>
      <c r="E138" s="311">
        <f t="shared" si="74"/>
        <v>2.0570000000145101</v>
      </c>
      <c r="F138" s="311"/>
      <c r="G138" s="311">
        <f t="shared" ref="G138:J138" si="75">SUM(G128:G136)</f>
        <v>2.8609999999738762</v>
      </c>
      <c r="H138" s="311">
        <f t="shared" si="75"/>
        <v>0.17899999999732188</v>
      </c>
      <c r="I138" s="311">
        <f t="shared" si="75"/>
        <v>1.5939999999452477</v>
      </c>
      <c r="J138" s="311">
        <f t="shared" si="75"/>
        <v>4.6339999999164458</v>
      </c>
      <c r="K138" s="311"/>
      <c r="L138" s="311">
        <f t="shared" ref="L138:O138" si="76">SUM(L128:L136)</f>
        <v>3.3439999999728336</v>
      </c>
      <c r="M138" s="311">
        <f t="shared" si="76"/>
        <v>0.22299999999497178</v>
      </c>
      <c r="N138" s="311">
        <f t="shared" si="76"/>
        <v>1.7429999998960028</v>
      </c>
      <c r="O138" s="311">
        <f t="shared" si="76"/>
        <v>5.3099999998638081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35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name!A11</f>
        <v>Paper, etc</v>
      </c>
      <c r="B142" s="374">
        <f>$B$6</f>
        <v>2015</v>
      </c>
      <c r="C142" s="374"/>
      <c r="D142" s="374"/>
      <c r="E142" s="374"/>
      <c r="F142" s="263"/>
      <c r="G142" s="374">
        <f>$G$6</f>
        <v>2020</v>
      </c>
      <c r="H142" s="374"/>
      <c r="I142" s="374"/>
      <c r="J142" s="374"/>
      <c r="K142" s="263"/>
      <c r="L142" s="374">
        <f>$L$6</f>
        <v>2035</v>
      </c>
      <c r="M142" s="374"/>
      <c r="N142" s="374"/>
      <c r="O142" s="374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8.019080123182909E-2</v>
      </c>
      <c r="C145" s="302">
        <v>8.5337431966614335E-3</v>
      </c>
      <c r="D145" s="302">
        <v>1.4431797470764438E-2</v>
      </c>
      <c r="E145" s="302">
        <f>SUM(B145:D145)</f>
        <v>0.10315634189925496</v>
      </c>
      <c r="F145" s="303"/>
      <c r="G145" s="302">
        <v>5.5114173511255998E-2</v>
      </c>
      <c r="H145" s="302">
        <v>3.0783433077328126E-3</v>
      </c>
      <c r="I145" s="302">
        <v>4.8129875925535161E-3</v>
      </c>
      <c r="J145" s="302">
        <f>SUM(G145:I145)</f>
        <v>6.3005504411542332E-2</v>
      </c>
      <c r="K145" s="303"/>
      <c r="L145" s="302">
        <v>6.4367085650598732E-2</v>
      </c>
      <c r="M145" s="302">
        <v>5.2024090251675493E-3</v>
      </c>
      <c r="N145" s="302">
        <v>7.3199327498482437E-3</v>
      </c>
      <c r="O145" s="302">
        <f>SUM(L145:N145)</f>
        <v>7.6889427425614526E-2</v>
      </c>
    </row>
    <row r="146" spans="1:15" s="236" customFormat="1" x14ac:dyDescent="0.2">
      <c r="A146" s="237" t="str">
        <f>name!E$5</f>
        <v>Professional occupations</v>
      </c>
      <c r="B146" s="302">
        <v>7.8475089540041121E-2</v>
      </c>
      <c r="C146" s="302">
        <v>1.1651056136313358E-2</v>
      </c>
      <c r="D146" s="302">
        <v>1.1755923721310858E-2</v>
      </c>
      <c r="E146" s="302">
        <f t="shared" ref="E146:E153" si="77">SUM(B146:D146)</f>
        <v>0.10188206939766534</v>
      </c>
      <c r="F146" s="303"/>
      <c r="G146" s="302">
        <v>6.4610970323951605E-2</v>
      </c>
      <c r="H146" s="302">
        <v>4.6740833145926964E-3</v>
      </c>
      <c r="I146" s="302">
        <v>4.1743488798068355E-3</v>
      </c>
      <c r="J146" s="302">
        <f t="shared" ref="J146:J148" si="78">SUM(G146:I146)</f>
        <v>7.3459402518351133E-2</v>
      </c>
      <c r="K146" s="303"/>
      <c r="L146" s="302">
        <v>8.4644537130702982E-2</v>
      </c>
      <c r="M146" s="302">
        <v>9.0337630453267599E-3</v>
      </c>
      <c r="N146" s="302">
        <v>5.073044357946874E-3</v>
      </c>
      <c r="O146" s="302">
        <f t="shared" ref="O146:O153" si="79">SUM(L146:N146)</f>
        <v>9.8751344533976618E-2</v>
      </c>
    </row>
    <row r="147" spans="1:15" s="236" customFormat="1" x14ac:dyDescent="0.2">
      <c r="A147" s="237" t="str">
        <f>name!E$6</f>
        <v>Associate professional occupations</v>
      </c>
      <c r="B147" s="302">
        <v>0.11669012130849263</v>
      </c>
      <c r="C147" s="302">
        <v>3.2803239174191361E-2</v>
      </c>
      <c r="D147" s="302">
        <v>3.4740712864020237E-2</v>
      </c>
      <c r="E147" s="302">
        <f t="shared" si="77"/>
        <v>0.18423407334670422</v>
      </c>
      <c r="F147" s="303"/>
      <c r="G147" s="302">
        <v>8.9951943457284994E-2</v>
      </c>
      <c r="H147" s="302">
        <v>9.5035155717970964E-3</v>
      </c>
      <c r="I147" s="302">
        <v>1.4283384458630168E-2</v>
      </c>
      <c r="J147" s="302">
        <f t="shared" si="78"/>
        <v>0.11373884348771227</v>
      </c>
      <c r="K147" s="303"/>
      <c r="L147" s="302">
        <v>0.11248312249148543</v>
      </c>
      <c r="M147" s="302">
        <v>1.0313963262739865E-2</v>
      </c>
      <c r="N147" s="302">
        <v>2.0069789799019751E-2</v>
      </c>
      <c r="O147" s="302">
        <f t="shared" si="79"/>
        <v>0.14286687555324504</v>
      </c>
    </row>
    <row r="148" spans="1:15" s="236" customFormat="1" x14ac:dyDescent="0.2">
      <c r="A148" s="237" t="str">
        <f>name!E$7</f>
        <v>Administrative and secretarial occupations</v>
      </c>
      <c r="B148" s="302">
        <v>1.4361357151050436E-2</v>
      </c>
      <c r="C148" s="302">
        <v>9.8872889723101032E-3</v>
      </c>
      <c r="D148" s="302">
        <v>1.3485326114716725E-3</v>
      </c>
      <c r="E148" s="302">
        <f t="shared" si="77"/>
        <v>2.5597178734832211E-2</v>
      </c>
      <c r="F148" s="303"/>
      <c r="G148" s="302">
        <v>1.0362927808542298E-2</v>
      </c>
      <c r="H148" s="302">
        <v>1.1645279791794132E-3</v>
      </c>
      <c r="I148" s="302">
        <v>7.0981140005569427E-4</v>
      </c>
      <c r="J148" s="302">
        <f t="shared" si="78"/>
        <v>1.2237267187777406E-2</v>
      </c>
      <c r="K148" s="303"/>
      <c r="L148" s="302">
        <v>8.6243837977139724E-3</v>
      </c>
      <c r="M148" s="302">
        <v>7.9844913457477993E-4</v>
      </c>
      <c r="N148" s="302">
        <v>7.267789619028192E-4</v>
      </c>
      <c r="O148" s="302">
        <f t="shared" si="79"/>
        <v>1.0149611894191571E-2</v>
      </c>
    </row>
    <row r="149" spans="1:15" s="236" customFormat="1" x14ac:dyDescent="0.2">
      <c r="A149" s="237" t="str">
        <f>name!E$8</f>
        <v>Skilled trades occupations</v>
      </c>
      <c r="B149" s="302">
        <v>2.8875484436783502E-2</v>
      </c>
      <c r="C149" s="302">
        <v>6.7924082318679049E-3</v>
      </c>
      <c r="D149" s="302">
        <v>2.7176971206058077E-3</v>
      </c>
      <c r="E149" s="302">
        <f t="shared" si="77"/>
        <v>3.8385589789257213E-2</v>
      </c>
      <c r="F149" s="303"/>
      <c r="G149" s="302">
        <v>1.35005329026149E-2</v>
      </c>
      <c r="H149" s="302">
        <v>1.1338897824152943E-3</v>
      </c>
      <c r="I149" s="302">
        <v>8.5307253316797523E-4</v>
      </c>
      <c r="J149" s="302">
        <f>SUM(G149:I149)</f>
        <v>1.548749521819817E-2</v>
      </c>
      <c r="K149" s="303"/>
      <c r="L149" s="302">
        <v>8.4358529344026583E-3</v>
      </c>
      <c r="M149" s="302">
        <v>1.5396994025033267E-3</v>
      </c>
      <c r="N149" s="302">
        <v>1.3824258806894231E-3</v>
      </c>
      <c r="O149" s="302">
        <f t="shared" si="79"/>
        <v>1.1357978217595408E-2</v>
      </c>
    </row>
    <row r="150" spans="1:15" s="236" customFormat="1" x14ac:dyDescent="0.2">
      <c r="A150" s="237" t="str">
        <f>name!E$9</f>
        <v>Caring, leisure and other service occupations</v>
      </c>
      <c r="B150" s="302">
        <v>1.5155844127825631E-3</v>
      </c>
      <c r="C150" s="302">
        <v>2.6906266166184093E-3</v>
      </c>
      <c r="D150" s="302">
        <v>3.2849325027886015E-4</v>
      </c>
      <c r="E150" s="302">
        <f t="shared" si="77"/>
        <v>4.5347042796798328E-3</v>
      </c>
      <c r="F150" s="303"/>
      <c r="G150" s="302">
        <v>9.4952627555032856E-4</v>
      </c>
      <c r="H150" s="302">
        <v>5.7216574048789737E-4</v>
      </c>
      <c r="I150" s="302">
        <v>2.1699252207585051E-4</v>
      </c>
      <c r="J150" s="302">
        <f t="shared" ref="J150:J153" si="80">SUM(G150:I150)</f>
        <v>1.7386845381140764E-3</v>
      </c>
      <c r="K150" s="303"/>
      <c r="L150" s="302">
        <v>9.7447335391966311E-4</v>
      </c>
      <c r="M150" s="302">
        <v>6.8131534858821964E-4</v>
      </c>
      <c r="N150" s="302">
        <v>3.4968626470139957E-4</v>
      </c>
      <c r="O150" s="302">
        <f t="shared" si="79"/>
        <v>2.0054749672092824E-3</v>
      </c>
    </row>
    <row r="151" spans="1:15" s="236" customFormat="1" x14ac:dyDescent="0.2">
      <c r="A151" s="237" t="str">
        <f>name!E$10</f>
        <v>Sales and customer service occupations</v>
      </c>
      <c r="B151" s="302">
        <v>1.1696671263718105E-2</v>
      </c>
      <c r="C151" s="302">
        <v>7.4323047720618231E-3</v>
      </c>
      <c r="D151" s="302">
        <v>2.8914473195264649E-3</v>
      </c>
      <c r="E151" s="302">
        <f t="shared" si="77"/>
        <v>2.2020423355306393E-2</v>
      </c>
      <c r="F151" s="303"/>
      <c r="G151" s="302">
        <v>7.4499313210663904E-3</v>
      </c>
      <c r="H151" s="302">
        <v>1.2504347509082908E-3</v>
      </c>
      <c r="I151" s="302">
        <v>7.253337233509657E-4</v>
      </c>
      <c r="J151" s="302">
        <f t="shared" si="80"/>
        <v>9.4256997953256465E-3</v>
      </c>
      <c r="K151" s="303"/>
      <c r="L151" s="302">
        <v>8.4445142637303433E-3</v>
      </c>
      <c r="M151" s="302">
        <v>1.491246110247863E-3</v>
      </c>
      <c r="N151" s="302">
        <v>8.3961972142878758E-4</v>
      </c>
      <c r="O151" s="302">
        <f t="shared" si="79"/>
        <v>1.0775380095406994E-2</v>
      </c>
    </row>
    <row r="152" spans="1:15" s="236" customFormat="1" x14ac:dyDescent="0.2">
      <c r="A152" s="237" t="str">
        <f>name!E$11</f>
        <v>Process, plant and machine operatives</v>
      </c>
      <c r="B152" s="302">
        <v>6.1304861125297009E-3</v>
      </c>
      <c r="C152" s="302">
        <v>8.9804652895108562E-3</v>
      </c>
      <c r="D152" s="302">
        <v>4.0441134039706939E-4</v>
      </c>
      <c r="E152" s="302">
        <f t="shared" si="77"/>
        <v>1.5515362742437627E-2</v>
      </c>
      <c r="F152" s="303"/>
      <c r="G152" s="302">
        <v>3.0598039841370152E-3</v>
      </c>
      <c r="H152" s="302">
        <v>2.1096151641718684E-3</v>
      </c>
      <c r="I152" s="302">
        <v>1.1636353851610483E-4</v>
      </c>
      <c r="J152" s="302">
        <f t="shared" si="80"/>
        <v>5.2857826868249885E-3</v>
      </c>
      <c r="K152" s="303"/>
      <c r="L152" s="302">
        <v>2.0762601680193028E-3</v>
      </c>
      <c r="M152" s="302">
        <v>2.8482246571155932E-3</v>
      </c>
      <c r="N152" s="302">
        <v>1.3378807280397842E-4</v>
      </c>
      <c r="O152" s="302">
        <f t="shared" si="79"/>
        <v>5.0582728979388742E-3</v>
      </c>
    </row>
    <row r="153" spans="1:15" s="236" customFormat="1" x14ac:dyDescent="0.2">
      <c r="A153" s="237" t="str">
        <f>name!E$12</f>
        <v>Elementary occupations</v>
      </c>
      <c r="B153" s="302">
        <v>1.006440453968192E-2</v>
      </c>
      <c r="C153" s="302">
        <v>2.9228867612338807E-2</v>
      </c>
      <c r="D153" s="302">
        <v>3.8098430318397772E-4</v>
      </c>
      <c r="E153" s="302">
        <f t="shared" si="77"/>
        <v>3.9674256455204705E-2</v>
      </c>
      <c r="F153" s="303"/>
      <c r="G153" s="302">
        <v>5.0001904158578558E-3</v>
      </c>
      <c r="H153" s="302">
        <v>5.5134243886221677E-3</v>
      </c>
      <c r="I153" s="302">
        <v>1.0770535219393222E-4</v>
      </c>
      <c r="J153" s="302">
        <f t="shared" si="80"/>
        <v>1.0621320156673955E-2</v>
      </c>
      <c r="K153" s="303"/>
      <c r="L153" s="302">
        <v>2.9497702115329504E-3</v>
      </c>
      <c r="M153" s="302">
        <v>5.0909300134697865E-3</v>
      </c>
      <c r="N153" s="302">
        <v>1.0493419289727146E-4</v>
      </c>
      <c r="O153" s="302">
        <f t="shared" si="79"/>
        <v>8.1456344179000086E-3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32</v>
      </c>
      <c r="B155" s="311">
        <f>SUM(B145:B153)</f>
        <v>0.34799999999690906</v>
      </c>
      <c r="C155" s="311">
        <f t="shared" ref="C155:E155" si="81">SUM(C145:C153)</f>
        <v>0.11800000000187405</v>
      </c>
      <c r="D155" s="311">
        <f t="shared" si="81"/>
        <v>6.9000000001559383E-2</v>
      </c>
      <c r="E155" s="311">
        <f t="shared" si="81"/>
        <v>0.53500000000034253</v>
      </c>
      <c r="F155" s="311"/>
      <c r="G155" s="311">
        <f t="shared" ref="G155:J155" si="82">SUM(G145:G153)</f>
        <v>0.2500000000002614</v>
      </c>
      <c r="H155" s="311">
        <f t="shared" si="82"/>
        <v>2.8999999999907537E-2</v>
      </c>
      <c r="I155" s="311">
        <f t="shared" si="82"/>
        <v>2.6000000000351041E-2</v>
      </c>
      <c r="J155" s="311">
        <f t="shared" si="82"/>
        <v>0.30500000000051997</v>
      </c>
      <c r="K155" s="311"/>
      <c r="L155" s="311">
        <f t="shared" ref="L155:O155" si="83">SUM(L145:L153)</f>
        <v>0.29300000000210602</v>
      </c>
      <c r="M155" s="311">
        <f t="shared" si="83"/>
        <v>3.6999999999733753E-2</v>
      </c>
      <c r="N155" s="311">
        <f t="shared" si="83"/>
        <v>3.6000000001238548E-2</v>
      </c>
      <c r="O155" s="311">
        <f t="shared" si="83"/>
        <v>0.36600000000307836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35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name!A12</f>
        <v>Printing and recording</v>
      </c>
      <c r="B159" s="374">
        <f>$B$6</f>
        <v>2015</v>
      </c>
      <c r="C159" s="374"/>
      <c r="D159" s="374"/>
      <c r="E159" s="374"/>
      <c r="F159" s="263"/>
      <c r="G159" s="374">
        <f>$G$6</f>
        <v>2020</v>
      </c>
      <c r="H159" s="374"/>
      <c r="I159" s="374"/>
      <c r="J159" s="374"/>
      <c r="K159" s="263"/>
      <c r="L159" s="374">
        <f>$L$6</f>
        <v>2035</v>
      </c>
      <c r="M159" s="374"/>
      <c r="N159" s="374"/>
      <c r="O159" s="374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2.7319970122109551</v>
      </c>
      <c r="C162" s="302">
        <v>0.13024732172809436</v>
      </c>
      <c r="D162" s="302">
        <v>0.46522831639414403</v>
      </c>
      <c r="E162" s="302">
        <f>SUM(B162:D162)</f>
        <v>3.3274726503331933</v>
      </c>
      <c r="F162" s="303"/>
      <c r="G162" s="302">
        <v>1.7704563867724756</v>
      </c>
      <c r="H162" s="302">
        <v>0.13168550772111048</v>
      </c>
      <c r="I162" s="302">
        <v>0.39275479371800259</v>
      </c>
      <c r="J162" s="302">
        <f>SUM(G162:I162)</f>
        <v>2.2948966882115887</v>
      </c>
      <c r="K162" s="303"/>
      <c r="L162" s="302">
        <v>1.2514384355627957</v>
      </c>
      <c r="M162" s="302">
        <v>0.1298319179372249</v>
      </c>
      <c r="N162" s="302">
        <v>0.36230931372982728</v>
      </c>
      <c r="O162" s="302">
        <f>SUM(L162:N162)</f>
        <v>1.7435796672298478</v>
      </c>
    </row>
    <row r="163" spans="1:15" s="236" customFormat="1" x14ac:dyDescent="0.2">
      <c r="A163" s="237" t="str">
        <f>name!E$5</f>
        <v>Professional occupations</v>
      </c>
      <c r="B163" s="302">
        <v>2.7193654161217586</v>
      </c>
      <c r="C163" s="302">
        <v>0.28876494799161223</v>
      </c>
      <c r="D163" s="302">
        <v>0.39961696186154183</v>
      </c>
      <c r="E163" s="302">
        <f t="shared" ref="E163:E170" si="84">SUM(B163:D163)</f>
        <v>3.4077473259749129</v>
      </c>
      <c r="F163" s="303"/>
      <c r="G163" s="302">
        <v>2.0794308626132576</v>
      </c>
      <c r="H163" s="302">
        <v>0.25348063321807041</v>
      </c>
      <c r="I163" s="302">
        <v>0.32541339423525023</v>
      </c>
      <c r="J163" s="302">
        <f t="shared" ref="J163:J165" si="85">SUM(G163:I163)</f>
        <v>2.6583248900665786</v>
      </c>
      <c r="K163" s="303"/>
      <c r="L163" s="302">
        <v>1.6618813137138642</v>
      </c>
      <c r="M163" s="302">
        <v>0.25109026142469199</v>
      </c>
      <c r="N163" s="302">
        <v>0.22586440924213294</v>
      </c>
      <c r="O163" s="302">
        <f t="shared" ref="O163:O170" si="86">SUM(L163:N163)</f>
        <v>2.1388359843806892</v>
      </c>
    </row>
    <row r="164" spans="1:15" s="236" customFormat="1" x14ac:dyDescent="0.2">
      <c r="A164" s="237" t="str">
        <f>name!E$6</f>
        <v>Associate professional occupations</v>
      </c>
      <c r="B164" s="302">
        <v>4.0736193495164148</v>
      </c>
      <c r="C164" s="302">
        <v>0.72615987699503082</v>
      </c>
      <c r="D164" s="302">
        <v>1.2326005305331371</v>
      </c>
      <c r="E164" s="302">
        <f t="shared" si="84"/>
        <v>6.0323797570445823</v>
      </c>
      <c r="F164" s="303"/>
      <c r="G164" s="302">
        <v>2.8991659162964769</v>
      </c>
      <c r="H164" s="302">
        <v>0.51233157280278341</v>
      </c>
      <c r="I164" s="302">
        <v>1.0411296232528227</v>
      </c>
      <c r="J164" s="302">
        <f t="shared" si="85"/>
        <v>4.4526271123520829</v>
      </c>
      <c r="K164" s="303"/>
      <c r="L164" s="302">
        <v>2.2073617666976224</v>
      </c>
      <c r="M164" s="302">
        <v>0.3842077879661267</v>
      </c>
      <c r="N164" s="302">
        <v>0.82265427972539062</v>
      </c>
      <c r="O164" s="302">
        <f t="shared" si="86"/>
        <v>3.4142238343891398</v>
      </c>
    </row>
    <row r="165" spans="1:15" s="236" customFormat="1" x14ac:dyDescent="0.2">
      <c r="A165" s="237" t="str">
        <f>name!E$7</f>
        <v>Administrative and secretarial occupations</v>
      </c>
      <c r="B165" s="302">
        <v>0.53159152945151833</v>
      </c>
      <c r="C165" s="302">
        <v>0.28206024266425017</v>
      </c>
      <c r="D165" s="302">
        <v>5.3338625999917524E-2</v>
      </c>
      <c r="E165" s="302">
        <f t="shared" si="84"/>
        <v>0.86699039811568612</v>
      </c>
      <c r="F165" s="303"/>
      <c r="G165" s="302">
        <v>0.33476235364110685</v>
      </c>
      <c r="H165" s="302">
        <v>0.14284411033906289</v>
      </c>
      <c r="I165" s="302">
        <v>4.0477548236334329E-2</v>
      </c>
      <c r="J165" s="302">
        <f t="shared" si="85"/>
        <v>0.51808401221650402</v>
      </c>
      <c r="K165" s="303"/>
      <c r="L165" s="302">
        <v>0.17581716982800175</v>
      </c>
      <c r="M165" s="302">
        <v>7.9104901550423143E-2</v>
      </c>
      <c r="N165" s="302">
        <v>2.507694079152939E-2</v>
      </c>
      <c r="O165" s="302">
        <f t="shared" si="86"/>
        <v>0.27999901216995426</v>
      </c>
    </row>
    <row r="166" spans="1:15" s="236" customFormat="1" x14ac:dyDescent="0.2">
      <c r="A166" s="237" t="str">
        <f>name!E$8</f>
        <v>Skilled trades occupations</v>
      </c>
      <c r="B166" s="302">
        <v>0.96685682735866996</v>
      </c>
      <c r="C166" s="302">
        <v>0.10225672104154895</v>
      </c>
      <c r="D166" s="302">
        <v>8.6045219850061819E-2</v>
      </c>
      <c r="E166" s="302">
        <f t="shared" si="84"/>
        <v>1.1551587682502809</v>
      </c>
      <c r="F166" s="303"/>
      <c r="G166" s="302">
        <v>0.43196264058664613</v>
      </c>
      <c r="H166" s="302">
        <v>5.2814368549754957E-2</v>
      </c>
      <c r="I166" s="302">
        <v>6.8493173617002412E-2</v>
      </c>
      <c r="J166" s="302">
        <f>SUM(G166:I166)</f>
        <v>0.55327018275340345</v>
      </c>
      <c r="K166" s="303"/>
      <c r="L166" s="302">
        <v>0.17115469739031466</v>
      </c>
      <c r="M166" s="302">
        <v>4.6856963336922179E-2</v>
      </c>
      <c r="N166" s="302">
        <v>5.2442391212017353E-2</v>
      </c>
      <c r="O166" s="302">
        <f t="shared" si="86"/>
        <v>0.2704540519392542</v>
      </c>
    </row>
    <row r="167" spans="1:15" s="236" customFormat="1" x14ac:dyDescent="0.2">
      <c r="A167" s="237" t="str">
        <f>name!E$9</f>
        <v>Caring, leisure and other service occupations</v>
      </c>
      <c r="B167" s="302">
        <v>4.8259436895306609E-2</v>
      </c>
      <c r="C167" s="302">
        <v>2.5309152331407566E-2</v>
      </c>
      <c r="D167" s="302">
        <v>1.2772988362346532E-2</v>
      </c>
      <c r="E167" s="302">
        <f t="shared" si="84"/>
        <v>8.6341577589060706E-2</v>
      </c>
      <c r="F167" s="303"/>
      <c r="G167" s="302">
        <v>2.9252652371942411E-2</v>
      </c>
      <c r="H167" s="302">
        <v>1.8435062281344734E-2</v>
      </c>
      <c r="I167" s="302">
        <v>1.2951400007320365E-2</v>
      </c>
      <c r="J167" s="302">
        <f t="shared" ref="J167:J170" si="87">SUM(G167:I167)</f>
        <v>6.0639114660607507E-2</v>
      </c>
      <c r="K167" s="303"/>
      <c r="L167" s="302">
        <v>2.1275554010268972E-2</v>
      </c>
      <c r="M167" s="302">
        <v>1.2737936082636778E-2</v>
      </c>
      <c r="N167" s="302">
        <v>1.3477148790116395E-2</v>
      </c>
      <c r="O167" s="302">
        <f t="shared" si="86"/>
        <v>4.7490638883022143E-2</v>
      </c>
    </row>
    <row r="168" spans="1:15" s="236" customFormat="1" x14ac:dyDescent="0.2">
      <c r="A168" s="237" t="str">
        <f>name!E$10</f>
        <v>Sales and customer service occupations</v>
      </c>
      <c r="B168" s="302">
        <v>0.42069046908817459</v>
      </c>
      <c r="C168" s="302">
        <v>9.1842066374701145E-2</v>
      </c>
      <c r="D168" s="302">
        <v>9.5516655915269935E-2</v>
      </c>
      <c r="E168" s="302">
        <f t="shared" si="84"/>
        <v>0.60804919137814561</v>
      </c>
      <c r="F168" s="303"/>
      <c r="G168" s="302">
        <v>0.24063917173989388</v>
      </c>
      <c r="H168" s="302">
        <v>5.5861279136453106E-2</v>
      </c>
      <c r="I168" s="302">
        <v>5.9834912889960519E-2</v>
      </c>
      <c r="J168" s="302">
        <f t="shared" si="87"/>
        <v>0.35633536376630748</v>
      </c>
      <c r="K168" s="303"/>
      <c r="L168" s="302">
        <v>0.16706050131857189</v>
      </c>
      <c r="M168" s="302">
        <v>4.1567669266673393E-2</v>
      </c>
      <c r="N168" s="302">
        <v>4.0090101563013431E-2</v>
      </c>
      <c r="O168" s="302">
        <f t="shared" si="86"/>
        <v>0.24871827214825873</v>
      </c>
    </row>
    <row r="169" spans="1:15" s="236" customFormat="1" x14ac:dyDescent="0.2">
      <c r="A169" s="237" t="str">
        <f>name!E$11</f>
        <v>Process, plant and machine operatives</v>
      </c>
      <c r="B169" s="302">
        <v>0.19468354134257446</v>
      </c>
      <c r="C169" s="302">
        <v>5.3056369945900329E-2</v>
      </c>
      <c r="D169" s="302">
        <v>1.2394040711418601E-2</v>
      </c>
      <c r="E169" s="302">
        <f t="shared" si="84"/>
        <v>0.26013395199989336</v>
      </c>
      <c r="F169" s="303"/>
      <c r="G169" s="302">
        <v>9.6266712002081561E-2</v>
      </c>
      <c r="H169" s="302">
        <v>5.1615821020640176E-2</v>
      </c>
      <c r="I169" s="302">
        <v>1.0334265094366231E-2</v>
      </c>
      <c r="J169" s="302">
        <f t="shared" si="87"/>
        <v>0.15821679811708797</v>
      </c>
      <c r="K169" s="303"/>
      <c r="L169" s="302">
        <v>5.1378804843768507E-2</v>
      </c>
      <c r="M169" s="302">
        <v>4.7286274470698386E-2</v>
      </c>
      <c r="N169" s="302">
        <v>7.7241576472611229E-3</v>
      </c>
      <c r="O169" s="302">
        <f t="shared" si="86"/>
        <v>0.10638923696172801</v>
      </c>
    </row>
    <row r="170" spans="1:15" s="236" customFormat="1" x14ac:dyDescent="0.2">
      <c r="A170" s="237" t="str">
        <f>name!E$12</f>
        <v>Elementary occupations</v>
      </c>
      <c r="B170" s="302">
        <v>0.34293641790419926</v>
      </c>
      <c r="C170" s="302">
        <v>0.24930330093091077</v>
      </c>
      <c r="D170" s="302">
        <v>1.2486660421371198E-2</v>
      </c>
      <c r="E170" s="302">
        <f t="shared" si="84"/>
        <v>0.60472637925648121</v>
      </c>
      <c r="F170" s="303"/>
      <c r="G170" s="302">
        <v>0.16006330398471158</v>
      </c>
      <c r="H170" s="302">
        <v>0.16293164492400072</v>
      </c>
      <c r="I170" s="302">
        <v>7.6108889944618832E-3</v>
      </c>
      <c r="J170" s="302">
        <f t="shared" si="87"/>
        <v>0.33060583790317416</v>
      </c>
      <c r="K170" s="303"/>
      <c r="L170" s="302">
        <v>6.0631756674421125E-2</v>
      </c>
      <c r="M170" s="302">
        <v>8.0316287960046737E-2</v>
      </c>
      <c r="N170" s="302">
        <v>5.3612573686420261E-3</v>
      </c>
      <c r="O170" s="302">
        <f t="shared" si="86"/>
        <v>0.14630930200310988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32</v>
      </c>
      <c r="B172" s="311">
        <f>SUM(B162:B170)</f>
        <v>12.029999999889572</v>
      </c>
      <c r="C172" s="311">
        <f t="shared" ref="C172:E172" si="88">SUM(C162:C170)</f>
        <v>1.9490000000034562</v>
      </c>
      <c r="D172" s="311">
        <f t="shared" si="88"/>
        <v>2.3700000000492087</v>
      </c>
      <c r="E172" s="311">
        <f t="shared" si="88"/>
        <v>16.348999999942237</v>
      </c>
      <c r="F172" s="311"/>
      <c r="G172" s="311">
        <f t="shared" ref="G172:J172" si="89">SUM(G162:G170)</f>
        <v>8.0420000000085938</v>
      </c>
      <c r="H172" s="311">
        <f t="shared" si="89"/>
        <v>1.3819999999932207</v>
      </c>
      <c r="I172" s="311">
        <f t="shared" si="89"/>
        <v>1.9590000000455214</v>
      </c>
      <c r="J172" s="311">
        <f t="shared" si="89"/>
        <v>11.383000000047335</v>
      </c>
      <c r="K172" s="311"/>
      <c r="L172" s="311">
        <f t="shared" ref="L172:O172" si="90">SUM(L162:L170)</f>
        <v>5.7680000000396285</v>
      </c>
      <c r="M172" s="311">
        <f t="shared" si="90"/>
        <v>1.0729999999954443</v>
      </c>
      <c r="N172" s="311">
        <f t="shared" si="90"/>
        <v>1.5550000000699307</v>
      </c>
      <c r="O172" s="311">
        <f t="shared" si="90"/>
        <v>8.396000000105003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35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name!A13</f>
        <v>Coke and petroleum; Chemicals, etc</v>
      </c>
      <c r="B176" s="374">
        <f>$B$6</f>
        <v>2015</v>
      </c>
      <c r="C176" s="374"/>
      <c r="D176" s="374"/>
      <c r="E176" s="374"/>
      <c r="F176" s="263"/>
      <c r="G176" s="374">
        <f>$G$6</f>
        <v>2020</v>
      </c>
      <c r="H176" s="374"/>
      <c r="I176" s="374"/>
      <c r="J176" s="374"/>
      <c r="K176" s="263"/>
      <c r="L176" s="374">
        <f>$L$6</f>
        <v>2035</v>
      </c>
      <c r="M176" s="374"/>
      <c r="N176" s="374"/>
      <c r="O176" s="374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0.44030952760553577</v>
      </c>
      <c r="C179" s="302">
        <v>5.7940717388801294E-3</v>
      </c>
      <c r="D179" s="302">
        <v>1.9720542411524367E-2</v>
      </c>
      <c r="E179" s="302">
        <f>SUM(B179:D179)</f>
        <v>0.46582414175594028</v>
      </c>
      <c r="F179" s="303"/>
      <c r="G179" s="302">
        <v>0.39200327586474076</v>
      </c>
      <c r="H179" s="302">
        <v>1.1367630195005383E-2</v>
      </c>
      <c r="I179" s="302">
        <v>6.3587414901876457E-2</v>
      </c>
      <c r="J179" s="302">
        <f>SUM(G179:I179)</f>
        <v>0.4669583209616226</v>
      </c>
      <c r="K179" s="303"/>
      <c r="L179" s="302">
        <v>0.27251059594575727</v>
      </c>
      <c r="M179" s="302">
        <v>9.1176309570754205E-3</v>
      </c>
      <c r="N179" s="302">
        <v>1.5453223861062322E-2</v>
      </c>
      <c r="O179" s="302">
        <f>SUM(L179:N179)</f>
        <v>0.29708145076389503</v>
      </c>
    </row>
    <row r="180" spans="1:15" s="236" customFormat="1" x14ac:dyDescent="0.2">
      <c r="A180" s="237" t="str">
        <f>name!E$5</f>
        <v>Professional occupations</v>
      </c>
      <c r="B180" s="302">
        <v>0.67392458357292218</v>
      </c>
      <c r="C180" s="302">
        <v>9.7273621076163757E-3</v>
      </c>
      <c r="D180" s="302">
        <v>7.8349491312731334E-2</v>
      </c>
      <c r="E180" s="302">
        <f t="shared" ref="E180:E187" si="91">SUM(B180:D180)</f>
        <v>0.76200143699326994</v>
      </c>
      <c r="F180" s="303"/>
      <c r="G180" s="302">
        <v>0.6790937856561714</v>
      </c>
      <c r="H180" s="302">
        <v>1.7335736708444599E-2</v>
      </c>
      <c r="I180" s="302">
        <v>0.25481507989418017</v>
      </c>
      <c r="J180" s="302">
        <f t="shared" ref="J180:J182" si="92">SUM(G180:I180)</f>
        <v>0.95124460225879615</v>
      </c>
      <c r="K180" s="303"/>
      <c r="L180" s="302">
        <v>0.52913169421705053</v>
      </c>
      <c r="M180" s="302">
        <v>1.3742287465287469E-2</v>
      </c>
      <c r="N180" s="302">
        <v>0.17763721348036857</v>
      </c>
      <c r="O180" s="302">
        <f t="shared" ref="O180:O187" si="93">SUM(L180:N180)</f>
        <v>0.72051119516270656</v>
      </c>
    </row>
    <row r="181" spans="1:15" s="236" customFormat="1" x14ac:dyDescent="0.2">
      <c r="A181" s="237" t="str">
        <f>name!E$6</f>
        <v>Associate professional occupations</v>
      </c>
      <c r="B181" s="302">
        <v>0.45484112660978054</v>
      </c>
      <c r="C181" s="302">
        <v>9.1918084876102743E-3</v>
      </c>
      <c r="D181" s="302">
        <v>2.5364891538656131E-2</v>
      </c>
      <c r="E181" s="302">
        <f t="shared" si="91"/>
        <v>0.48939782663604692</v>
      </c>
      <c r="F181" s="303"/>
      <c r="G181" s="302">
        <v>0.42923462799617346</v>
      </c>
      <c r="H181" s="302">
        <v>1.5419042231773337E-2</v>
      </c>
      <c r="I181" s="302">
        <v>7.8414742001287147E-2</v>
      </c>
      <c r="J181" s="302">
        <f t="shared" si="92"/>
        <v>0.52306841222923395</v>
      </c>
      <c r="K181" s="303"/>
      <c r="L181" s="302">
        <v>0.28139702066692562</v>
      </c>
      <c r="M181" s="302">
        <v>9.3338280597316369E-3</v>
      </c>
      <c r="N181" s="302">
        <v>7.0115222805281999E-2</v>
      </c>
      <c r="O181" s="302">
        <f t="shared" si="93"/>
        <v>0.36084607153193926</v>
      </c>
    </row>
    <row r="182" spans="1:15" s="236" customFormat="1" x14ac:dyDescent="0.2">
      <c r="A182" s="237" t="str">
        <f>name!E$7</f>
        <v>Administrative and secretarial occupations</v>
      </c>
      <c r="B182" s="302">
        <v>0.24774898392674943</v>
      </c>
      <c r="C182" s="302">
        <v>1.4705087360374122E-2</v>
      </c>
      <c r="D182" s="302">
        <v>3.8225613751457352E-3</v>
      </c>
      <c r="E182" s="302">
        <f t="shared" si="91"/>
        <v>0.26627663266226931</v>
      </c>
      <c r="F182" s="303"/>
      <c r="G182" s="302">
        <v>0.20959034215844186</v>
      </c>
      <c r="H182" s="302">
        <v>1.921638268311299E-2</v>
      </c>
      <c r="I182" s="302">
        <v>9.7378868370529299E-3</v>
      </c>
      <c r="J182" s="302">
        <f t="shared" si="92"/>
        <v>0.23854461167860777</v>
      </c>
      <c r="K182" s="303"/>
      <c r="L182" s="302">
        <v>0.12334119860037894</v>
      </c>
      <c r="M182" s="302">
        <v>1.1850899560675124E-2</v>
      </c>
      <c r="N182" s="302">
        <v>4.0840321224591292E-3</v>
      </c>
      <c r="O182" s="302">
        <f t="shared" si="93"/>
        <v>0.13927613028351321</v>
      </c>
    </row>
    <row r="183" spans="1:15" s="236" customFormat="1" x14ac:dyDescent="0.2">
      <c r="A183" s="237" t="str">
        <f>name!E$8</f>
        <v>Skilled trades occupations</v>
      </c>
      <c r="B183" s="302">
        <v>0.1027034070102929</v>
      </c>
      <c r="C183" s="302">
        <v>5.3968727100179199E-3</v>
      </c>
      <c r="D183" s="302">
        <v>2.7665242731212233E-2</v>
      </c>
      <c r="E183" s="302">
        <f t="shared" si="91"/>
        <v>0.13576552245152304</v>
      </c>
      <c r="F183" s="303"/>
      <c r="G183" s="302">
        <v>6.5134860577924905E-2</v>
      </c>
      <c r="H183" s="302">
        <v>4.9075514938642746E-3</v>
      </c>
      <c r="I183" s="302">
        <v>5.6943638930479649E-2</v>
      </c>
      <c r="J183" s="302">
        <f>SUM(G183:I183)</f>
        <v>0.12698605100226884</v>
      </c>
      <c r="K183" s="303"/>
      <c r="L183" s="302">
        <v>3.7436647150243155E-2</v>
      </c>
      <c r="M183" s="302">
        <v>3.9117595778843913E-3</v>
      </c>
      <c r="N183" s="302">
        <v>4.2548355940661226E-2</v>
      </c>
      <c r="O183" s="302">
        <f t="shared" si="93"/>
        <v>8.3896762668788774E-2</v>
      </c>
    </row>
    <row r="184" spans="1:15" s="236" customFormat="1" x14ac:dyDescent="0.2">
      <c r="A184" s="237" t="str">
        <f>name!E$9</f>
        <v>Caring, leisure and other service occupations</v>
      </c>
      <c r="B184" s="302">
        <v>3.8740432996156267E-2</v>
      </c>
      <c r="C184" s="302">
        <v>2.6517614176907781E-3</v>
      </c>
      <c r="D184" s="302">
        <v>5.4414061735991595E-3</v>
      </c>
      <c r="E184" s="302">
        <f t="shared" si="91"/>
        <v>4.6833600587446206E-2</v>
      </c>
      <c r="F184" s="303"/>
      <c r="G184" s="302">
        <v>2.9676047843965592E-2</v>
      </c>
      <c r="H184" s="302">
        <v>3.3175281576152444E-3</v>
      </c>
      <c r="I184" s="302">
        <v>2.6897622926232635E-2</v>
      </c>
      <c r="J184" s="302">
        <f t="shared" ref="J184:J187" si="94">SUM(G184:I184)</f>
        <v>5.9891198927813472E-2</v>
      </c>
      <c r="K184" s="303"/>
      <c r="L184" s="302">
        <v>2.0925492379787993E-2</v>
      </c>
      <c r="M184" s="302">
        <v>2.56673270311952E-3</v>
      </c>
      <c r="N184" s="302">
        <v>1.5531319915243891E-2</v>
      </c>
      <c r="O184" s="302">
        <f t="shared" si="93"/>
        <v>3.9023544998151402E-2</v>
      </c>
    </row>
    <row r="185" spans="1:15" s="236" customFormat="1" x14ac:dyDescent="0.2">
      <c r="A185" s="237" t="str">
        <f>name!E$10</f>
        <v>Sales and customer service occupations</v>
      </c>
      <c r="B185" s="302">
        <v>8.1404693614477247E-2</v>
      </c>
      <c r="C185" s="302">
        <v>8.0063025971243394E-3</v>
      </c>
      <c r="D185" s="302">
        <v>3.4760993542673783E-3</v>
      </c>
      <c r="E185" s="302">
        <f t="shared" si="91"/>
        <v>9.2887095565868966E-2</v>
      </c>
      <c r="F185" s="303"/>
      <c r="G185" s="302">
        <v>6.3287841823396918E-2</v>
      </c>
      <c r="H185" s="302">
        <v>1.016827980616046E-2</v>
      </c>
      <c r="I185" s="302">
        <v>9.0054831246907472E-3</v>
      </c>
      <c r="J185" s="302">
        <f t="shared" si="94"/>
        <v>8.246160475424813E-2</v>
      </c>
      <c r="K185" s="303"/>
      <c r="L185" s="302">
        <v>4.6280268169642605E-2</v>
      </c>
      <c r="M185" s="302">
        <v>7.0116443511928379E-3</v>
      </c>
      <c r="N185" s="302">
        <v>3.2796844393379061E-3</v>
      </c>
      <c r="O185" s="302">
        <f t="shared" si="93"/>
        <v>5.6571596960173345E-2</v>
      </c>
    </row>
    <row r="186" spans="1:15" s="236" customFormat="1" x14ac:dyDescent="0.2">
      <c r="A186" s="237" t="str">
        <f>name!E$11</f>
        <v>Process, plant and machine operatives</v>
      </c>
      <c r="B186" s="302">
        <v>0.27437516455676025</v>
      </c>
      <c r="C186" s="302">
        <v>1.247702035539529E-2</v>
      </c>
      <c r="D186" s="302">
        <v>1.3539153443421815E-2</v>
      </c>
      <c r="E186" s="302">
        <f t="shared" si="91"/>
        <v>0.30039133835557735</v>
      </c>
      <c r="F186" s="303"/>
      <c r="G186" s="302">
        <v>0.18209865624378146</v>
      </c>
      <c r="H186" s="302">
        <v>1.3136176972595939E-2</v>
      </c>
      <c r="I186" s="302">
        <v>5.2241568246303861E-2</v>
      </c>
      <c r="J186" s="302">
        <f t="shared" si="94"/>
        <v>0.24747640146268127</v>
      </c>
      <c r="K186" s="303"/>
      <c r="L186" s="302">
        <v>0.11971016699758483</v>
      </c>
      <c r="M186" s="302">
        <v>1.5031093735825899E-2</v>
      </c>
      <c r="N186" s="302">
        <v>3.5330831469666854E-2</v>
      </c>
      <c r="O186" s="302">
        <f t="shared" si="93"/>
        <v>0.17007209220307756</v>
      </c>
    </row>
    <row r="187" spans="1:15" s="236" customFormat="1" x14ac:dyDescent="0.2">
      <c r="A187" s="237" t="str">
        <f>name!E$12</f>
        <v>Elementary occupations</v>
      </c>
      <c r="B187" s="302">
        <v>0.18895208010573394</v>
      </c>
      <c r="C187" s="302">
        <v>2.3049713227751133E-2</v>
      </c>
      <c r="D187" s="302">
        <v>2.9620611663050217E-2</v>
      </c>
      <c r="E187" s="302">
        <f t="shared" si="91"/>
        <v>0.24162240499653528</v>
      </c>
      <c r="F187" s="303"/>
      <c r="G187" s="302">
        <v>0.11888056182398526</v>
      </c>
      <c r="H187" s="302">
        <v>2.5131671750324821E-2</v>
      </c>
      <c r="I187" s="302">
        <v>7.9356563139173719E-2</v>
      </c>
      <c r="J187" s="302">
        <f t="shared" si="94"/>
        <v>0.22336879671348381</v>
      </c>
      <c r="K187" s="303"/>
      <c r="L187" s="302">
        <v>5.6266915869076395E-2</v>
      </c>
      <c r="M187" s="302">
        <v>1.4434123587320652E-2</v>
      </c>
      <c r="N187" s="302">
        <v>6.6020115967808921E-2</v>
      </c>
      <c r="O187" s="302">
        <f t="shared" si="93"/>
        <v>0.13672115542420599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32</v>
      </c>
      <c r="B189" s="311">
        <f>SUM(B179:B187)</f>
        <v>2.5029999999984085</v>
      </c>
      <c r="C189" s="311">
        <f t="shared" ref="C189:E189" si="95">SUM(C179:C187)</f>
        <v>9.1000000002460363E-2</v>
      </c>
      <c r="D189" s="311">
        <f t="shared" si="95"/>
        <v>0.20700000000360838</v>
      </c>
      <c r="E189" s="311">
        <f t="shared" si="95"/>
        <v>2.8010000000044775</v>
      </c>
      <c r="F189" s="311"/>
      <c r="G189" s="311">
        <f t="shared" ref="G189:J189" si="96">SUM(G179:G187)</f>
        <v>2.1689999999885816</v>
      </c>
      <c r="H189" s="311">
        <f t="shared" si="96"/>
        <v>0.11999999999889704</v>
      </c>
      <c r="I189" s="311">
        <f t="shared" si="96"/>
        <v>0.63100000000127743</v>
      </c>
      <c r="J189" s="311">
        <f t="shared" si="96"/>
        <v>2.9199999999887556</v>
      </c>
      <c r="K189" s="311"/>
      <c r="L189" s="311">
        <f t="shared" ref="L189:O189" si="97">SUM(L179:L187)</f>
        <v>1.4869999999964474</v>
      </c>
      <c r="M189" s="311">
        <f t="shared" si="97"/>
        <v>8.6999999998112962E-2</v>
      </c>
      <c r="N189" s="311">
        <f t="shared" si="97"/>
        <v>0.43000000000189076</v>
      </c>
      <c r="O189" s="311">
        <f t="shared" si="97"/>
        <v>2.0039999999964513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35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name!A14</f>
        <v>Pharmaceuticals</v>
      </c>
      <c r="B193" s="374">
        <f>$B$6</f>
        <v>2015</v>
      </c>
      <c r="C193" s="374"/>
      <c r="D193" s="374"/>
      <c r="E193" s="374"/>
      <c r="F193" s="263"/>
      <c r="G193" s="374">
        <f>$G$6</f>
        <v>2020</v>
      </c>
      <c r="H193" s="374"/>
      <c r="I193" s="374"/>
      <c r="J193" s="374"/>
      <c r="K193" s="263"/>
      <c r="L193" s="374">
        <f>$L$6</f>
        <v>2035</v>
      </c>
      <c r="M193" s="374"/>
      <c r="N193" s="374"/>
      <c r="O193" s="374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0.24964083248079028</v>
      </c>
      <c r="C196" s="302">
        <v>8.6082162537098311E-3</v>
      </c>
      <c r="D196" s="302">
        <v>2.653727252933424E-2</v>
      </c>
      <c r="E196" s="302">
        <f>SUM(B196:D196)</f>
        <v>0.28478632126383435</v>
      </c>
      <c r="F196" s="303"/>
      <c r="G196" s="302">
        <v>0.21643610121013951</v>
      </c>
      <c r="H196" s="302">
        <v>4.2101208428299642E-3</v>
      </c>
      <c r="I196" s="302">
        <v>9.4568961253708783E-2</v>
      </c>
      <c r="J196" s="302">
        <f>SUM(G196:I196)</f>
        <v>0.31521518330667825</v>
      </c>
      <c r="K196" s="303"/>
      <c r="L196" s="302">
        <v>0.16345987821600125</v>
      </c>
      <c r="M196" s="302">
        <v>4.7125634676273686E-3</v>
      </c>
      <c r="N196" s="302">
        <v>9.6838081360163822E-2</v>
      </c>
      <c r="O196" s="302">
        <f>SUM(L196:N196)</f>
        <v>0.26501052304379241</v>
      </c>
    </row>
    <row r="197" spans="1:15" s="236" customFormat="1" x14ac:dyDescent="0.2">
      <c r="A197" s="237" t="str">
        <f>name!E$5</f>
        <v>Professional occupations</v>
      </c>
      <c r="B197" s="302">
        <v>0.85547407797418995</v>
      </c>
      <c r="C197" s="302">
        <v>1.8821275972004732E-2</v>
      </c>
      <c r="D197" s="302">
        <v>3.9409812469651986E-2</v>
      </c>
      <c r="E197" s="302">
        <f t="shared" ref="E197:E204" si="98">SUM(B197:D197)</f>
        <v>0.91370516641584676</v>
      </c>
      <c r="F197" s="303"/>
      <c r="G197" s="302">
        <v>0.87809312684988972</v>
      </c>
      <c r="H197" s="302">
        <v>1.0577173356751813E-2</v>
      </c>
      <c r="I197" s="302">
        <v>9.713744598786847E-2</v>
      </c>
      <c r="J197" s="302">
        <f t="shared" ref="J197:J199" si="99">SUM(G197:I197)</f>
        <v>0.98580774619450995</v>
      </c>
      <c r="K197" s="303"/>
      <c r="L197" s="302">
        <v>0.71995380526155717</v>
      </c>
      <c r="M197" s="302">
        <v>1.0955324346476445E-2</v>
      </c>
      <c r="N197" s="302">
        <v>7.1611623456953141E-2</v>
      </c>
      <c r="O197" s="302">
        <f t="shared" ref="O197:O204" si="100">SUM(L197:N197)</f>
        <v>0.80252075306498671</v>
      </c>
    </row>
    <row r="198" spans="1:15" s="236" customFormat="1" x14ac:dyDescent="0.2">
      <c r="A198" s="237" t="str">
        <f>name!E$6</f>
        <v>Associate professional occupations</v>
      </c>
      <c r="B198" s="302">
        <v>0.35368273465779987</v>
      </c>
      <c r="C198" s="302">
        <v>1.6231636356666784E-2</v>
      </c>
      <c r="D198" s="302">
        <v>2.950770840512023E-2</v>
      </c>
      <c r="E198" s="302">
        <f t="shared" si="98"/>
        <v>0.39942207941958691</v>
      </c>
      <c r="F198" s="303"/>
      <c r="G198" s="302">
        <v>0.33122790646040801</v>
      </c>
      <c r="H198" s="302">
        <v>6.9471695331387671E-3</v>
      </c>
      <c r="I198" s="302">
        <v>8.8095278737208446E-2</v>
      </c>
      <c r="J198" s="302">
        <f t="shared" si="99"/>
        <v>0.42627035473075525</v>
      </c>
      <c r="K198" s="303"/>
      <c r="L198" s="302">
        <v>0.23530842221539602</v>
      </c>
      <c r="M198" s="302">
        <v>6.3539014532704918E-3</v>
      </c>
      <c r="N198" s="302">
        <v>8.353372433750017E-2</v>
      </c>
      <c r="O198" s="302">
        <f t="shared" si="100"/>
        <v>0.32519604800616669</v>
      </c>
    </row>
    <row r="199" spans="1:15" s="236" customFormat="1" x14ac:dyDescent="0.2">
      <c r="A199" s="237" t="str">
        <f>name!E$7</f>
        <v>Administrative and secretarial occupations</v>
      </c>
      <c r="B199" s="302">
        <v>9.4212150566277963E-2</v>
      </c>
      <c r="C199" s="302">
        <v>5.6644245677319677E-3</v>
      </c>
      <c r="D199" s="302">
        <v>4.9072261266915876E-3</v>
      </c>
      <c r="E199" s="302">
        <f t="shared" si="98"/>
        <v>0.10478380126070153</v>
      </c>
      <c r="F199" s="303"/>
      <c r="G199" s="302">
        <v>7.6254747621277416E-2</v>
      </c>
      <c r="H199" s="302">
        <v>2.3134927577331244E-3</v>
      </c>
      <c r="I199" s="302">
        <v>9.9734101602350165E-3</v>
      </c>
      <c r="J199" s="302">
        <f t="shared" si="99"/>
        <v>8.8541650539245564E-2</v>
      </c>
      <c r="K199" s="303"/>
      <c r="L199" s="302">
        <v>4.0831739997961081E-2</v>
      </c>
      <c r="M199" s="302">
        <v>1.6347343209017046E-3</v>
      </c>
      <c r="N199" s="302">
        <v>9.7546397346856325E-3</v>
      </c>
      <c r="O199" s="302">
        <f t="shared" si="100"/>
        <v>5.2221114053548422E-2</v>
      </c>
    </row>
    <row r="200" spans="1:15" s="236" customFormat="1" x14ac:dyDescent="0.2">
      <c r="A200" s="237" t="str">
        <f>name!E$8</f>
        <v>Skilled trades occupations</v>
      </c>
      <c r="B200" s="302">
        <v>7.1126539285359378E-2</v>
      </c>
      <c r="C200" s="302">
        <v>1.0752285888370927E-2</v>
      </c>
      <c r="D200" s="302">
        <v>1.5060751851223315E-2</v>
      </c>
      <c r="E200" s="302">
        <f t="shared" si="98"/>
        <v>9.6939577024953621E-2</v>
      </c>
      <c r="F200" s="303"/>
      <c r="G200" s="302">
        <v>4.4582207561683983E-2</v>
      </c>
      <c r="H200" s="302">
        <v>1.2017827670908838E-3</v>
      </c>
      <c r="I200" s="302">
        <v>3.4320102832538189E-2</v>
      </c>
      <c r="J200" s="302">
        <f>SUM(G200:I200)</f>
        <v>8.0104093161313061E-2</v>
      </c>
      <c r="K200" s="303"/>
      <c r="L200" s="302">
        <v>2.9573841976154897E-2</v>
      </c>
      <c r="M200" s="302">
        <v>1.9737352171052729E-3</v>
      </c>
      <c r="N200" s="302">
        <v>3.2707105448974087E-2</v>
      </c>
      <c r="O200" s="302">
        <f t="shared" si="100"/>
        <v>6.4254682642234259E-2</v>
      </c>
    </row>
    <row r="201" spans="1:15" s="236" customFormat="1" x14ac:dyDescent="0.2">
      <c r="A201" s="237" t="str">
        <f>name!E$9</f>
        <v>Caring, leisure and other service occupations</v>
      </c>
      <c r="B201" s="302">
        <v>2.6702735697436381E-2</v>
      </c>
      <c r="C201" s="302">
        <v>4.1038541255799836E-3</v>
      </c>
      <c r="D201" s="302">
        <v>4.5472580480107588E-3</v>
      </c>
      <c r="E201" s="302">
        <f t="shared" si="98"/>
        <v>3.5353847871027126E-2</v>
      </c>
      <c r="F201" s="303"/>
      <c r="G201" s="302">
        <v>2.0239691564007858E-2</v>
      </c>
      <c r="H201" s="302">
        <v>1.1690239191618913E-3</v>
      </c>
      <c r="I201" s="302">
        <v>5.9193637368571087E-3</v>
      </c>
      <c r="J201" s="302">
        <f t="shared" ref="J201:J204" si="101">SUM(G201:I201)</f>
        <v>2.7328079220026856E-2</v>
      </c>
      <c r="K201" s="303"/>
      <c r="L201" s="302">
        <v>1.2789255501308064E-2</v>
      </c>
      <c r="M201" s="302">
        <v>9.8665074746222682E-4</v>
      </c>
      <c r="N201" s="302">
        <v>7.3002252963161145E-3</v>
      </c>
      <c r="O201" s="302">
        <f t="shared" si="100"/>
        <v>2.1076131545086405E-2</v>
      </c>
    </row>
    <row r="202" spans="1:15" s="236" customFormat="1" x14ac:dyDescent="0.2">
      <c r="A202" s="237" t="str">
        <f>name!E$10</f>
        <v>Sales and customer service occupations</v>
      </c>
      <c r="B202" s="302">
        <v>3.4750881222541337E-2</v>
      </c>
      <c r="C202" s="302">
        <v>3.9437764037523184E-3</v>
      </c>
      <c r="D202" s="302">
        <v>7.825910107731095E-3</v>
      </c>
      <c r="E202" s="302">
        <f t="shared" si="98"/>
        <v>4.6520567734024749E-2</v>
      </c>
      <c r="F202" s="303"/>
      <c r="G202" s="302">
        <v>2.7558179951201502E-2</v>
      </c>
      <c r="H202" s="302">
        <v>1.0443503020452719E-3</v>
      </c>
      <c r="I202" s="302">
        <v>1.4278026720045304E-2</v>
      </c>
      <c r="J202" s="302">
        <f t="shared" si="101"/>
        <v>4.2880556973292072E-2</v>
      </c>
      <c r="K202" s="303"/>
      <c r="L202" s="302">
        <v>2.1222869825935332E-2</v>
      </c>
      <c r="M202" s="302">
        <v>9.9916421302105986E-4</v>
      </c>
      <c r="N202" s="302">
        <v>1.1319746739997938E-2</v>
      </c>
      <c r="O202" s="302">
        <f t="shared" si="100"/>
        <v>3.3541780778954332E-2</v>
      </c>
    </row>
    <row r="203" spans="1:15" s="236" customFormat="1" x14ac:dyDescent="0.2">
      <c r="A203" s="237" t="str">
        <f>name!E$11</f>
        <v>Process, plant and machine operatives</v>
      </c>
      <c r="B203" s="302">
        <v>5.3957245970545173E-2</v>
      </c>
      <c r="C203" s="302">
        <v>1.3799945514470823E-2</v>
      </c>
      <c r="D203" s="302">
        <v>2.7869548258779665E-2</v>
      </c>
      <c r="E203" s="302">
        <f t="shared" si="98"/>
        <v>9.5626739743795652E-2</v>
      </c>
      <c r="F203" s="303"/>
      <c r="G203" s="302">
        <v>3.2357794317397701E-2</v>
      </c>
      <c r="H203" s="302">
        <v>2.5292354893338594E-3</v>
      </c>
      <c r="I203" s="302">
        <v>7.8929140276406254E-2</v>
      </c>
      <c r="J203" s="302">
        <f t="shared" si="101"/>
        <v>0.11381617008313781</v>
      </c>
      <c r="K203" s="303"/>
      <c r="L203" s="302">
        <v>1.8251348689566824E-2</v>
      </c>
      <c r="M203" s="302">
        <v>3.080782973257098E-3</v>
      </c>
      <c r="N203" s="302">
        <v>7.1917107866549826E-2</v>
      </c>
      <c r="O203" s="302">
        <f t="shared" si="100"/>
        <v>9.3249239529373751E-2</v>
      </c>
    </row>
    <row r="204" spans="1:15" s="236" customFormat="1" x14ac:dyDescent="0.2">
      <c r="A204" s="237" t="str">
        <f>name!E$12</f>
        <v>Elementary occupations</v>
      </c>
      <c r="B204" s="302">
        <v>5.2452802130385306E-2</v>
      </c>
      <c r="C204" s="302">
        <v>2.7074584920214684E-2</v>
      </c>
      <c r="D204" s="302">
        <v>8.4334512209314996E-2</v>
      </c>
      <c r="E204" s="302">
        <f t="shared" si="98"/>
        <v>0.16386189925991498</v>
      </c>
      <c r="F204" s="303"/>
      <c r="G204" s="302">
        <v>3.2250244471787738E-2</v>
      </c>
      <c r="H204" s="302">
        <v>4.0076510314570515E-3</v>
      </c>
      <c r="I204" s="302">
        <v>5.9778270297449594E-2</v>
      </c>
      <c r="J204" s="302">
        <f t="shared" si="101"/>
        <v>9.6036165800694379E-2</v>
      </c>
      <c r="K204" s="303"/>
      <c r="L204" s="302">
        <v>1.7608838324117328E-2</v>
      </c>
      <c r="M204" s="302">
        <v>3.3031432602332301E-3</v>
      </c>
      <c r="N204" s="302">
        <v>5.001774576560112E-2</v>
      </c>
      <c r="O204" s="302">
        <f t="shared" si="100"/>
        <v>7.0929727349951677E-2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32</v>
      </c>
      <c r="B206" s="311">
        <f>SUM(B196:B204)</f>
        <v>1.7919999999853256</v>
      </c>
      <c r="C206" s="311">
        <f t="shared" ref="C206:E206" si="102">SUM(C196:C204)</f>
        <v>0.10900000000250204</v>
      </c>
      <c r="D206" s="311">
        <f t="shared" si="102"/>
        <v>0.24000000000585786</v>
      </c>
      <c r="E206" s="311">
        <f t="shared" si="102"/>
        <v>2.1409999999936855</v>
      </c>
      <c r="F206" s="311"/>
      <c r="G206" s="311">
        <f t="shared" ref="G206:J206" si="103">SUM(G196:G204)</f>
        <v>1.6590000000077934</v>
      </c>
      <c r="H206" s="311">
        <f t="shared" si="103"/>
        <v>3.3999999999542625E-2</v>
      </c>
      <c r="I206" s="311">
        <f t="shared" si="103"/>
        <v>0.48300000000231708</v>
      </c>
      <c r="J206" s="311">
        <f t="shared" si="103"/>
        <v>2.1760000000096529</v>
      </c>
      <c r="K206" s="311"/>
      <c r="L206" s="311">
        <f t="shared" ref="L206:O206" si="104">SUM(L196:L204)</f>
        <v>1.2590000000079977</v>
      </c>
      <c r="M206" s="311">
        <f t="shared" si="104"/>
        <v>3.3999999999354893E-2</v>
      </c>
      <c r="N206" s="311">
        <f t="shared" si="104"/>
        <v>0.43500000000674188</v>
      </c>
      <c r="O206" s="311">
        <f t="shared" si="104"/>
        <v>1.7280000000140949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35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name!A15</f>
        <v>Rubber and plastic</v>
      </c>
      <c r="B210" s="374">
        <f>$B$6</f>
        <v>2015</v>
      </c>
      <c r="C210" s="374"/>
      <c r="D210" s="374"/>
      <c r="E210" s="374"/>
      <c r="F210" s="263"/>
      <c r="G210" s="374">
        <f>$G$6</f>
        <v>2020</v>
      </c>
      <c r="H210" s="374"/>
      <c r="I210" s="374"/>
      <c r="J210" s="374"/>
      <c r="K210" s="263"/>
      <c r="L210" s="374">
        <f>$L$6</f>
        <v>2035</v>
      </c>
      <c r="M210" s="374"/>
      <c r="N210" s="374"/>
      <c r="O210" s="374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0.92841271650377422</v>
      </c>
      <c r="C213" s="302">
        <v>0.14115584426309741</v>
      </c>
      <c r="D213" s="302">
        <v>0.1998284240537879</v>
      </c>
      <c r="E213" s="302">
        <f>SUM(B213:D213)</f>
        <v>1.2693969848206597</v>
      </c>
      <c r="F213" s="303"/>
      <c r="G213" s="302">
        <v>1.0822297386957518</v>
      </c>
      <c r="H213" s="302">
        <v>4.8830731973329412E-2</v>
      </c>
      <c r="I213" s="302">
        <v>0.39116130921521419</v>
      </c>
      <c r="J213" s="302">
        <f>SUM(G213:I213)</f>
        <v>1.5222217798842954</v>
      </c>
      <c r="K213" s="303"/>
      <c r="L213" s="302">
        <v>1.0891455604887263</v>
      </c>
      <c r="M213" s="302">
        <v>5.5808296112906192E-2</v>
      </c>
      <c r="N213" s="302">
        <v>0.41627461958447659</v>
      </c>
      <c r="O213" s="302">
        <f>SUM(L213:N213)</f>
        <v>1.5612284761861093</v>
      </c>
    </row>
    <row r="214" spans="1:15" s="236" customFormat="1" x14ac:dyDescent="0.2">
      <c r="A214" s="237" t="str">
        <f>name!E$5</f>
        <v>Professional occupations</v>
      </c>
      <c r="B214" s="302">
        <v>0.81295348369970721</v>
      </c>
      <c r="C214" s="302">
        <v>8.6302425546112629E-2</v>
      </c>
      <c r="D214" s="302">
        <v>9.5731434494277526E-2</v>
      </c>
      <c r="E214" s="302">
        <f t="shared" ref="E214:E221" si="105">SUM(B214:D214)</f>
        <v>0.99498734374009745</v>
      </c>
      <c r="F214" s="303"/>
      <c r="G214" s="302">
        <v>1.1017918529009976</v>
      </c>
      <c r="H214" s="302">
        <v>2.9142685859744968E-2</v>
      </c>
      <c r="I214" s="302">
        <v>0.14168733491224869</v>
      </c>
      <c r="J214" s="302">
        <f t="shared" ref="J214:J216" si="106">SUM(G214:I214)</f>
        <v>1.2726218736729913</v>
      </c>
      <c r="K214" s="303"/>
      <c r="L214" s="302">
        <v>1.2914889565641088</v>
      </c>
      <c r="M214" s="302">
        <v>3.1317378487790572E-2</v>
      </c>
      <c r="N214" s="302">
        <v>0.13523257320923443</v>
      </c>
      <c r="O214" s="302">
        <f t="shared" ref="O214:O221" si="107">SUM(L214:N214)</f>
        <v>1.4580389082611336</v>
      </c>
    </row>
    <row r="215" spans="1:15" s="236" customFormat="1" x14ac:dyDescent="0.2">
      <c r="A215" s="237" t="str">
        <f>name!E$6</f>
        <v>Associate professional occupations</v>
      </c>
      <c r="B215" s="302">
        <v>0.80201448093787719</v>
      </c>
      <c r="C215" s="302">
        <v>0.10492896969466178</v>
      </c>
      <c r="D215" s="302">
        <v>0.11091711626285215</v>
      </c>
      <c r="E215" s="302">
        <f t="shared" si="105"/>
        <v>1.0178605668953911</v>
      </c>
      <c r="F215" s="303"/>
      <c r="G215" s="302">
        <v>0.97891535833394105</v>
      </c>
      <c r="H215" s="302">
        <v>3.062657483894311E-2</v>
      </c>
      <c r="I215" s="302">
        <v>0.13357953881422932</v>
      </c>
      <c r="J215" s="302">
        <f t="shared" si="106"/>
        <v>1.1431214719871134</v>
      </c>
      <c r="K215" s="303"/>
      <c r="L215" s="302">
        <v>0.92736597559475054</v>
      </c>
      <c r="M215" s="302">
        <v>2.6948628541845845E-2</v>
      </c>
      <c r="N215" s="302">
        <v>0.13278598831874461</v>
      </c>
      <c r="O215" s="302">
        <f t="shared" si="107"/>
        <v>1.087100592455341</v>
      </c>
    </row>
    <row r="216" spans="1:15" s="236" customFormat="1" x14ac:dyDescent="0.2">
      <c r="A216" s="237" t="str">
        <f>name!E$7</f>
        <v>Administrative and secretarial occupations</v>
      </c>
      <c r="B216" s="302">
        <v>0.48033093015133232</v>
      </c>
      <c r="C216" s="302">
        <v>0.35497810279172726</v>
      </c>
      <c r="D216" s="302">
        <v>2.5648210029687441E-2</v>
      </c>
      <c r="E216" s="302">
        <f t="shared" si="105"/>
        <v>0.86095724297274701</v>
      </c>
      <c r="F216" s="303"/>
      <c r="G216" s="302">
        <v>0.52565755001060255</v>
      </c>
      <c r="H216" s="302">
        <v>8.691085195121416E-2</v>
      </c>
      <c r="I216" s="302">
        <v>2.7604262227795197E-2</v>
      </c>
      <c r="J216" s="302">
        <f t="shared" si="106"/>
        <v>0.64017266418961194</v>
      </c>
      <c r="K216" s="303"/>
      <c r="L216" s="302">
        <v>0.38804105128357047</v>
      </c>
      <c r="M216" s="302">
        <v>6.7109000360928803E-2</v>
      </c>
      <c r="N216" s="302">
        <v>1.8716885082216209E-2</v>
      </c>
      <c r="O216" s="302">
        <f t="shared" si="107"/>
        <v>0.47386693672671548</v>
      </c>
    </row>
    <row r="217" spans="1:15" s="236" customFormat="1" x14ac:dyDescent="0.2">
      <c r="A217" s="237" t="str">
        <f>name!E$8</f>
        <v>Skilled trades occupations</v>
      </c>
      <c r="B217" s="302">
        <v>0.67274578722414502</v>
      </c>
      <c r="C217" s="302">
        <v>0.17180678609014938</v>
      </c>
      <c r="D217" s="302">
        <v>0.20953717374429986</v>
      </c>
      <c r="E217" s="302">
        <f t="shared" si="105"/>
        <v>1.0540897470585944</v>
      </c>
      <c r="F217" s="303"/>
      <c r="G217" s="302">
        <v>0.55440418974082828</v>
      </c>
      <c r="H217" s="302">
        <v>2.592926599296811E-2</v>
      </c>
      <c r="I217" s="302">
        <v>0.21209075094015442</v>
      </c>
      <c r="J217" s="302">
        <f>SUM(G217:I217)</f>
        <v>0.79242420667395075</v>
      </c>
      <c r="K217" s="303"/>
      <c r="L217" s="302">
        <v>0.45525794734684649</v>
      </c>
      <c r="M217" s="302">
        <v>3.2326182709639655E-2</v>
      </c>
      <c r="N217" s="302">
        <v>0.14975517338147912</v>
      </c>
      <c r="O217" s="302">
        <f t="shared" si="107"/>
        <v>0.6373393034379653</v>
      </c>
    </row>
    <row r="218" spans="1:15" s="236" customFormat="1" x14ac:dyDescent="0.2">
      <c r="A218" s="237" t="str">
        <f>name!E$9</f>
        <v>Caring, leisure and other service occupations</v>
      </c>
      <c r="B218" s="302">
        <v>0.12035595871060098</v>
      </c>
      <c r="C218" s="302">
        <v>0.12172902507920745</v>
      </c>
      <c r="D218" s="302">
        <v>5.8765536258170003E-3</v>
      </c>
      <c r="E218" s="302">
        <f t="shared" si="105"/>
        <v>0.2479615374156254</v>
      </c>
      <c r="F218" s="303"/>
      <c r="G218" s="302">
        <v>0.13472220395160836</v>
      </c>
      <c r="H218" s="302">
        <v>2.8638035822535057E-2</v>
      </c>
      <c r="I218" s="302">
        <v>7.9306474590488344E-3</v>
      </c>
      <c r="J218" s="302">
        <f t="shared" ref="J218:J221" si="108">SUM(G218:I218)</f>
        <v>0.17129088723319225</v>
      </c>
      <c r="K218" s="303"/>
      <c r="L218" s="302">
        <v>0.18072167704402919</v>
      </c>
      <c r="M218" s="302">
        <v>2.8539253485532885E-2</v>
      </c>
      <c r="N218" s="302">
        <v>7.8966905462123389E-3</v>
      </c>
      <c r="O218" s="302">
        <f t="shared" si="107"/>
        <v>0.21715762107577441</v>
      </c>
    </row>
    <row r="219" spans="1:15" s="236" customFormat="1" x14ac:dyDescent="0.2">
      <c r="A219" s="237" t="str">
        <f>name!E$10</f>
        <v>Sales and customer service occupations</v>
      </c>
      <c r="B219" s="302">
        <v>0.2040899027054224</v>
      </c>
      <c r="C219" s="302">
        <v>8.8365031032623886E-2</v>
      </c>
      <c r="D219" s="302">
        <v>1.9185353897720837E-2</v>
      </c>
      <c r="E219" s="302">
        <f t="shared" si="105"/>
        <v>0.31164028763576718</v>
      </c>
      <c r="F219" s="303"/>
      <c r="G219" s="302">
        <v>0.20633971855500866</v>
      </c>
      <c r="H219" s="302">
        <v>2.0440524866915048E-2</v>
      </c>
      <c r="I219" s="302">
        <v>2.1084014970204047E-2</v>
      </c>
      <c r="J219" s="302">
        <f t="shared" si="108"/>
        <v>0.24786425839212775</v>
      </c>
      <c r="K219" s="303"/>
      <c r="L219" s="302">
        <v>0.215260135474175</v>
      </c>
      <c r="M219" s="302">
        <v>1.8155717475688844E-2</v>
      </c>
      <c r="N219" s="302">
        <v>1.3014363029723249E-2</v>
      </c>
      <c r="O219" s="302">
        <f t="shared" si="107"/>
        <v>0.24643021597958709</v>
      </c>
    </row>
    <row r="220" spans="1:15" s="236" customFormat="1" x14ac:dyDescent="0.2">
      <c r="A220" s="237" t="str">
        <f>name!E$11</f>
        <v>Process, plant and machine operatives</v>
      </c>
      <c r="B220" s="302">
        <v>0.72700062885405281</v>
      </c>
      <c r="C220" s="302">
        <v>0.31076526459723092</v>
      </c>
      <c r="D220" s="302">
        <v>9.1573450346799617E-2</v>
      </c>
      <c r="E220" s="302">
        <f t="shared" si="105"/>
        <v>1.1293393437980832</v>
      </c>
      <c r="F220" s="303"/>
      <c r="G220" s="302">
        <v>0.62832206359029552</v>
      </c>
      <c r="H220" s="302">
        <v>6.1704872078455243E-2</v>
      </c>
      <c r="I220" s="302">
        <v>0.17194328469783604</v>
      </c>
      <c r="J220" s="302">
        <f t="shared" si="108"/>
        <v>0.86197022036658677</v>
      </c>
      <c r="K220" s="303"/>
      <c r="L220" s="302">
        <v>0.54108140438150165</v>
      </c>
      <c r="M220" s="302">
        <v>9.319042903666977E-2</v>
      </c>
      <c r="N220" s="302">
        <v>0.19359876277962434</v>
      </c>
      <c r="O220" s="302">
        <f t="shared" si="107"/>
        <v>0.82787059619779568</v>
      </c>
    </row>
    <row r="221" spans="1:15" s="236" customFormat="1" x14ac:dyDescent="0.2">
      <c r="A221" s="237" t="str">
        <f>name!E$12</f>
        <v>Elementary occupations</v>
      </c>
      <c r="B221" s="302">
        <v>0.62109611125475683</v>
      </c>
      <c r="C221" s="302">
        <v>0.20896855095017941</v>
      </c>
      <c r="D221" s="302">
        <v>1.1702283550174651E-2</v>
      </c>
      <c r="E221" s="302">
        <f t="shared" si="105"/>
        <v>0.84176694575511091</v>
      </c>
      <c r="F221" s="303"/>
      <c r="G221" s="302">
        <v>0.51861732415499284</v>
      </c>
      <c r="H221" s="302">
        <v>4.1776456610469158E-2</v>
      </c>
      <c r="I221" s="302">
        <v>1.1918856769963888E-2</v>
      </c>
      <c r="J221" s="302">
        <f t="shared" si="108"/>
        <v>0.57231263753542583</v>
      </c>
      <c r="K221" s="303"/>
      <c r="L221" s="302">
        <v>0.3506372917643964</v>
      </c>
      <c r="M221" s="302">
        <v>2.9605113780087434E-2</v>
      </c>
      <c r="N221" s="302">
        <v>1.2724944086605088E-2</v>
      </c>
      <c r="O221" s="302">
        <f t="shared" si="107"/>
        <v>0.39296734963108892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32</v>
      </c>
      <c r="B223" s="311">
        <f>SUM(B213:B221)</f>
        <v>5.3690000000416696</v>
      </c>
      <c r="C223" s="311">
        <f t="shared" ref="C223:E223" si="109">SUM(C213:C221)</f>
        <v>1.5890000000449902</v>
      </c>
      <c r="D223" s="311">
        <f t="shared" si="109"/>
        <v>0.77000000000541691</v>
      </c>
      <c r="E223" s="311">
        <f t="shared" si="109"/>
        <v>7.7280000000920754</v>
      </c>
      <c r="F223" s="311"/>
      <c r="G223" s="311">
        <f t="shared" ref="G223:J223" si="110">SUM(G213:G221)</f>
        <v>5.730999999934026</v>
      </c>
      <c r="H223" s="311">
        <f t="shared" si="110"/>
        <v>0.37399999999457428</v>
      </c>
      <c r="I223" s="311">
        <f t="shared" si="110"/>
        <v>1.1190000000066949</v>
      </c>
      <c r="J223" s="311">
        <f t="shared" si="110"/>
        <v>7.2239999999352946</v>
      </c>
      <c r="K223" s="311"/>
      <c r="L223" s="311">
        <f t="shared" ref="L223:O223" si="111">SUM(L213:L221)</f>
        <v>5.438999999942105</v>
      </c>
      <c r="M223" s="311">
        <f t="shared" si="111"/>
        <v>0.38299999999109002</v>
      </c>
      <c r="N223" s="311">
        <f t="shared" si="111"/>
        <v>1.0800000000183159</v>
      </c>
      <c r="O223" s="311">
        <f t="shared" si="111"/>
        <v>6.9019999999515118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35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name!A16</f>
        <v>Other non-metallic</v>
      </c>
      <c r="B227" s="374">
        <f>$B$6</f>
        <v>2015</v>
      </c>
      <c r="C227" s="374"/>
      <c r="D227" s="374"/>
      <c r="E227" s="374"/>
      <c r="F227" s="263"/>
      <c r="G227" s="374">
        <f>$G$6</f>
        <v>2020</v>
      </c>
      <c r="H227" s="374"/>
      <c r="I227" s="374"/>
      <c r="J227" s="374"/>
      <c r="K227" s="263"/>
      <c r="L227" s="374">
        <f>$L$6</f>
        <v>2035</v>
      </c>
      <c r="M227" s="374"/>
      <c r="N227" s="374"/>
      <c r="O227" s="374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0.66971462852492936</v>
      </c>
      <c r="C230" s="302">
        <v>4.6156091208223058E-3</v>
      </c>
      <c r="D230" s="302">
        <v>8.1635852131661329E-2</v>
      </c>
      <c r="E230" s="302">
        <f>SUM(B230:D230)</f>
        <v>0.75596608977741298</v>
      </c>
      <c r="F230" s="303"/>
      <c r="G230" s="302">
        <v>0.9610211722484292</v>
      </c>
      <c r="H230" s="302">
        <v>4.790096155094304E-2</v>
      </c>
      <c r="I230" s="302">
        <v>0.15245859270526166</v>
      </c>
      <c r="J230" s="302">
        <f>SUM(G230:I230)</f>
        <v>1.1613807265046341</v>
      </c>
      <c r="K230" s="303"/>
      <c r="L230" s="302">
        <v>0.9252671423961496</v>
      </c>
      <c r="M230" s="302">
        <v>5.3989796926114324E-2</v>
      </c>
      <c r="N230" s="302">
        <v>0.18838599019947605</v>
      </c>
      <c r="O230" s="302">
        <f>SUM(L230:N230)</f>
        <v>1.1676429295217399</v>
      </c>
    </row>
    <row r="231" spans="1:15" s="236" customFormat="1" x14ac:dyDescent="0.2">
      <c r="A231" s="237" t="str">
        <f>name!E$5</f>
        <v>Professional occupations</v>
      </c>
      <c r="B231" s="302">
        <v>0.48364997713402458</v>
      </c>
      <c r="C231" s="302">
        <v>6.2456939801545869E-3</v>
      </c>
      <c r="D231" s="302">
        <v>2.2119301720934851E-2</v>
      </c>
      <c r="E231" s="302">
        <f t="shared" ref="E231:E238" si="112">SUM(B231:D231)</f>
        <v>0.51201497283511399</v>
      </c>
      <c r="F231" s="303"/>
      <c r="G231" s="302">
        <v>0.79719201782405824</v>
      </c>
      <c r="H231" s="302">
        <v>6.5386530179495084E-2</v>
      </c>
      <c r="I231" s="302">
        <v>3.6099613315602977E-2</v>
      </c>
      <c r="J231" s="302">
        <f t="shared" ref="J231:J233" si="113">SUM(G231:I231)</f>
        <v>0.89867816131915623</v>
      </c>
      <c r="K231" s="303"/>
      <c r="L231" s="302">
        <v>0.91801602412137961</v>
      </c>
      <c r="M231" s="302">
        <v>8.502554830285855E-2</v>
      </c>
      <c r="N231" s="302">
        <v>3.3312027298537807E-2</v>
      </c>
      <c r="O231" s="302">
        <f t="shared" ref="O231:O238" si="114">SUM(L231:N231)</f>
        <v>1.036353599722776</v>
      </c>
    </row>
    <row r="232" spans="1:15" s="236" customFormat="1" x14ac:dyDescent="0.2">
      <c r="A232" s="237" t="str">
        <f>name!E$6</f>
        <v>Associate professional occupations</v>
      </c>
      <c r="B232" s="302">
        <v>0.61313211415222402</v>
      </c>
      <c r="C232" s="302">
        <v>1.0384936180177154E-2</v>
      </c>
      <c r="D232" s="302">
        <v>2.4674174666960889E-2</v>
      </c>
      <c r="E232" s="302">
        <f t="shared" si="112"/>
        <v>0.64819122499936199</v>
      </c>
      <c r="F232" s="303"/>
      <c r="G232" s="302">
        <v>0.88288527178010601</v>
      </c>
      <c r="H232" s="302">
        <v>0.10318710131962647</v>
      </c>
      <c r="I232" s="302">
        <v>4.0505300665575422E-2</v>
      </c>
      <c r="J232" s="302">
        <f t="shared" si="113"/>
        <v>1.0265776737653078</v>
      </c>
      <c r="K232" s="303"/>
      <c r="L232" s="302">
        <v>0.86372993718513968</v>
      </c>
      <c r="M232" s="302">
        <v>8.9467282281404298E-2</v>
      </c>
      <c r="N232" s="302">
        <v>4.2242372914234209E-2</v>
      </c>
      <c r="O232" s="302">
        <f t="shared" si="114"/>
        <v>0.99543959238077817</v>
      </c>
    </row>
    <row r="233" spans="1:15" s="236" customFormat="1" x14ac:dyDescent="0.2">
      <c r="A233" s="237" t="str">
        <f>name!E$7</f>
        <v>Administrative and secretarial occupations</v>
      </c>
      <c r="B233" s="302">
        <v>0.1851525108206673</v>
      </c>
      <c r="C233" s="302">
        <v>1.5497399280473232E-2</v>
      </c>
      <c r="D233" s="302">
        <v>1.1778487018384062E-2</v>
      </c>
      <c r="E233" s="302">
        <f t="shared" si="112"/>
        <v>0.2124283971195246</v>
      </c>
      <c r="F233" s="303"/>
      <c r="G233" s="302">
        <v>0.26004901601064684</v>
      </c>
      <c r="H233" s="302">
        <v>0.12219498063085864</v>
      </c>
      <c r="I233" s="302">
        <v>1.8410008554333591E-2</v>
      </c>
      <c r="J233" s="302">
        <f t="shared" si="113"/>
        <v>0.4006540051958391</v>
      </c>
      <c r="K233" s="303"/>
      <c r="L233" s="302">
        <v>0.21418096372893788</v>
      </c>
      <c r="M233" s="302">
        <v>0.11890960613632189</v>
      </c>
      <c r="N233" s="302">
        <v>1.4377979336271383E-2</v>
      </c>
      <c r="O233" s="302">
        <f t="shared" si="114"/>
        <v>0.34746854920153114</v>
      </c>
    </row>
    <row r="234" spans="1:15" s="236" customFormat="1" x14ac:dyDescent="0.2">
      <c r="A234" s="237" t="str">
        <f>name!E$8</f>
        <v>Skilled trades occupations</v>
      </c>
      <c r="B234" s="302">
        <v>0.25491081354808415</v>
      </c>
      <c r="C234" s="302">
        <v>9.0153276151656928E-3</v>
      </c>
      <c r="D234" s="302">
        <v>0.13837118167790871</v>
      </c>
      <c r="E234" s="302">
        <f t="shared" si="112"/>
        <v>0.4022973228411586</v>
      </c>
      <c r="F234" s="303"/>
      <c r="G234" s="302">
        <v>0.26197519929889052</v>
      </c>
      <c r="H234" s="302">
        <v>3.9960430104436749E-2</v>
      </c>
      <c r="I234" s="302">
        <v>0.18172803005647295</v>
      </c>
      <c r="J234" s="302">
        <f>SUM(G234:I234)</f>
        <v>0.48366365945980017</v>
      </c>
      <c r="K234" s="303"/>
      <c r="L234" s="302">
        <v>0.16716847580932048</v>
      </c>
      <c r="M234" s="302">
        <v>6.127330698879932E-2</v>
      </c>
      <c r="N234" s="302">
        <v>0.23429823373457781</v>
      </c>
      <c r="O234" s="302">
        <f t="shared" si="114"/>
        <v>0.46274001653269758</v>
      </c>
    </row>
    <row r="235" spans="1:15" s="236" customFormat="1" x14ac:dyDescent="0.2">
      <c r="A235" s="237" t="str">
        <f>name!E$9</f>
        <v>Caring, leisure and other service occupations</v>
      </c>
      <c r="B235" s="302">
        <v>3.0913306153082003E-2</v>
      </c>
      <c r="C235" s="302">
        <v>3.2584630468057755E-3</v>
      </c>
      <c r="D235" s="302">
        <v>1.0308305501177678E-2</v>
      </c>
      <c r="E235" s="302">
        <f t="shared" si="112"/>
        <v>4.4480074701065457E-2</v>
      </c>
      <c r="F235" s="303"/>
      <c r="G235" s="302">
        <v>4.0345677511183238E-2</v>
      </c>
      <c r="H235" s="302">
        <v>2.2849715746497922E-2</v>
      </c>
      <c r="I235" s="302">
        <v>1.9342825457729366E-2</v>
      </c>
      <c r="J235" s="302">
        <f t="shared" ref="J235:J238" si="115">SUM(G235:I235)</f>
        <v>8.2538218715410519E-2</v>
      </c>
      <c r="K235" s="303"/>
      <c r="L235" s="302">
        <v>4.578429003002045E-2</v>
      </c>
      <c r="M235" s="302">
        <v>1.7391800216388042E-2</v>
      </c>
      <c r="N235" s="302">
        <v>2.8346751956317914E-2</v>
      </c>
      <c r="O235" s="302">
        <f t="shared" si="114"/>
        <v>9.1522842202726412E-2</v>
      </c>
    </row>
    <row r="236" spans="1:15" s="236" customFormat="1" x14ac:dyDescent="0.2">
      <c r="A236" s="237" t="str">
        <f>name!E$10</f>
        <v>Sales and customer service occupations</v>
      </c>
      <c r="B236" s="302">
        <v>0.11145754436350838</v>
      </c>
      <c r="C236" s="302">
        <v>8.1471939398389415E-3</v>
      </c>
      <c r="D236" s="302">
        <v>1.4566486386518534E-2</v>
      </c>
      <c r="E236" s="302">
        <f t="shared" si="112"/>
        <v>0.13417122468986586</v>
      </c>
      <c r="F236" s="303"/>
      <c r="G236" s="302">
        <v>0.13830457409426647</v>
      </c>
      <c r="H236" s="302">
        <v>5.9042133098355883E-2</v>
      </c>
      <c r="I236" s="302">
        <v>1.9382100519437756E-2</v>
      </c>
      <c r="J236" s="302">
        <f t="shared" si="115"/>
        <v>0.2167288077120601</v>
      </c>
      <c r="K236" s="303"/>
      <c r="L236" s="302">
        <v>0.13992462684545798</v>
      </c>
      <c r="M236" s="302">
        <v>6.9970236354796406E-2</v>
      </c>
      <c r="N236" s="302">
        <v>1.9319593532644053E-2</v>
      </c>
      <c r="O236" s="302">
        <f t="shared" si="114"/>
        <v>0.22921445673289845</v>
      </c>
    </row>
    <row r="237" spans="1:15" s="236" customFormat="1" x14ac:dyDescent="0.2">
      <c r="A237" s="237" t="str">
        <f>name!E$11</f>
        <v>Process, plant and machine operatives</v>
      </c>
      <c r="B237" s="302">
        <v>0.34916930465356133</v>
      </c>
      <c r="C237" s="302">
        <v>4.6747369885989177E-3</v>
      </c>
      <c r="D237" s="302">
        <v>1.8378082312137983E-2</v>
      </c>
      <c r="E237" s="302">
        <f t="shared" si="112"/>
        <v>0.37222212395429827</v>
      </c>
      <c r="F237" s="303"/>
      <c r="G237" s="302">
        <v>0.37258292704024015</v>
      </c>
      <c r="H237" s="302">
        <v>3.4471389707633499E-2</v>
      </c>
      <c r="I237" s="302">
        <v>3.2471752649222578E-2</v>
      </c>
      <c r="J237" s="302">
        <f t="shared" si="115"/>
        <v>0.43952606939709621</v>
      </c>
      <c r="K237" s="303"/>
      <c r="L237" s="302">
        <v>0.31042836515078548</v>
      </c>
      <c r="M237" s="302">
        <v>3.8444191996941879E-2</v>
      </c>
      <c r="N237" s="302">
        <v>3.4970146819720459E-2</v>
      </c>
      <c r="O237" s="302">
        <f t="shared" si="114"/>
        <v>0.3838427039674478</v>
      </c>
    </row>
    <row r="238" spans="1:15" s="236" customFormat="1" x14ac:dyDescent="0.2">
      <c r="A238" s="237" t="str">
        <f>name!E$12</f>
        <v>Elementary occupations</v>
      </c>
      <c r="B238" s="302">
        <v>0.12589980065082068</v>
      </c>
      <c r="C238" s="302">
        <v>1.1160639849698596E-2</v>
      </c>
      <c r="D238" s="302">
        <v>9.1681285886356968E-3</v>
      </c>
      <c r="E238" s="302">
        <f t="shared" si="112"/>
        <v>0.14622856908915496</v>
      </c>
      <c r="F238" s="303"/>
      <c r="G238" s="302">
        <v>0.12664414416893094</v>
      </c>
      <c r="H238" s="302">
        <v>7.3006757658991492E-2</v>
      </c>
      <c r="I238" s="302">
        <v>1.060177606934583E-2</v>
      </c>
      <c r="J238" s="302">
        <f t="shared" si="115"/>
        <v>0.21025267789726829</v>
      </c>
      <c r="K238" s="303"/>
      <c r="L238" s="302">
        <v>6.9500174725336844E-2</v>
      </c>
      <c r="M238" s="302">
        <v>4.8528230787577877E-2</v>
      </c>
      <c r="N238" s="302">
        <v>1.1746904196831668E-2</v>
      </c>
      <c r="O238" s="302">
        <f t="shared" si="114"/>
        <v>0.12977530970974638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32</v>
      </c>
      <c r="B240" s="311">
        <f>SUM(B230:B238)</f>
        <v>2.8240000000009013</v>
      </c>
      <c r="C240" s="311">
        <f t="shared" ref="C240:E240" si="116">SUM(C230:C238)</f>
        <v>7.3000000001735205E-2</v>
      </c>
      <c r="D240" s="311">
        <f t="shared" si="116"/>
        <v>0.33100000000431978</v>
      </c>
      <c r="E240" s="311">
        <f t="shared" si="116"/>
        <v>3.2280000000069569</v>
      </c>
      <c r="F240" s="311"/>
      <c r="G240" s="311">
        <f t="shared" ref="G240:J240" si="117">SUM(G230:G238)</f>
        <v>3.8409999999767517</v>
      </c>
      <c r="H240" s="311">
        <f t="shared" si="117"/>
        <v>0.5679999999968387</v>
      </c>
      <c r="I240" s="311">
        <f t="shared" si="117"/>
        <v>0.51099999999298218</v>
      </c>
      <c r="J240" s="311">
        <f t="shared" si="117"/>
        <v>4.9199999999665724</v>
      </c>
      <c r="K240" s="311"/>
      <c r="L240" s="311">
        <f t="shared" ref="L240:O240" si="118">SUM(L230:L238)</f>
        <v>3.6539999999925277</v>
      </c>
      <c r="M240" s="311">
        <f t="shared" si="118"/>
        <v>0.58299999999120256</v>
      </c>
      <c r="N240" s="311">
        <f t="shared" si="118"/>
        <v>0.60699999998861121</v>
      </c>
      <c r="O240" s="311">
        <f t="shared" si="118"/>
        <v>4.8439999999723415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35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name!A17</f>
        <v>Basic metals</v>
      </c>
      <c r="B244" s="374">
        <f>$B$6</f>
        <v>2015</v>
      </c>
      <c r="C244" s="374"/>
      <c r="D244" s="374"/>
      <c r="E244" s="374"/>
      <c r="F244" s="263"/>
      <c r="G244" s="374">
        <f>$G$6</f>
        <v>2020</v>
      </c>
      <c r="H244" s="374"/>
      <c r="I244" s="374"/>
      <c r="J244" s="374"/>
      <c r="K244" s="263"/>
      <c r="L244" s="374">
        <f>$L$6</f>
        <v>2035</v>
      </c>
      <c r="M244" s="374"/>
      <c r="N244" s="374"/>
      <c r="O244" s="374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6.5885020280178841E-2</v>
      </c>
      <c r="C247" s="302">
        <v>9.2268289969044889E-3</v>
      </c>
      <c r="D247" s="302">
        <v>6.4883265419078675E-3</v>
      </c>
      <c r="E247" s="302">
        <f>SUM(B247:D247)</f>
        <v>8.1600175818991205E-2</v>
      </c>
      <c r="F247" s="303"/>
      <c r="G247" s="302">
        <v>7.8259795543311833E-2</v>
      </c>
      <c r="H247" s="302">
        <v>3.1144723055870183E-2</v>
      </c>
      <c r="I247" s="302">
        <v>1.3397433755357312E-2</v>
      </c>
      <c r="J247" s="302">
        <f>SUM(G247:I247)</f>
        <v>0.12280195235453933</v>
      </c>
      <c r="K247" s="303"/>
      <c r="L247" s="302">
        <v>7.1173749759936858E-2</v>
      </c>
      <c r="M247" s="302">
        <v>2.5977523802178253E-2</v>
      </c>
      <c r="N247" s="302">
        <v>1.2982501439646906E-2</v>
      </c>
      <c r="O247" s="302">
        <f>SUM(L247:N247)</f>
        <v>0.11013377500176202</v>
      </c>
    </row>
    <row r="248" spans="1:15" s="236" customFormat="1" x14ac:dyDescent="0.2">
      <c r="A248" s="237" t="str">
        <f>name!E$5</f>
        <v>Professional occupations</v>
      </c>
      <c r="B248" s="302">
        <v>6.6174142896465463E-2</v>
      </c>
      <c r="C248" s="302">
        <v>3.5986014734945382E-3</v>
      </c>
      <c r="D248" s="302">
        <v>4.012868703793135E-3</v>
      </c>
      <c r="E248" s="302">
        <f t="shared" ref="E248:E255" si="119">SUM(B248:D248)</f>
        <v>7.3785613073753142E-2</v>
      </c>
      <c r="F248" s="303"/>
      <c r="G248" s="302">
        <v>8.749267285235876E-2</v>
      </c>
      <c r="H248" s="302">
        <v>1.2603868295478417E-2</v>
      </c>
      <c r="I248" s="302">
        <v>6.2424037858825575E-3</v>
      </c>
      <c r="J248" s="302">
        <f t="shared" ref="J248:J250" si="120">SUM(G248:I248)</f>
        <v>0.10633894493371973</v>
      </c>
      <c r="K248" s="303"/>
      <c r="L248" s="302">
        <v>9.180186854356423E-2</v>
      </c>
      <c r="M248" s="302">
        <v>9.8141078201402394E-3</v>
      </c>
      <c r="N248" s="302">
        <v>4.2161552432274877E-3</v>
      </c>
      <c r="O248" s="302">
        <f t="shared" ref="O248:O255" si="121">SUM(L248:N248)</f>
        <v>0.10583213160693196</v>
      </c>
    </row>
    <row r="249" spans="1:15" s="236" customFormat="1" x14ac:dyDescent="0.2">
      <c r="A249" s="237" t="str">
        <f>name!E$6</f>
        <v>Associate professional occupations</v>
      </c>
      <c r="B249" s="302">
        <v>5.700055130784696E-2</v>
      </c>
      <c r="C249" s="302">
        <v>4.8566292576540208E-3</v>
      </c>
      <c r="D249" s="302">
        <v>2.328376139804824E-3</v>
      </c>
      <c r="E249" s="302">
        <f t="shared" si="119"/>
        <v>6.4185556705305805E-2</v>
      </c>
      <c r="F249" s="303"/>
      <c r="G249" s="302">
        <v>7.016309304960032E-2</v>
      </c>
      <c r="H249" s="302">
        <v>1.5443842716143749E-2</v>
      </c>
      <c r="I249" s="302">
        <v>4.4498095839606237E-3</v>
      </c>
      <c r="J249" s="302">
        <f t="shared" si="120"/>
        <v>9.0056745349704703E-2</v>
      </c>
      <c r="K249" s="303"/>
      <c r="L249" s="302">
        <v>6.026063642735089E-2</v>
      </c>
      <c r="M249" s="302">
        <v>1.1192515486305551E-2</v>
      </c>
      <c r="N249" s="302">
        <v>3.5318611872643285E-3</v>
      </c>
      <c r="O249" s="302">
        <f t="shared" si="121"/>
        <v>7.4985013100920775E-2</v>
      </c>
    </row>
    <row r="250" spans="1:15" s="236" customFormat="1" x14ac:dyDescent="0.2">
      <c r="A250" s="237" t="str">
        <f>name!E$7</f>
        <v>Administrative and secretarial occupations</v>
      </c>
      <c r="B250" s="302">
        <v>3.2784558217631925E-2</v>
      </c>
      <c r="C250" s="302">
        <v>1.3855850019783041E-2</v>
      </c>
      <c r="D250" s="302">
        <v>7.4537269749229765E-4</v>
      </c>
      <c r="E250" s="302">
        <f t="shared" si="119"/>
        <v>4.7385780934907265E-2</v>
      </c>
      <c r="F250" s="303"/>
      <c r="G250" s="302">
        <v>3.4387827528925836E-2</v>
      </c>
      <c r="H250" s="302">
        <v>3.8467875024150527E-2</v>
      </c>
      <c r="I250" s="302">
        <v>1.7506997031626823E-3</v>
      </c>
      <c r="J250" s="302">
        <f t="shared" si="120"/>
        <v>7.4606402256239046E-2</v>
      </c>
      <c r="K250" s="303"/>
      <c r="L250" s="302">
        <v>2.5515893311313043E-2</v>
      </c>
      <c r="M250" s="302">
        <v>3.2601000386394033E-2</v>
      </c>
      <c r="N250" s="302">
        <v>1.2057430326659858E-3</v>
      </c>
      <c r="O250" s="302">
        <f t="shared" si="121"/>
        <v>5.9322636730373059E-2</v>
      </c>
    </row>
    <row r="251" spans="1:15" s="236" customFormat="1" x14ac:dyDescent="0.2">
      <c r="A251" s="237" t="str">
        <f>name!E$8</f>
        <v>Skilled trades occupations</v>
      </c>
      <c r="B251" s="302">
        <v>0.18300537131992972</v>
      </c>
      <c r="C251" s="302">
        <v>2.288037937355546E-2</v>
      </c>
      <c r="D251" s="302">
        <v>8.9176452667050366E-3</v>
      </c>
      <c r="E251" s="302">
        <f t="shared" si="119"/>
        <v>0.21480339596019024</v>
      </c>
      <c r="F251" s="303"/>
      <c r="G251" s="302">
        <v>0.16204329138707119</v>
      </c>
      <c r="H251" s="302">
        <v>3.2726784385532094E-2</v>
      </c>
      <c r="I251" s="302">
        <v>1.1474467606811862E-2</v>
      </c>
      <c r="J251" s="302">
        <f>SUM(G251:I251)</f>
        <v>0.20624454337941514</v>
      </c>
      <c r="K251" s="303"/>
      <c r="L251" s="302">
        <v>0.12349070746917371</v>
      </c>
      <c r="M251" s="302">
        <v>3.5040265622094037E-2</v>
      </c>
      <c r="N251" s="302">
        <v>1.2152189157318964E-2</v>
      </c>
      <c r="O251" s="302">
        <f t="shared" si="121"/>
        <v>0.17068316224858671</v>
      </c>
    </row>
    <row r="252" spans="1:15" s="236" customFormat="1" x14ac:dyDescent="0.2">
      <c r="A252" s="237" t="str">
        <f>name!E$9</f>
        <v>Caring, leisure and other service occupations</v>
      </c>
      <c r="B252" s="302">
        <v>6.8976724451504092E-3</v>
      </c>
      <c r="C252" s="302">
        <v>8.049508009345971E-4</v>
      </c>
      <c r="D252" s="302">
        <v>2.7250410356455246E-4</v>
      </c>
      <c r="E252" s="302">
        <f t="shared" si="119"/>
        <v>7.9751273496495578E-3</v>
      </c>
      <c r="F252" s="303"/>
      <c r="G252" s="302">
        <v>7.8448497774370688E-3</v>
      </c>
      <c r="H252" s="302">
        <v>2.0934062769641178E-3</v>
      </c>
      <c r="I252" s="302">
        <v>6.4987102871933084E-4</v>
      </c>
      <c r="J252" s="302">
        <f t="shared" ref="J252:J255" si="122">SUM(G252:I252)</f>
        <v>1.0588127083120517E-2</v>
      </c>
      <c r="K252" s="303"/>
      <c r="L252" s="302">
        <v>8.7457560099564284E-3</v>
      </c>
      <c r="M252" s="302">
        <v>1.2726800175052973E-3</v>
      </c>
      <c r="N252" s="302">
        <v>4.6947395082963587E-4</v>
      </c>
      <c r="O252" s="302">
        <f t="shared" si="121"/>
        <v>1.0487909978291361E-2</v>
      </c>
    </row>
    <row r="253" spans="1:15" s="236" customFormat="1" x14ac:dyDescent="0.2">
      <c r="A253" s="237" t="str">
        <f>name!E$10</f>
        <v>Sales and customer service occupations</v>
      </c>
      <c r="B253" s="302">
        <v>5.8932635570764016E-3</v>
      </c>
      <c r="C253" s="302">
        <v>1.6612797932679579E-3</v>
      </c>
      <c r="D253" s="302">
        <v>5.968358603407588E-4</v>
      </c>
      <c r="E253" s="302">
        <f t="shared" si="119"/>
        <v>8.1513792106851189E-3</v>
      </c>
      <c r="F253" s="303"/>
      <c r="G253" s="302">
        <v>6.1739061303470264E-3</v>
      </c>
      <c r="H253" s="302">
        <v>4.5443048753408058E-3</v>
      </c>
      <c r="I253" s="302">
        <v>9.1201194395354348E-4</v>
      </c>
      <c r="J253" s="302">
        <f t="shared" si="122"/>
        <v>1.1630222949641375E-2</v>
      </c>
      <c r="K253" s="303"/>
      <c r="L253" s="302">
        <v>6.7877922171376889E-3</v>
      </c>
      <c r="M253" s="302">
        <v>4.3188027003032035E-3</v>
      </c>
      <c r="N253" s="302">
        <v>8.0817531346790393E-4</v>
      </c>
      <c r="O253" s="302">
        <f t="shared" si="121"/>
        <v>1.1914770230908795E-2</v>
      </c>
    </row>
    <row r="254" spans="1:15" s="236" customFormat="1" x14ac:dyDescent="0.2">
      <c r="A254" s="237" t="str">
        <f>name!E$11</f>
        <v>Process, plant and machine operatives</v>
      </c>
      <c r="B254" s="302">
        <v>4.5605221386100209E-2</v>
      </c>
      <c r="C254" s="302">
        <v>5.5335703766285337E-3</v>
      </c>
      <c r="D254" s="302">
        <v>4.8149738324678075E-3</v>
      </c>
      <c r="E254" s="302">
        <f t="shared" si="119"/>
        <v>5.5953765595196554E-2</v>
      </c>
      <c r="F254" s="303"/>
      <c r="G254" s="302">
        <v>3.975451228217803E-2</v>
      </c>
      <c r="H254" s="302">
        <v>1.0923642003578583E-2</v>
      </c>
      <c r="I254" s="302">
        <v>9.0173010502295325E-3</v>
      </c>
      <c r="J254" s="302">
        <f t="shared" si="122"/>
        <v>5.969545533598615E-2</v>
      </c>
      <c r="K254" s="303"/>
      <c r="L254" s="302">
        <v>3.1913827233575436E-2</v>
      </c>
      <c r="M254" s="302">
        <v>9.5701154929323153E-3</v>
      </c>
      <c r="N254" s="302">
        <v>9.5466312870098134E-3</v>
      </c>
      <c r="O254" s="302">
        <f t="shared" si="121"/>
        <v>5.1030574013517564E-2</v>
      </c>
    </row>
    <row r="255" spans="1:15" s="236" customFormat="1" x14ac:dyDescent="0.2">
      <c r="A255" s="237" t="str">
        <f>name!E$12</f>
        <v>Elementary occupations</v>
      </c>
      <c r="B255" s="302">
        <v>1.1754198593499016E-2</v>
      </c>
      <c r="C255" s="302">
        <v>3.5819099095061408E-3</v>
      </c>
      <c r="D255" s="302">
        <v>4.8230968544447526E-3</v>
      </c>
      <c r="E255" s="302">
        <f t="shared" si="119"/>
        <v>2.0159205357449909E-2</v>
      </c>
      <c r="F255" s="303"/>
      <c r="G255" s="302">
        <v>9.8800514432299275E-3</v>
      </c>
      <c r="H255" s="302">
        <v>7.0515533648401229E-3</v>
      </c>
      <c r="I255" s="302">
        <v>7.1060015410296827E-3</v>
      </c>
      <c r="J255" s="302">
        <f t="shared" si="122"/>
        <v>2.4037606349099735E-2</v>
      </c>
      <c r="K255" s="303"/>
      <c r="L255" s="302">
        <v>5.3097690247956358E-3</v>
      </c>
      <c r="M255" s="302">
        <v>2.2129886694296072E-3</v>
      </c>
      <c r="N255" s="302">
        <v>9.0872693874174109E-3</v>
      </c>
      <c r="O255" s="302">
        <f t="shared" si="121"/>
        <v>1.6610027081642654E-2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32</v>
      </c>
      <c r="B257" s="311">
        <f>SUM(B247:B255)</f>
        <v>0.47500000000387899</v>
      </c>
      <c r="C257" s="311">
        <f t="shared" ref="C257:E257" si="123">SUM(C247:C255)</f>
        <v>6.6000000001728773E-2</v>
      </c>
      <c r="D257" s="311">
        <f t="shared" si="123"/>
        <v>3.3000000000521029E-2</v>
      </c>
      <c r="E257" s="311">
        <f t="shared" si="123"/>
        <v>0.57400000000612872</v>
      </c>
      <c r="F257" s="311"/>
      <c r="G257" s="311">
        <f t="shared" ref="G257:J257" si="124">SUM(G247:G255)</f>
        <v>0.49599999999445998</v>
      </c>
      <c r="H257" s="311">
        <f t="shared" si="124"/>
        <v>0.1549999999978986</v>
      </c>
      <c r="I257" s="311">
        <f t="shared" si="124"/>
        <v>5.4999999999107124E-2</v>
      </c>
      <c r="J257" s="311">
        <f t="shared" si="124"/>
        <v>0.70599999999146568</v>
      </c>
      <c r="K257" s="311"/>
      <c r="L257" s="311">
        <f t="shared" ref="L257:O257" si="125">SUM(L247:L255)</f>
        <v>0.42499999999680393</v>
      </c>
      <c r="M257" s="311">
        <f t="shared" si="125"/>
        <v>0.13199999999728251</v>
      </c>
      <c r="N257" s="311">
        <f t="shared" si="125"/>
        <v>5.3999999998848441E-2</v>
      </c>
      <c r="O257" s="311">
        <f t="shared" si="125"/>
        <v>0.61099999999293486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35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name!A18</f>
        <v>Metal products</v>
      </c>
      <c r="B261" s="374">
        <f>$B$6</f>
        <v>2015</v>
      </c>
      <c r="C261" s="374"/>
      <c r="D261" s="374"/>
      <c r="E261" s="374"/>
      <c r="F261" s="263"/>
      <c r="G261" s="374">
        <f>$G$6</f>
        <v>2020</v>
      </c>
      <c r="H261" s="374"/>
      <c r="I261" s="374"/>
      <c r="J261" s="374"/>
      <c r="K261" s="263"/>
      <c r="L261" s="374">
        <f>$L$6</f>
        <v>2035</v>
      </c>
      <c r="M261" s="374"/>
      <c r="N261" s="374"/>
      <c r="O261" s="374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1.1016837003210589</v>
      </c>
      <c r="C264" s="302">
        <v>0.18500698399051543</v>
      </c>
      <c r="D264" s="302">
        <v>0.14995010313956739</v>
      </c>
      <c r="E264" s="302">
        <f>SUM(B264:D264)</f>
        <v>1.4366407874511418</v>
      </c>
      <c r="F264" s="303"/>
      <c r="G264" s="302">
        <v>1.2588038216986099</v>
      </c>
      <c r="H264" s="302">
        <v>0.12013106665132492</v>
      </c>
      <c r="I264" s="302">
        <v>0.46610340589854482</v>
      </c>
      <c r="J264" s="302">
        <f>SUM(G264:I264)</f>
        <v>1.8450382942484795</v>
      </c>
      <c r="K264" s="303"/>
      <c r="L264" s="302">
        <v>1.1410781355316217</v>
      </c>
      <c r="M264" s="302">
        <v>0.12206986258801208</v>
      </c>
      <c r="N264" s="302">
        <v>0.38873486196319351</v>
      </c>
      <c r="O264" s="302">
        <f>SUM(L264:N264)</f>
        <v>1.6518828600828273</v>
      </c>
    </row>
    <row r="265" spans="1:15" s="236" customFormat="1" x14ac:dyDescent="0.2">
      <c r="A265" s="237" t="str">
        <f>name!E$5</f>
        <v>Professional occupations</v>
      </c>
      <c r="B265" s="302">
        <v>1.2437587121994991</v>
      </c>
      <c r="C265" s="302">
        <v>0.14682439638317465</v>
      </c>
      <c r="D265" s="302">
        <v>7.6516274541191531E-2</v>
      </c>
      <c r="E265" s="302">
        <f t="shared" ref="E265:E272" si="126">SUM(B265:D265)</f>
        <v>1.4670993831238652</v>
      </c>
      <c r="F265" s="303"/>
      <c r="G265" s="302">
        <v>1.60966996678013</v>
      </c>
      <c r="H265" s="302">
        <v>8.9969995810699643E-2</v>
      </c>
      <c r="I265" s="302">
        <v>0.20492544590128703</v>
      </c>
      <c r="J265" s="302">
        <f t="shared" ref="J265:J267" si="127">SUM(G265:I265)</f>
        <v>1.9045654084921166</v>
      </c>
      <c r="K265" s="303"/>
      <c r="L265" s="302">
        <v>1.717941155840877</v>
      </c>
      <c r="M265" s="302">
        <v>8.6253877171221655E-2</v>
      </c>
      <c r="N265" s="302">
        <v>0.12460995424614049</v>
      </c>
      <c r="O265" s="302">
        <f t="shared" ref="O265:O272" si="128">SUM(L265:N265)</f>
        <v>1.9288049872582391</v>
      </c>
    </row>
    <row r="266" spans="1:15" s="236" customFormat="1" x14ac:dyDescent="0.2">
      <c r="A266" s="237" t="str">
        <f>name!E$6</f>
        <v>Associate professional occupations</v>
      </c>
      <c r="B266" s="302">
        <v>1.2529735514409845</v>
      </c>
      <c r="C266" s="302">
        <v>0.14074929878335088</v>
      </c>
      <c r="D266" s="302">
        <v>3.5072836210295277E-2</v>
      </c>
      <c r="E266" s="302">
        <f t="shared" si="126"/>
        <v>1.4287956864346307</v>
      </c>
      <c r="F266" s="303"/>
      <c r="G266" s="302">
        <v>1.4847185366379578</v>
      </c>
      <c r="H266" s="302">
        <v>8.2215563086089266E-2</v>
      </c>
      <c r="I266" s="302">
        <v>8.8984916526375468E-2</v>
      </c>
      <c r="J266" s="302">
        <f t="shared" si="127"/>
        <v>1.6559190162504225</v>
      </c>
      <c r="K266" s="303"/>
      <c r="L266" s="302">
        <v>1.2981709700010637</v>
      </c>
      <c r="M266" s="302">
        <v>6.5540855423967884E-2</v>
      </c>
      <c r="N266" s="302">
        <v>7.1948463209318247E-2</v>
      </c>
      <c r="O266" s="302">
        <f t="shared" si="128"/>
        <v>1.4356602886343497</v>
      </c>
    </row>
    <row r="267" spans="1:15" s="236" customFormat="1" x14ac:dyDescent="0.2">
      <c r="A267" s="237" t="str">
        <f>name!E$7</f>
        <v>Administrative and secretarial occupations</v>
      </c>
      <c r="B267" s="302">
        <v>0.45382909616594441</v>
      </c>
      <c r="C267" s="302">
        <v>0.35278355503256648</v>
      </c>
      <c r="D267" s="302">
        <v>1.8066414324343184E-2</v>
      </c>
      <c r="E267" s="302">
        <f t="shared" si="126"/>
        <v>0.82467906552285408</v>
      </c>
      <c r="F267" s="303"/>
      <c r="G267" s="302">
        <v>0.48034311772376515</v>
      </c>
      <c r="H267" s="302">
        <v>0.19306344469421982</v>
      </c>
      <c r="I267" s="302">
        <v>4.8681878102386771E-2</v>
      </c>
      <c r="J267" s="302">
        <f t="shared" si="127"/>
        <v>0.7220884405203718</v>
      </c>
      <c r="K267" s="303"/>
      <c r="L267" s="302">
        <v>0.3610273896087266</v>
      </c>
      <c r="M267" s="302">
        <v>0.14129796143405809</v>
      </c>
      <c r="N267" s="302">
        <v>3.4654964698213664E-2</v>
      </c>
      <c r="O267" s="302">
        <f t="shared" si="128"/>
        <v>0.53698031574099847</v>
      </c>
    </row>
    <row r="268" spans="1:15" s="236" customFormat="1" x14ac:dyDescent="0.2">
      <c r="A268" s="237" t="str">
        <f>name!E$8</f>
        <v>Skilled trades occupations</v>
      </c>
      <c r="B268" s="302">
        <v>2.482863374477581</v>
      </c>
      <c r="C268" s="302">
        <v>0.31359015994614914</v>
      </c>
      <c r="D268" s="302">
        <v>0.18050271176859975</v>
      </c>
      <c r="E268" s="302">
        <f t="shared" si="126"/>
        <v>2.97695624619233</v>
      </c>
      <c r="F268" s="303"/>
      <c r="G268" s="302">
        <v>2.1137615018967382</v>
      </c>
      <c r="H268" s="302">
        <v>9.456414199665053E-2</v>
      </c>
      <c r="I268" s="302">
        <v>0.37468288559832191</v>
      </c>
      <c r="J268" s="302">
        <f>SUM(G268:I268)</f>
        <v>2.5830085294917104</v>
      </c>
      <c r="K268" s="303"/>
      <c r="L268" s="302">
        <v>1.5166169772458058</v>
      </c>
      <c r="M268" s="302">
        <v>8.6145675986484496E-2</v>
      </c>
      <c r="N268" s="302">
        <v>0.28046853134241323</v>
      </c>
      <c r="O268" s="302">
        <f t="shared" si="128"/>
        <v>1.8832311845747034</v>
      </c>
    </row>
    <row r="269" spans="1:15" s="236" customFormat="1" x14ac:dyDescent="0.2">
      <c r="A269" s="237" t="str">
        <f>name!E$9</f>
        <v>Caring, leisure and other service occupations</v>
      </c>
      <c r="B269" s="302">
        <v>0.12201640321942579</v>
      </c>
      <c r="C269" s="302">
        <v>3.4700404916579962E-2</v>
      </c>
      <c r="D269" s="302">
        <v>4.8871183907000463E-3</v>
      </c>
      <c r="E269" s="302">
        <f t="shared" si="126"/>
        <v>0.1616039265267058</v>
      </c>
      <c r="F269" s="303"/>
      <c r="G269" s="302">
        <v>0.12948219555113552</v>
      </c>
      <c r="H269" s="302">
        <v>1.7823479367431533E-2</v>
      </c>
      <c r="I269" s="302">
        <v>1.4506587252915143E-2</v>
      </c>
      <c r="J269" s="302">
        <f t="shared" ref="J269:J272" si="129">SUM(G269:I269)</f>
        <v>0.1618122621714822</v>
      </c>
      <c r="K269" s="303"/>
      <c r="L269" s="302">
        <v>0.14637806300041303</v>
      </c>
      <c r="M269" s="302">
        <v>1.5793745669013363E-2</v>
      </c>
      <c r="N269" s="302">
        <v>1.5046974384550486E-2</v>
      </c>
      <c r="O269" s="302">
        <f t="shared" si="128"/>
        <v>0.1772187830539769</v>
      </c>
    </row>
    <row r="270" spans="1:15" s="236" customFormat="1" x14ac:dyDescent="0.2">
      <c r="A270" s="237" t="str">
        <f>name!E$10</f>
        <v>Sales and customer service occupations</v>
      </c>
      <c r="B270" s="302">
        <v>0.11480679738070376</v>
      </c>
      <c r="C270" s="302">
        <v>4.8173529985631999E-2</v>
      </c>
      <c r="D270" s="302">
        <v>1.1739447265247858E-2</v>
      </c>
      <c r="E270" s="302">
        <f t="shared" si="126"/>
        <v>0.17471977463158364</v>
      </c>
      <c r="F270" s="303"/>
      <c r="G270" s="302">
        <v>0.11484566574539323</v>
      </c>
      <c r="H270" s="302">
        <v>2.4495708443823275E-2</v>
      </c>
      <c r="I270" s="302">
        <v>2.4982087485234554E-2</v>
      </c>
      <c r="J270" s="302">
        <f t="shared" si="129"/>
        <v>0.16432346167445105</v>
      </c>
      <c r="K270" s="303"/>
      <c r="L270" s="302">
        <v>0.11801541114589742</v>
      </c>
      <c r="M270" s="302">
        <v>2.7889545501912329E-2</v>
      </c>
      <c r="N270" s="302">
        <v>1.8190291220859633E-2</v>
      </c>
      <c r="O270" s="302">
        <f t="shared" si="128"/>
        <v>0.16409524786866939</v>
      </c>
    </row>
    <row r="271" spans="1:15" s="236" customFormat="1" x14ac:dyDescent="0.2">
      <c r="A271" s="237" t="str">
        <f>name!E$11</f>
        <v>Process, plant and machine operatives</v>
      </c>
      <c r="B271" s="302">
        <v>0.33424401284941269</v>
      </c>
      <c r="C271" s="302">
        <v>0.13022745642740435</v>
      </c>
      <c r="D271" s="302">
        <v>1.9798620606260694E-2</v>
      </c>
      <c r="E271" s="302">
        <f t="shared" si="126"/>
        <v>0.48427008988307774</v>
      </c>
      <c r="F271" s="303"/>
      <c r="G271" s="302">
        <v>0.27448267694931106</v>
      </c>
      <c r="H271" s="302">
        <v>4.8166295496163226E-2</v>
      </c>
      <c r="I271" s="302">
        <v>4.269439374317998E-2</v>
      </c>
      <c r="J271" s="302">
        <f t="shared" si="129"/>
        <v>0.36534336618865426</v>
      </c>
      <c r="K271" s="303"/>
      <c r="L271" s="302">
        <v>0.1615013046956085</v>
      </c>
      <c r="M271" s="302">
        <v>4.9369454675027298E-2</v>
      </c>
      <c r="N271" s="302">
        <v>4.4764702973238105E-2</v>
      </c>
      <c r="O271" s="302">
        <f t="shared" si="128"/>
        <v>0.25563546234387391</v>
      </c>
    </row>
    <row r="272" spans="1:15" s="236" customFormat="1" x14ac:dyDescent="0.2">
      <c r="A272" s="237" t="str">
        <f>name!E$12</f>
        <v>Elementary occupations</v>
      </c>
      <c r="B272" s="302">
        <v>0.21082435196703289</v>
      </c>
      <c r="C272" s="302">
        <v>0.17594421456719875</v>
      </c>
      <c r="D272" s="302">
        <v>1.4466473761317896E-2</v>
      </c>
      <c r="E272" s="302">
        <f t="shared" si="126"/>
        <v>0.40123504029554952</v>
      </c>
      <c r="F272" s="303"/>
      <c r="G272" s="302">
        <v>0.1698925169541573</v>
      </c>
      <c r="H272" s="302">
        <v>7.7570304445870764E-2</v>
      </c>
      <c r="I272" s="302">
        <v>3.2438399478650286E-2</v>
      </c>
      <c r="J272" s="302">
        <f t="shared" si="129"/>
        <v>0.27990122087867836</v>
      </c>
      <c r="K272" s="303"/>
      <c r="L272" s="302">
        <v>8.0270592920491532E-2</v>
      </c>
      <c r="M272" s="302">
        <v>4.8639021539512453E-2</v>
      </c>
      <c r="N272" s="302">
        <v>2.6581255953446927E-2</v>
      </c>
      <c r="O272" s="302">
        <f t="shared" si="128"/>
        <v>0.15549087041345092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32</v>
      </c>
      <c r="B274" s="311">
        <f>SUM(B264:B272)</f>
        <v>7.3170000000216433</v>
      </c>
      <c r="C274" s="311">
        <f t="shared" ref="C274:E274" si="130">SUM(C264:C272)</f>
        <v>1.5280000000325717</v>
      </c>
      <c r="D274" s="311">
        <f t="shared" si="130"/>
        <v>0.51100000000752366</v>
      </c>
      <c r="E274" s="311">
        <f t="shared" si="130"/>
        <v>9.3560000000617389</v>
      </c>
      <c r="F274" s="311"/>
      <c r="G274" s="311">
        <f t="shared" ref="G274:J274" si="131">SUM(G264:G272)</f>
        <v>7.6359999999371988</v>
      </c>
      <c r="H274" s="311">
        <f t="shared" si="131"/>
        <v>0.74799999999227307</v>
      </c>
      <c r="I274" s="311">
        <f t="shared" si="131"/>
        <v>1.2979999999868961</v>
      </c>
      <c r="J274" s="311">
        <f t="shared" si="131"/>
        <v>9.6819999999163642</v>
      </c>
      <c r="K274" s="311"/>
      <c r="L274" s="311">
        <f t="shared" ref="L274:O274" si="132">SUM(L264:L272)</f>
        <v>6.5409999999905066</v>
      </c>
      <c r="M274" s="311">
        <f t="shared" si="132"/>
        <v>0.64299999998920976</v>
      </c>
      <c r="N274" s="311">
        <f t="shared" si="132"/>
        <v>1.0049999999913743</v>
      </c>
      <c r="O274" s="311">
        <f t="shared" si="132"/>
        <v>8.1889999999710881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35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name!A19</f>
        <v>Computer, etc</v>
      </c>
      <c r="B278" s="374">
        <f>$B$6</f>
        <v>2015</v>
      </c>
      <c r="C278" s="374"/>
      <c r="D278" s="374"/>
      <c r="E278" s="374"/>
      <c r="F278" s="263"/>
      <c r="G278" s="374">
        <f>$G$6</f>
        <v>2020</v>
      </c>
      <c r="H278" s="374"/>
      <c r="I278" s="374"/>
      <c r="J278" s="374"/>
      <c r="K278" s="263"/>
      <c r="L278" s="374">
        <f>$L$6</f>
        <v>2035</v>
      </c>
      <c r="M278" s="374"/>
      <c r="N278" s="374"/>
      <c r="O278" s="374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0.60179733881930564</v>
      </c>
      <c r="C281" s="302">
        <v>2.6275314182155059E-2</v>
      </c>
      <c r="D281" s="302">
        <v>3.9626642319544658E-2</v>
      </c>
      <c r="E281" s="302">
        <f>SUM(B281:D281)</f>
        <v>0.66769929532100525</v>
      </c>
      <c r="F281" s="303"/>
      <c r="G281" s="302">
        <v>1.3749768283978101</v>
      </c>
      <c r="H281" s="302">
        <v>5.9834946865004762E-2</v>
      </c>
      <c r="I281" s="302">
        <v>0.20351816945672538</v>
      </c>
      <c r="J281" s="302">
        <f>SUM(G281:I281)</f>
        <v>1.6383299447195403</v>
      </c>
      <c r="K281" s="303"/>
      <c r="L281" s="302">
        <v>2.182968921474298</v>
      </c>
      <c r="M281" s="302">
        <v>0.10841426979983776</v>
      </c>
      <c r="N281" s="302">
        <v>0.35956457115727181</v>
      </c>
      <c r="O281" s="302">
        <f>SUM(L281:N281)</f>
        <v>2.6509477624314077</v>
      </c>
    </row>
    <row r="282" spans="1:15" s="236" customFormat="1" x14ac:dyDescent="0.2">
      <c r="A282" s="237" t="str">
        <f>name!E$5</f>
        <v>Professional occupations</v>
      </c>
      <c r="B282" s="302">
        <v>0.96167890200430717</v>
      </c>
      <c r="C282" s="302">
        <v>2.3077872260467008E-2</v>
      </c>
      <c r="D282" s="302">
        <v>3.2517098495268362E-2</v>
      </c>
      <c r="E282" s="302">
        <f t="shared" ref="E282:E289" si="133">SUM(B282:D282)</f>
        <v>1.0172738727600426</v>
      </c>
      <c r="F282" s="303"/>
      <c r="G282" s="302">
        <v>2.4837462234155896</v>
      </c>
      <c r="H282" s="302">
        <v>6.387670390184641E-2</v>
      </c>
      <c r="I282" s="302">
        <v>0.16280496166678102</v>
      </c>
      <c r="J282" s="302">
        <f t="shared" ref="J282:J284" si="134">SUM(G282:I282)</f>
        <v>2.7104278889842166</v>
      </c>
      <c r="K282" s="303"/>
      <c r="L282" s="302">
        <v>4.2628539380562227</v>
      </c>
      <c r="M282" s="302">
        <v>0.11931708590032293</v>
      </c>
      <c r="N282" s="302">
        <v>0.20360370727214253</v>
      </c>
      <c r="O282" s="302">
        <f t="shared" ref="O282:O289" si="135">SUM(L282:N282)</f>
        <v>4.5857747312286881</v>
      </c>
    </row>
    <row r="283" spans="1:15" s="236" customFormat="1" x14ac:dyDescent="0.2">
      <c r="A283" s="237" t="str">
        <f>name!E$6</f>
        <v>Associate professional occupations</v>
      </c>
      <c r="B283" s="302">
        <v>0.6550922512024373</v>
      </c>
      <c r="C283" s="302">
        <v>2.6440626295503047E-2</v>
      </c>
      <c r="D283" s="302">
        <v>3.0963560837003034E-2</v>
      </c>
      <c r="E283" s="302">
        <f t="shared" si="133"/>
        <v>0.71249643833494336</v>
      </c>
      <c r="F283" s="303"/>
      <c r="G283" s="302">
        <v>1.5818308774314822</v>
      </c>
      <c r="H283" s="302">
        <v>6.4665793071527644E-2</v>
      </c>
      <c r="I283" s="302">
        <v>0.13178492494831506</v>
      </c>
      <c r="J283" s="302">
        <f t="shared" si="134"/>
        <v>1.7782815954513249</v>
      </c>
      <c r="K283" s="303"/>
      <c r="L283" s="302">
        <v>2.3415699617830015</v>
      </c>
      <c r="M283" s="302">
        <v>0.10406062674682982</v>
      </c>
      <c r="N283" s="302">
        <v>0.19330983073480423</v>
      </c>
      <c r="O283" s="302">
        <f t="shared" si="135"/>
        <v>2.6389404192646357</v>
      </c>
    </row>
    <row r="284" spans="1:15" s="236" customFormat="1" x14ac:dyDescent="0.2">
      <c r="A284" s="237" t="str">
        <f>name!E$7</f>
        <v>Administrative and secretarial occupations</v>
      </c>
      <c r="B284" s="302">
        <v>0.21543128516248827</v>
      </c>
      <c r="C284" s="302">
        <v>3.2181133338692956E-2</v>
      </c>
      <c r="D284" s="302">
        <v>5.7106946462946624E-3</v>
      </c>
      <c r="E284" s="302">
        <f t="shared" si="133"/>
        <v>0.25332311314747591</v>
      </c>
      <c r="F284" s="303"/>
      <c r="G284" s="302">
        <v>0.45747411549565276</v>
      </c>
      <c r="H284" s="302">
        <v>6.9680678351469016E-2</v>
      </c>
      <c r="I284" s="302">
        <v>2.141216074374221E-2</v>
      </c>
      <c r="J284" s="302">
        <f t="shared" si="134"/>
        <v>0.54856695459086391</v>
      </c>
      <c r="K284" s="303"/>
      <c r="L284" s="302">
        <v>0.53243108548352724</v>
      </c>
      <c r="M284" s="302">
        <v>7.8373285939419987E-2</v>
      </c>
      <c r="N284" s="302">
        <v>3.894997857166102E-2</v>
      </c>
      <c r="O284" s="302">
        <f t="shared" si="135"/>
        <v>0.64975434999460824</v>
      </c>
    </row>
    <row r="285" spans="1:15" s="236" customFormat="1" x14ac:dyDescent="0.2">
      <c r="A285" s="237" t="str">
        <f>name!E$8</f>
        <v>Skilled trades occupations</v>
      </c>
      <c r="B285" s="302">
        <v>0.36640202778339281</v>
      </c>
      <c r="C285" s="302">
        <v>3.2993641934551531E-2</v>
      </c>
      <c r="D285" s="302">
        <v>4.1885168498899637E-2</v>
      </c>
      <c r="E285" s="302">
        <f t="shared" si="133"/>
        <v>0.44128083821684394</v>
      </c>
      <c r="F285" s="303"/>
      <c r="G285" s="302">
        <v>0.60119978536384366</v>
      </c>
      <c r="H285" s="302">
        <v>3.7737925082946114E-2</v>
      </c>
      <c r="I285" s="302">
        <v>0.15027194418735443</v>
      </c>
      <c r="J285" s="302">
        <f>SUM(G285:I285)</f>
        <v>0.78920965463414428</v>
      </c>
      <c r="K285" s="303"/>
      <c r="L285" s="302">
        <v>0.746645988404951</v>
      </c>
      <c r="M285" s="302">
        <v>6.881858553736922E-2</v>
      </c>
      <c r="N285" s="302">
        <v>0.28912342485868997</v>
      </c>
      <c r="O285" s="302">
        <f t="shared" si="135"/>
        <v>1.1045879988010101</v>
      </c>
    </row>
    <row r="286" spans="1:15" s="236" customFormat="1" x14ac:dyDescent="0.2">
      <c r="A286" s="237" t="str">
        <f>name!E$9</f>
        <v>Caring, leisure and other service occupations</v>
      </c>
      <c r="B286" s="302">
        <v>3.072366907831197E-2</v>
      </c>
      <c r="C286" s="302">
        <v>7.5594092750969153E-3</v>
      </c>
      <c r="D286" s="302">
        <v>2.3008912796203774E-3</v>
      </c>
      <c r="E286" s="302">
        <f t="shared" si="133"/>
        <v>4.0583969633029258E-2</v>
      </c>
      <c r="F286" s="303"/>
      <c r="G286" s="302">
        <v>5.7550025936462183E-2</v>
      </c>
      <c r="H286" s="302">
        <v>1.6387223087336165E-2</v>
      </c>
      <c r="I286" s="302">
        <v>9.3519632219179645E-3</v>
      </c>
      <c r="J286" s="302">
        <f t="shared" ref="J286:J289" si="136">SUM(G286:I286)</f>
        <v>8.328921224571631E-2</v>
      </c>
      <c r="K286" s="303"/>
      <c r="L286" s="302">
        <v>8.2830225413379019E-2</v>
      </c>
      <c r="M286" s="302">
        <v>2.2761736247913934E-2</v>
      </c>
      <c r="N286" s="302">
        <v>3.0328892994007147E-2</v>
      </c>
      <c r="O286" s="302">
        <f t="shared" si="135"/>
        <v>0.1359208546553001</v>
      </c>
    </row>
    <row r="287" spans="1:15" s="236" customFormat="1" x14ac:dyDescent="0.2">
      <c r="A287" s="237" t="str">
        <f>name!E$10</f>
        <v>Sales and customer service occupations</v>
      </c>
      <c r="B287" s="302">
        <v>8.8358648306831378E-2</v>
      </c>
      <c r="C287" s="302">
        <v>1.8642037730421699E-2</v>
      </c>
      <c r="D287" s="302">
        <v>5.395689915462229E-3</v>
      </c>
      <c r="E287" s="302">
        <f t="shared" si="133"/>
        <v>0.1123963759527153</v>
      </c>
      <c r="F287" s="303"/>
      <c r="G287" s="302">
        <v>0.18140909239229416</v>
      </c>
      <c r="H287" s="302">
        <v>3.5010608217870103E-2</v>
      </c>
      <c r="I287" s="302">
        <v>1.8684316418941714E-2</v>
      </c>
      <c r="J287" s="302">
        <f t="shared" si="136"/>
        <v>0.23510401702910599</v>
      </c>
      <c r="K287" s="303"/>
      <c r="L287" s="302">
        <v>0.29141277978568075</v>
      </c>
      <c r="M287" s="302">
        <v>7.8059848554574388E-2</v>
      </c>
      <c r="N287" s="302">
        <v>3.0137285444568895E-2</v>
      </c>
      <c r="O287" s="302">
        <f t="shared" si="135"/>
        <v>0.39960991378482402</v>
      </c>
    </row>
    <row r="288" spans="1:15" s="236" customFormat="1" x14ac:dyDescent="0.2">
      <c r="A288" s="237" t="str">
        <f>name!E$11</f>
        <v>Process, plant and machine operatives</v>
      </c>
      <c r="B288" s="302">
        <v>7.6461933971353396E-2</v>
      </c>
      <c r="C288" s="302">
        <v>2.8757306234741833E-2</v>
      </c>
      <c r="D288" s="302">
        <v>3.7227710563164672E-2</v>
      </c>
      <c r="E288" s="302">
        <f t="shared" si="133"/>
        <v>0.14244695076925989</v>
      </c>
      <c r="F288" s="303"/>
      <c r="G288" s="302">
        <v>0.11862739000920622</v>
      </c>
      <c r="H288" s="302">
        <v>4.4718767820721789E-2</v>
      </c>
      <c r="I288" s="302">
        <v>0.15756415520288392</v>
      </c>
      <c r="J288" s="302">
        <f t="shared" si="136"/>
        <v>0.32091031303281192</v>
      </c>
      <c r="K288" s="303"/>
      <c r="L288" s="302">
        <v>0.16199676953916314</v>
      </c>
      <c r="M288" s="302">
        <v>6.2177310981687071E-2</v>
      </c>
      <c r="N288" s="302">
        <v>0.30261719072332505</v>
      </c>
      <c r="O288" s="302">
        <f t="shared" si="135"/>
        <v>0.52679127124417524</v>
      </c>
    </row>
    <row r="289" spans="1:15" s="236" customFormat="1" x14ac:dyDescent="0.2">
      <c r="A289" s="237" t="str">
        <f>name!E$12</f>
        <v>Elementary occupations</v>
      </c>
      <c r="B289" s="302">
        <v>4.4053943657205351E-2</v>
      </c>
      <c r="C289" s="302">
        <v>1.3072658750543297E-2</v>
      </c>
      <c r="D289" s="302">
        <v>1.237254344690625E-2</v>
      </c>
      <c r="E289" s="302">
        <f t="shared" si="133"/>
        <v>6.9499145854654901E-2</v>
      </c>
      <c r="F289" s="303"/>
      <c r="G289" s="302">
        <v>6.7185661549872114E-2</v>
      </c>
      <c r="H289" s="302">
        <v>2.2087353598562551E-2</v>
      </c>
      <c r="I289" s="302">
        <v>3.860740415297223E-2</v>
      </c>
      <c r="J289" s="302">
        <f t="shared" si="136"/>
        <v>0.12788041930140689</v>
      </c>
      <c r="K289" s="303"/>
      <c r="L289" s="302">
        <v>6.1290330065125249E-2</v>
      </c>
      <c r="M289" s="302">
        <v>2.3017250288222008E-2</v>
      </c>
      <c r="N289" s="302">
        <v>5.63651182388962E-2</v>
      </c>
      <c r="O289" s="302">
        <f t="shared" si="135"/>
        <v>0.14067269859224346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32</v>
      </c>
      <c r="B291" s="311">
        <f>SUM(B281:B289)</f>
        <v>3.0399999999856329</v>
      </c>
      <c r="C291" s="311">
        <f t="shared" ref="C291:E291" si="137">SUM(C281:C289)</f>
        <v>0.20900000000217334</v>
      </c>
      <c r="D291" s="311">
        <f t="shared" si="137"/>
        <v>0.20800000000216387</v>
      </c>
      <c r="E291" s="311">
        <f t="shared" si="137"/>
        <v>3.4569999999899701</v>
      </c>
      <c r="F291" s="311"/>
      <c r="G291" s="311">
        <f t="shared" ref="G291:J291" si="138">SUM(G281:G289)</f>
        <v>6.9239999999922119</v>
      </c>
      <c r="H291" s="311">
        <f t="shared" si="138"/>
        <v>0.41399999999728448</v>
      </c>
      <c r="I291" s="311">
        <f t="shared" si="138"/>
        <v>0.89399999999963409</v>
      </c>
      <c r="J291" s="311">
        <f t="shared" si="138"/>
        <v>8.2319999999891316</v>
      </c>
      <c r="K291" s="311"/>
      <c r="L291" s="311">
        <f t="shared" ref="L291:O291" si="139">SUM(L281:L289)</f>
        <v>10.664000000005348</v>
      </c>
      <c r="M291" s="311">
        <f t="shared" si="139"/>
        <v>0.66499999999617709</v>
      </c>
      <c r="N291" s="311">
        <f t="shared" si="139"/>
        <v>1.5039999999953668</v>
      </c>
      <c r="O291" s="311">
        <f t="shared" si="139"/>
        <v>12.832999999996893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35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name!A20</f>
        <v>Electrical equipment</v>
      </c>
      <c r="B295" s="374">
        <f>$B$6</f>
        <v>2015</v>
      </c>
      <c r="C295" s="374"/>
      <c r="D295" s="374"/>
      <c r="E295" s="374"/>
      <c r="F295" s="263"/>
      <c r="G295" s="374">
        <f>$G$6</f>
        <v>2020</v>
      </c>
      <c r="H295" s="374"/>
      <c r="I295" s="374"/>
      <c r="J295" s="374"/>
      <c r="K295" s="263"/>
      <c r="L295" s="374">
        <f>$L$6</f>
        <v>2035</v>
      </c>
      <c r="M295" s="374"/>
      <c r="N295" s="374"/>
      <c r="O295" s="374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0.25403633962017091</v>
      </c>
      <c r="C298" s="302">
        <v>4.5762352780018181E-2</v>
      </c>
      <c r="D298" s="302">
        <v>1.8743224003338152E-2</v>
      </c>
      <c r="E298" s="302">
        <f>SUM(B298:D298)</f>
        <v>0.31854191640352725</v>
      </c>
      <c r="F298" s="303"/>
      <c r="G298" s="302">
        <v>0.48941018340115944</v>
      </c>
      <c r="H298" s="302">
        <v>1.9448774965465813E-2</v>
      </c>
      <c r="I298" s="302">
        <v>0.10064530618236435</v>
      </c>
      <c r="J298" s="302">
        <f>SUM(G298:I298)</f>
        <v>0.60950426454898954</v>
      </c>
      <c r="K298" s="303"/>
      <c r="L298" s="302">
        <v>0.47268152688551923</v>
      </c>
      <c r="M298" s="302">
        <v>2.3490915298916362E-2</v>
      </c>
      <c r="N298" s="302">
        <v>0.12824382503433776</v>
      </c>
      <c r="O298" s="302">
        <f>SUM(L298:N298)</f>
        <v>0.6244162672187733</v>
      </c>
    </row>
    <row r="299" spans="1:15" s="236" customFormat="1" x14ac:dyDescent="0.2">
      <c r="A299" s="237" t="str">
        <f>name!E$5</f>
        <v>Professional occupations</v>
      </c>
      <c r="B299" s="302">
        <v>0.30679665811234158</v>
      </c>
      <c r="C299" s="302">
        <v>3.8492696255045117E-2</v>
      </c>
      <c r="D299" s="302">
        <v>1.3017548449441316E-2</v>
      </c>
      <c r="E299" s="302">
        <f t="shared" ref="E299:E306" si="140">SUM(B299:D299)</f>
        <v>0.35830690281682803</v>
      </c>
      <c r="F299" s="303"/>
      <c r="G299" s="302">
        <v>0.66440362019738086</v>
      </c>
      <c r="H299" s="302">
        <v>1.8426922869427265E-2</v>
      </c>
      <c r="I299" s="302">
        <v>0.11837993346124338</v>
      </c>
      <c r="J299" s="302">
        <f t="shared" ref="J299:J301" si="141">SUM(G299:I299)</f>
        <v>0.80121047652805155</v>
      </c>
      <c r="K299" s="303"/>
      <c r="L299" s="302">
        <v>0.71542811876045453</v>
      </c>
      <c r="M299" s="302">
        <v>2.3413265107972359E-2</v>
      </c>
      <c r="N299" s="302">
        <v>0.14316030012613531</v>
      </c>
      <c r="O299" s="302">
        <f t="shared" ref="O299:O306" si="142">SUM(L299:N299)</f>
        <v>0.88200168399456225</v>
      </c>
    </row>
    <row r="300" spans="1:15" s="236" customFormat="1" x14ac:dyDescent="0.2">
      <c r="A300" s="237" t="str">
        <f>name!E$6</f>
        <v>Associate professional occupations</v>
      </c>
      <c r="B300" s="302">
        <v>0.25002992530064277</v>
      </c>
      <c r="C300" s="302">
        <v>3.5620180704400081E-2</v>
      </c>
      <c r="D300" s="302">
        <v>4.4897110521458557E-3</v>
      </c>
      <c r="E300" s="302">
        <f t="shared" si="140"/>
        <v>0.29013981705718872</v>
      </c>
      <c r="F300" s="303"/>
      <c r="G300" s="302">
        <v>0.50226333665519174</v>
      </c>
      <c r="H300" s="302">
        <v>1.4517753894304651E-2</v>
      </c>
      <c r="I300" s="302">
        <v>1.6810562866124094E-2</v>
      </c>
      <c r="J300" s="302">
        <f t="shared" si="141"/>
        <v>0.53359165341562054</v>
      </c>
      <c r="K300" s="303"/>
      <c r="L300" s="302">
        <v>0.47358985887105587</v>
      </c>
      <c r="M300" s="302">
        <v>1.4324648712828243E-2</v>
      </c>
      <c r="N300" s="302">
        <v>1.1375076045554749E-2</v>
      </c>
      <c r="O300" s="302">
        <f t="shared" si="142"/>
        <v>0.49928958362943887</v>
      </c>
    </row>
    <row r="301" spans="1:15" s="236" customFormat="1" x14ac:dyDescent="0.2">
      <c r="A301" s="237" t="str">
        <f>name!E$7</f>
        <v>Administrative and secretarial occupations</v>
      </c>
      <c r="B301" s="302">
        <v>0.11403052402591399</v>
      </c>
      <c r="C301" s="302">
        <v>6.3783092254918614E-2</v>
      </c>
      <c r="D301" s="302">
        <v>1.712548697353081E-3</v>
      </c>
      <c r="E301" s="302">
        <f t="shared" si="140"/>
        <v>0.17952616497818566</v>
      </c>
      <c r="F301" s="303"/>
      <c r="G301" s="302">
        <v>0.20794554163868412</v>
      </c>
      <c r="H301" s="302">
        <v>2.2848263992250699E-2</v>
      </c>
      <c r="I301" s="302">
        <v>9.3910196716023072E-3</v>
      </c>
      <c r="J301" s="302">
        <f t="shared" si="141"/>
        <v>0.24018482530253712</v>
      </c>
      <c r="K301" s="303"/>
      <c r="L301" s="302">
        <v>0.17459000604899341</v>
      </c>
      <c r="M301" s="302">
        <v>2.0236973909230176E-2</v>
      </c>
      <c r="N301" s="302">
        <v>3.7758546809541337E-3</v>
      </c>
      <c r="O301" s="302">
        <f t="shared" si="142"/>
        <v>0.19860283463917772</v>
      </c>
    </row>
    <row r="302" spans="1:15" s="236" customFormat="1" x14ac:dyDescent="0.2">
      <c r="A302" s="237" t="str">
        <f>name!E$8</f>
        <v>Skilled trades occupations</v>
      </c>
      <c r="B302" s="302">
        <v>0.2546705871746342</v>
      </c>
      <c r="C302" s="302">
        <v>7.9902418154088314E-2</v>
      </c>
      <c r="D302" s="302">
        <v>2.4740196820014222E-2</v>
      </c>
      <c r="E302" s="302">
        <f t="shared" si="140"/>
        <v>0.35931320214873674</v>
      </c>
      <c r="F302" s="303"/>
      <c r="G302" s="302">
        <v>0.34826925595063152</v>
      </c>
      <c r="H302" s="302">
        <v>1.5456722359759437E-2</v>
      </c>
      <c r="I302" s="302">
        <v>6.0905953658791881E-2</v>
      </c>
      <c r="J302" s="302">
        <f>SUM(G302:I302)</f>
        <v>0.42463193196918281</v>
      </c>
      <c r="K302" s="303"/>
      <c r="L302" s="302">
        <v>0.25731859150234637</v>
      </c>
      <c r="M302" s="302">
        <v>1.83005431554038E-2</v>
      </c>
      <c r="N302" s="302">
        <v>0.10441007289527755</v>
      </c>
      <c r="O302" s="302">
        <f t="shared" si="142"/>
        <v>0.38002920755302771</v>
      </c>
    </row>
    <row r="303" spans="1:15" s="236" customFormat="1" x14ac:dyDescent="0.2">
      <c r="A303" s="237" t="str">
        <f>name!E$9</f>
        <v>Caring, leisure and other service occupations</v>
      </c>
      <c r="B303" s="302">
        <v>5.8816014197183367E-2</v>
      </c>
      <c r="C303" s="302">
        <v>2.1170971020469779E-2</v>
      </c>
      <c r="D303" s="302">
        <v>2.8481399455284972E-4</v>
      </c>
      <c r="E303" s="302">
        <f t="shared" si="140"/>
        <v>8.0271799212205994E-2</v>
      </c>
      <c r="F303" s="303"/>
      <c r="G303" s="302">
        <v>9.2421711255078143E-2</v>
      </c>
      <c r="H303" s="302">
        <v>6.7543149482508971E-3</v>
      </c>
      <c r="I303" s="302">
        <v>1.059359543977946E-3</v>
      </c>
      <c r="J303" s="302">
        <f t="shared" ref="J303:J306" si="143">SUM(G303:I303)</f>
        <v>0.10023538574730698</v>
      </c>
      <c r="K303" s="303"/>
      <c r="L303" s="302">
        <v>9.748486659810357E-2</v>
      </c>
      <c r="M303" s="302">
        <v>6.5994281286300459E-3</v>
      </c>
      <c r="N303" s="302">
        <v>1.4040655128628985E-3</v>
      </c>
      <c r="O303" s="302">
        <f t="shared" si="142"/>
        <v>0.10548836023959651</v>
      </c>
    </row>
    <row r="304" spans="1:15" s="236" customFormat="1" x14ac:dyDescent="0.2">
      <c r="A304" s="237" t="str">
        <f>name!E$10</f>
        <v>Sales and customer service occupations</v>
      </c>
      <c r="B304" s="302">
        <v>4.1561260260335055E-2</v>
      </c>
      <c r="C304" s="302">
        <v>3.3140111044027504E-2</v>
      </c>
      <c r="D304" s="302">
        <v>1.582800719980505E-3</v>
      </c>
      <c r="E304" s="302">
        <f t="shared" si="140"/>
        <v>7.6284172024343053E-2</v>
      </c>
      <c r="F304" s="303"/>
      <c r="G304" s="302">
        <v>7.4879513370444239E-2</v>
      </c>
      <c r="H304" s="302">
        <v>9.2531546797122756E-3</v>
      </c>
      <c r="I304" s="302">
        <v>5.3999363365893295E-3</v>
      </c>
      <c r="J304" s="302">
        <f t="shared" si="143"/>
        <v>8.9532604386745845E-2</v>
      </c>
      <c r="K304" s="303"/>
      <c r="L304" s="302">
        <v>8.1918032918900568E-2</v>
      </c>
      <c r="M304" s="302">
        <v>1.1299848554657061E-2</v>
      </c>
      <c r="N304" s="302">
        <v>5.6994298281667303E-3</v>
      </c>
      <c r="O304" s="302">
        <f t="shared" si="142"/>
        <v>9.8917311301724362E-2</v>
      </c>
    </row>
    <row r="305" spans="1:15" s="236" customFormat="1" x14ac:dyDescent="0.2">
      <c r="A305" s="237" t="str">
        <f>name!E$11</f>
        <v>Process, plant and machine operatives</v>
      </c>
      <c r="B305" s="302">
        <v>6.4996922582477412E-2</v>
      </c>
      <c r="C305" s="302">
        <v>3.634141531691424E-2</v>
      </c>
      <c r="D305" s="302">
        <v>6.0328505737524546E-3</v>
      </c>
      <c r="E305" s="302">
        <f t="shared" si="140"/>
        <v>0.1073711884731441</v>
      </c>
      <c r="F305" s="303"/>
      <c r="G305" s="302">
        <v>8.7863827895750979E-2</v>
      </c>
      <c r="H305" s="302">
        <v>1.0388638076850211E-2</v>
      </c>
      <c r="I305" s="302">
        <v>2.1566703601267487E-2</v>
      </c>
      <c r="J305" s="302">
        <f t="shared" si="143"/>
        <v>0.11981916957386868</v>
      </c>
      <c r="K305" s="303"/>
      <c r="L305" s="302">
        <v>7.613473149979845E-2</v>
      </c>
      <c r="M305" s="302">
        <v>1.5373777338198809E-2</v>
      </c>
      <c r="N305" s="302">
        <v>2.3138504456680479E-2</v>
      </c>
      <c r="O305" s="302">
        <f t="shared" si="142"/>
        <v>0.11464701329467773</v>
      </c>
    </row>
    <row r="306" spans="1:15" s="236" customFormat="1" x14ac:dyDescent="0.2">
      <c r="A306" s="237" t="str">
        <f>name!E$12</f>
        <v>Elementary occupations</v>
      </c>
      <c r="B306" s="302">
        <v>5.4061768724492212E-2</v>
      </c>
      <c r="C306" s="302">
        <v>2.4786762474918775E-2</v>
      </c>
      <c r="D306" s="302">
        <v>3.9630568912393506E-4</v>
      </c>
      <c r="E306" s="302">
        <f t="shared" si="140"/>
        <v>7.9244836888534925E-2</v>
      </c>
      <c r="F306" s="303"/>
      <c r="G306" s="302">
        <v>7.1543009623541418E-2</v>
      </c>
      <c r="H306" s="302">
        <v>6.9054542131786502E-3</v>
      </c>
      <c r="I306" s="302">
        <v>8.4122468361098998E-4</v>
      </c>
      <c r="J306" s="302">
        <f t="shared" si="143"/>
        <v>7.9289688520331053E-2</v>
      </c>
      <c r="K306" s="303"/>
      <c r="L306" s="302">
        <v>4.5854266910476442E-2</v>
      </c>
      <c r="M306" s="302">
        <v>4.9605997930406561E-3</v>
      </c>
      <c r="N306" s="302">
        <v>7.9287141418653945E-4</v>
      </c>
      <c r="O306" s="302">
        <f t="shared" si="142"/>
        <v>5.1607738117703639E-2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32</v>
      </c>
      <c r="B308" s="311">
        <f>SUM(B298:B306)</f>
        <v>1.3989999999981915</v>
      </c>
      <c r="C308" s="311">
        <f t="shared" ref="C308:E308" si="144">SUM(C298:C306)</f>
        <v>0.37900000000480066</v>
      </c>
      <c r="D308" s="311">
        <f t="shared" si="144"/>
        <v>7.0999999999702371E-2</v>
      </c>
      <c r="E308" s="311">
        <f t="shared" si="144"/>
        <v>1.8490000000026943</v>
      </c>
      <c r="F308" s="311"/>
      <c r="G308" s="311">
        <f t="shared" ref="G308:J308" si="145">SUM(G298:G306)</f>
        <v>2.5389999999878623</v>
      </c>
      <c r="H308" s="311">
        <f t="shared" si="145"/>
        <v>0.12399999999919989</v>
      </c>
      <c r="I308" s="311">
        <f t="shared" si="145"/>
        <v>0.33500000000557173</v>
      </c>
      <c r="J308" s="311">
        <f t="shared" si="145"/>
        <v>2.9979999999926346</v>
      </c>
      <c r="K308" s="311"/>
      <c r="L308" s="311">
        <f t="shared" ref="L308:O308" si="146">SUM(L298:L306)</f>
        <v>2.3949999999956484</v>
      </c>
      <c r="M308" s="311">
        <f t="shared" si="146"/>
        <v>0.13799999999887749</v>
      </c>
      <c r="N308" s="311">
        <f t="shared" si="146"/>
        <v>0.42199999999415616</v>
      </c>
      <c r="O308" s="311">
        <f t="shared" si="146"/>
        <v>2.954999999988682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35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name!A21</f>
        <v>Machinery n.e.c.</v>
      </c>
      <c r="B312" s="374">
        <f>$B$6</f>
        <v>2015</v>
      </c>
      <c r="C312" s="374"/>
      <c r="D312" s="374"/>
      <c r="E312" s="374"/>
      <c r="F312" s="263"/>
      <c r="G312" s="374">
        <f>$G$6</f>
        <v>2020</v>
      </c>
      <c r="H312" s="374"/>
      <c r="I312" s="374"/>
      <c r="J312" s="374"/>
      <c r="K312" s="263"/>
      <c r="L312" s="374">
        <f>$L$6</f>
        <v>2035</v>
      </c>
      <c r="M312" s="374"/>
      <c r="N312" s="374"/>
      <c r="O312" s="374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0.60384082219293689</v>
      </c>
      <c r="C315" s="302">
        <v>0.1046535726920076</v>
      </c>
      <c r="D315" s="302">
        <v>7.7508730494398714E-2</v>
      </c>
      <c r="E315" s="302">
        <f>SUM(B315:D315)</f>
        <v>0.78600312537934314</v>
      </c>
      <c r="F315" s="303"/>
      <c r="G315" s="302">
        <v>0.38733199418662345</v>
      </c>
      <c r="H315" s="302">
        <v>1.020675840112812E-2</v>
      </c>
      <c r="I315" s="302">
        <v>9.9877474392805823E-2</v>
      </c>
      <c r="J315" s="302">
        <f>SUM(G315:I315)</f>
        <v>0.49741622698055737</v>
      </c>
      <c r="K315" s="303"/>
      <c r="L315" s="302">
        <v>0.43242564050437954</v>
      </c>
      <c r="M315" s="302">
        <v>1.2061425909551822E-2</v>
      </c>
      <c r="N315" s="302">
        <v>0.10846694696014572</v>
      </c>
      <c r="O315" s="302">
        <f>SUM(L315:N315)</f>
        <v>0.55295401337407712</v>
      </c>
    </row>
    <row r="316" spans="1:15" s="236" customFormat="1" x14ac:dyDescent="0.2">
      <c r="A316" s="237" t="str">
        <f>name!E$5</f>
        <v>Professional occupations</v>
      </c>
      <c r="B316" s="302">
        <v>0.73691767982103329</v>
      </c>
      <c r="C316" s="302">
        <v>7.0900292750165225E-2</v>
      </c>
      <c r="D316" s="302">
        <v>5.723391337095271E-2</v>
      </c>
      <c r="E316" s="302">
        <f t="shared" ref="E316:E323" si="147">SUM(B316:D316)</f>
        <v>0.86505188594215121</v>
      </c>
      <c r="F316" s="303"/>
      <c r="G316" s="302">
        <v>0.53648676725920652</v>
      </c>
      <c r="H316" s="302">
        <v>7.6209032611272093E-3</v>
      </c>
      <c r="I316" s="302">
        <v>7.083505138557207E-2</v>
      </c>
      <c r="J316" s="302">
        <f t="shared" ref="J316:J318" si="148">SUM(G316:I316)</f>
        <v>0.61494272190590582</v>
      </c>
      <c r="K316" s="303"/>
      <c r="L316" s="302">
        <v>0.68074906498283949</v>
      </c>
      <c r="M316" s="302">
        <v>1.0180499952493005E-2</v>
      </c>
      <c r="N316" s="302">
        <v>5.801535058355408E-2</v>
      </c>
      <c r="O316" s="302">
        <f t="shared" ref="O316:O323" si="149">SUM(L316:N316)</f>
        <v>0.74894491551888664</v>
      </c>
    </row>
    <row r="317" spans="1:15" s="236" customFormat="1" x14ac:dyDescent="0.2">
      <c r="A317" s="237" t="str">
        <f>name!E$6</f>
        <v>Associate professional occupations</v>
      </c>
      <c r="B317" s="302">
        <v>0.56176715800089572</v>
      </c>
      <c r="C317" s="302">
        <v>6.0177881671003582E-2</v>
      </c>
      <c r="D317" s="302">
        <v>3.3483169161931225E-2</v>
      </c>
      <c r="E317" s="302">
        <f t="shared" si="147"/>
        <v>0.65542820883383057</v>
      </c>
      <c r="F317" s="303"/>
      <c r="G317" s="302">
        <v>0.38248322703620558</v>
      </c>
      <c r="H317" s="302">
        <v>5.6578191143046878E-3</v>
      </c>
      <c r="I317" s="302">
        <v>3.7365908034378045E-2</v>
      </c>
      <c r="J317" s="302">
        <f t="shared" si="148"/>
        <v>0.42550695418488832</v>
      </c>
      <c r="K317" s="303"/>
      <c r="L317" s="302">
        <v>0.40550898316446932</v>
      </c>
      <c r="M317" s="302">
        <v>6.180396499156744E-3</v>
      </c>
      <c r="N317" s="302">
        <v>3.9575246888165425E-2</v>
      </c>
      <c r="O317" s="302">
        <f t="shared" si="149"/>
        <v>0.4512646265517915</v>
      </c>
    </row>
    <row r="318" spans="1:15" s="236" customFormat="1" x14ac:dyDescent="0.2">
      <c r="A318" s="237" t="str">
        <f>name!E$7</f>
        <v>Administrative and secretarial occupations</v>
      </c>
      <c r="B318" s="302">
        <v>0.23316248890827074</v>
      </c>
      <c r="C318" s="302">
        <v>0.17299398794765997</v>
      </c>
      <c r="D318" s="302">
        <v>1.0519764875940151E-2</v>
      </c>
      <c r="E318" s="302">
        <f t="shared" si="147"/>
        <v>0.41667624173187084</v>
      </c>
      <c r="F318" s="303"/>
      <c r="G318" s="302">
        <v>0.15010683269518471</v>
      </c>
      <c r="H318" s="302">
        <v>1.5793901850750181E-2</v>
      </c>
      <c r="I318" s="302">
        <v>9.1781772193523532E-3</v>
      </c>
      <c r="J318" s="302">
        <f t="shared" si="148"/>
        <v>0.17507891176528725</v>
      </c>
      <c r="K318" s="303"/>
      <c r="L318" s="302">
        <v>0.13890204652950683</v>
      </c>
      <c r="M318" s="302">
        <v>1.3514632444145604E-2</v>
      </c>
      <c r="N318" s="302">
        <v>1.0557218460979038E-2</v>
      </c>
      <c r="O318" s="302">
        <f t="shared" si="149"/>
        <v>0.16297389743463148</v>
      </c>
    </row>
    <row r="319" spans="1:15" s="236" customFormat="1" x14ac:dyDescent="0.2">
      <c r="A319" s="237" t="str">
        <f>name!E$8</f>
        <v>Skilled trades occupations</v>
      </c>
      <c r="B319" s="302">
        <v>0.79500423360273864</v>
      </c>
      <c r="C319" s="302">
        <v>7.0696708046003545E-2</v>
      </c>
      <c r="D319" s="302">
        <v>8.5619466326869467E-2</v>
      </c>
      <c r="E319" s="302">
        <f t="shared" si="147"/>
        <v>0.95132040797561168</v>
      </c>
      <c r="F319" s="303"/>
      <c r="G319" s="302">
        <v>0.36175121027428797</v>
      </c>
      <c r="H319" s="302">
        <v>2.7083734036727307E-3</v>
      </c>
      <c r="I319" s="302">
        <v>7.8690641732988995E-2</v>
      </c>
      <c r="J319" s="302">
        <f>SUM(G319:I319)</f>
        <v>0.44315022541094973</v>
      </c>
      <c r="K319" s="303"/>
      <c r="L319" s="302">
        <v>0.32194392503771097</v>
      </c>
      <c r="M319" s="302">
        <v>3.0043730064321051E-3</v>
      </c>
      <c r="N319" s="302">
        <v>8.4488780437889016E-2</v>
      </c>
      <c r="O319" s="302">
        <f t="shared" si="149"/>
        <v>0.40943707848203204</v>
      </c>
    </row>
    <row r="320" spans="1:15" s="236" customFormat="1" x14ac:dyDescent="0.2">
      <c r="A320" s="237" t="str">
        <f>name!E$9</f>
        <v>Caring, leisure and other service occupations</v>
      </c>
      <c r="B320" s="302">
        <v>8.3676799581820629E-2</v>
      </c>
      <c r="C320" s="302">
        <v>5.8423987955093348E-2</v>
      </c>
      <c r="D320" s="302">
        <v>4.4409941933564387E-3</v>
      </c>
      <c r="E320" s="302">
        <f t="shared" si="147"/>
        <v>0.14654178173027041</v>
      </c>
      <c r="F320" s="303"/>
      <c r="G320" s="302">
        <v>4.6116294598373651E-2</v>
      </c>
      <c r="H320" s="302">
        <v>4.7945654857335391E-3</v>
      </c>
      <c r="I320" s="302">
        <v>3.1285243136526604E-3</v>
      </c>
      <c r="J320" s="302">
        <f t="shared" ref="J320:J323" si="150">SUM(G320:I320)</f>
        <v>5.4039384397759849E-2</v>
      </c>
      <c r="K320" s="303"/>
      <c r="L320" s="302">
        <v>4.6423869670614584E-2</v>
      </c>
      <c r="M320" s="302">
        <v>4.2903574990714151E-3</v>
      </c>
      <c r="N320" s="302">
        <v>5.8829874594831287E-3</v>
      </c>
      <c r="O320" s="302">
        <f t="shared" si="149"/>
        <v>5.6597214629169133E-2</v>
      </c>
    </row>
    <row r="321" spans="1:15" s="236" customFormat="1" x14ac:dyDescent="0.2">
      <c r="A321" s="237" t="str">
        <f>name!E$10</f>
        <v>Sales and customer service occupations</v>
      </c>
      <c r="B321" s="302">
        <v>0.11029673003229828</v>
      </c>
      <c r="C321" s="302">
        <v>4.6189890564978076E-2</v>
      </c>
      <c r="D321" s="302">
        <v>8.1427293838780383E-3</v>
      </c>
      <c r="E321" s="302">
        <f t="shared" si="147"/>
        <v>0.16462934998115439</v>
      </c>
      <c r="F321" s="303"/>
      <c r="G321" s="302">
        <v>6.4742938317472187E-2</v>
      </c>
      <c r="H321" s="302">
        <v>3.4720226380760668E-3</v>
      </c>
      <c r="I321" s="302">
        <v>7.1753090373323563E-3</v>
      </c>
      <c r="J321" s="302">
        <f t="shared" si="150"/>
        <v>7.5390269992880607E-2</v>
      </c>
      <c r="K321" s="303"/>
      <c r="L321" s="302">
        <v>7.0492113778207827E-2</v>
      </c>
      <c r="M321" s="302">
        <v>4.3029424002443669E-3</v>
      </c>
      <c r="N321" s="302">
        <v>6.8649580088518593E-3</v>
      </c>
      <c r="O321" s="302">
        <f t="shared" si="149"/>
        <v>8.166001418730405E-2</v>
      </c>
    </row>
    <row r="322" spans="1:15" s="236" customFormat="1" x14ac:dyDescent="0.2">
      <c r="A322" s="237" t="str">
        <f>name!E$11</f>
        <v>Process, plant and machine operatives</v>
      </c>
      <c r="B322" s="302">
        <v>0.16227930482526182</v>
      </c>
      <c r="C322" s="302">
        <v>3.9392789261964552E-2</v>
      </c>
      <c r="D322" s="302">
        <v>5.7144491426584419E-2</v>
      </c>
      <c r="E322" s="302">
        <f t="shared" si="147"/>
        <v>0.25881658551381076</v>
      </c>
      <c r="F322" s="303"/>
      <c r="G322" s="302">
        <v>7.2403796513691776E-2</v>
      </c>
      <c r="H322" s="302">
        <v>2.4783038911561045E-3</v>
      </c>
      <c r="I322" s="302">
        <v>5.7744816449619013E-2</v>
      </c>
      <c r="J322" s="302">
        <f t="shared" si="150"/>
        <v>0.1326269168544669</v>
      </c>
      <c r="K322" s="303"/>
      <c r="L322" s="302">
        <v>7.7789597650115075E-2</v>
      </c>
      <c r="M322" s="302">
        <v>5.6447420238441822E-3</v>
      </c>
      <c r="N322" s="302">
        <v>0.10046478028772847</v>
      </c>
      <c r="O322" s="302">
        <f t="shared" si="149"/>
        <v>0.18389911996168773</v>
      </c>
    </row>
    <row r="323" spans="1:15" s="236" customFormat="1" x14ac:dyDescent="0.2">
      <c r="A323" s="237" t="str">
        <f>name!E$12</f>
        <v>Elementary occupations</v>
      </c>
      <c r="B323" s="302">
        <v>0.13705478303370222</v>
      </c>
      <c r="C323" s="302">
        <v>4.9570889117611171E-2</v>
      </c>
      <c r="D323" s="302">
        <v>1.3906740769015685E-2</v>
      </c>
      <c r="E323" s="302">
        <f t="shared" si="147"/>
        <v>0.20053241292032908</v>
      </c>
      <c r="F323" s="303"/>
      <c r="G323" s="302">
        <v>6.0576939106846826E-2</v>
      </c>
      <c r="H323" s="302">
        <v>3.2673519537615848E-3</v>
      </c>
      <c r="I323" s="302">
        <v>1.1004097431776123E-2</v>
      </c>
      <c r="J323" s="302">
        <f t="shared" si="150"/>
        <v>7.4848388492384524E-2</v>
      </c>
      <c r="K323" s="303"/>
      <c r="L323" s="302">
        <v>4.5764758676720189E-2</v>
      </c>
      <c r="M323" s="302">
        <v>2.8206302646693378E-3</v>
      </c>
      <c r="N323" s="302">
        <v>1.068373090775848E-2</v>
      </c>
      <c r="O323" s="302">
        <f t="shared" si="149"/>
        <v>5.9269119849148011E-2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32</v>
      </c>
      <c r="B325" s="311">
        <f>SUM(B315:B323)</f>
        <v>3.4239999999989581</v>
      </c>
      <c r="C325" s="311">
        <f t="shared" ref="C325:E325" si="151">SUM(C315:C323)</f>
        <v>0.67300000000648708</v>
      </c>
      <c r="D325" s="311">
        <f t="shared" si="151"/>
        <v>0.34800000000292686</v>
      </c>
      <c r="E325" s="311">
        <f t="shared" si="151"/>
        <v>4.4450000000083723</v>
      </c>
      <c r="F325" s="311"/>
      <c r="G325" s="311">
        <f t="shared" ref="G325:J325" si="152">SUM(G315:G323)</f>
        <v>2.0619999999878926</v>
      </c>
      <c r="H325" s="311">
        <f t="shared" si="152"/>
        <v>5.5999999999710219E-2</v>
      </c>
      <c r="I325" s="311">
        <f t="shared" si="152"/>
        <v>0.37499999999747746</v>
      </c>
      <c r="J325" s="311">
        <f t="shared" si="152"/>
        <v>2.4929999999850803</v>
      </c>
      <c r="K325" s="311"/>
      <c r="L325" s="311">
        <f t="shared" ref="L325:O325" si="153">SUM(L315:L323)</f>
        <v>2.2199999999945641</v>
      </c>
      <c r="M325" s="311">
        <f t="shared" si="153"/>
        <v>6.199999999960859E-2</v>
      </c>
      <c r="N325" s="311">
        <f t="shared" si="153"/>
        <v>0.42499999999455523</v>
      </c>
      <c r="O325" s="311">
        <f t="shared" si="153"/>
        <v>2.706999999988728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35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name!A22</f>
        <v>Motor vehicles, etc</v>
      </c>
      <c r="B329" s="374">
        <f>$B$6</f>
        <v>2015</v>
      </c>
      <c r="C329" s="374"/>
      <c r="D329" s="374"/>
      <c r="E329" s="374"/>
      <c r="F329" s="263"/>
      <c r="G329" s="374">
        <f>$G$6</f>
        <v>2020</v>
      </c>
      <c r="H329" s="374"/>
      <c r="I329" s="374"/>
      <c r="J329" s="374"/>
      <c r="K329" s="263"/>
      <c r="L329" s="374">
        <f>$L$6</f>
        <v>2035</v>
      </c>
      <c r="M329" s="374"/>
      <c r="N329" s="374"/>
      <c r="O329" s="374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0.35769112012219251</v>
      </c>
      <c r="C332" s="302">
        <v>2.5963157309237189E-2</v>
      </c>
      <c r="D332" s="302">
        <v>4.4677608053601395E-2</v>
      </c>
      <c r="E332" s="302">
        <f>SUM(B332:D332)</f>
        <v>0.42833188548503109</v>
      </c>
      <c r="F332" s="303"/>
      <c r="G332" s="302">
        <v>0.31122874801326544</v>
      </c>
      <c r="H332" s="302">
        <v>4.402196553905844E-2</v>
      </c>
      <c r="I332" s="302">
        <v>8.64186867597935E-2</v>
      </c>
      <c r="J332" s="302">
        <f>SUM(G332:I332)</f>
        <v>0.44166940031211743</v>
      </c>
      <c r="K332" s="303"/>
      <c r="L332" s="302">
        <v>0.18542287941988211</v>
      </c>
      <c r="M332" s="302">
        <v>3.2595952859109718E-2</v>
      </c>
      <c r="N332" s="302">
        <v>5.1976268638660748E-2</v>
      </c>
      <c r="O332" s="302">
        <f>SUM(L332:N332)</f>
        <v>0.26999510091765255</v>
      </c>
    </row>
    <row r="333" spans="1:15" s="236" customFormat="1" x14ac:dyDescent="0.2">
      <c r="A333" s="237" t="str">
        <f>name!E$5</f>
        <v>Professional occupations</v>
      </c>
      <c r="B333" s="302">
        <v>0.73574429437503952</v>
      </c>
      <c r="C333" s="302">
        <v>4.2878452572800221E-2</v>
      </c>
      <c r="D333" s="302">
        <v>2.2588983184188113E-2</v>
      </c>
      <c r="E333" s="302">
        <f t="shared" ref="E333:E340" si="154">SUM(B333:D333)</f>
        <v>0.80121173013202784</v>
      </c>
      <c r="F333" s="303"/>
      <c r="G333" s="302">
        <v>0.71228173027010433</v>
      </c>
      <c r="H333" s="302">
        <v>6.3693307224392343E-2</v>
      </c>
      <c r="I333" s="302">
        <v>3.5641079433183571E-2</v>
      </c>
      <c r="J333" s="302">
        <f t="shared" ref="J333:J335" si="155">SUM(G333:I333)</f>
        <v>0.81161611692768032</v>
      </c>
      <c r="K333" s="303"/>
      <c r="L333" s="302">
        <v>0.49470630052553616</v>
      </c>
      <c r="M333" s="302">
        <v>4.3772954028935517E-2</v>
      </c>
      <c r="N333" s="302">
        <v>1.4651206461999362E-2</v>
      </c>
      <c r="O333" s="302">
        <f t="shared" ref="O333:O340" si="156">SUM(L333:N333)</f>
        <v>0.55313046101647101</v>
      </c>
    </row>
    <row r="334" spans="1:15" s="236" customFormat="1" x14ac:dyDescent="0.2">
      <c r="A334" s="237" t="str">
        <f>name!E$6</f>
        <v>Associate professional occupations</v>
      </c>
      <c r="B334" s="302">
        <v>0.34283991148764087</v>
      </c>
      <c r="C334" s="302">
        <v>3.6975639520481003E-2</v>
      </c>
      <c r="D334" s="302">
        <v>1.8472088569265542E-2</v>
      </c>
      <c r="E334" s="302">
        <f t="shared" si="154"/>
        <v>0.39828763957738739</v>
      </c>
      <c r="F334" s="303"/>
      <c r="G334" s="302">
        <v>0.32811601362936355</v>
      </c>
      <c r="H334" s="302">
        <v>4.3372993700954196E-2</v>
      </c>
      <c r="I334" s="302">
        <v>2.7831119131582874E-2</v>
      </c>
      <c r="J334" s="302">
        <f t="shared" si="155"/>
        <v>0.39932012646190063</v>
      </c>
      <c r="K334" s="303"/>
      <c r="L334" s="302">
        <v>0.18937710070487765</v>
      </c>
      <c r="M334" s="302">
        <v>2.345387692055996E-2</v>
      </c>
      <c r="N334" s="302">
        <v>1.2375108670104856E-2</v>
      </c>
      <c r="O334" s="302">
        <f t="shared" si="156"/>
        <v>0.22520608629554248</v>
      </c>
    </row>
    <row r="335" spans="1:15" s="236" customFormat="1" x14ac:dyDescent="0.2">
      <c r="A335" s="237" t="str">
        <f>name!E$7</f>
        <v>Administrative and secretarial occupations</v>
      </c>
      <c r="B335" s="302">
        <v>0.28404391415201313</v>
      </c>
      <c r="C335" s="302">
        <v>6.914232364439063E-2</v>
      </c>
      <c r="D335" s="302">
        <v>3.8946332686137465E-3</v>
      </c>
      <c r="E335" s="302">
        <f t="shared" si="154"/>
        <v>0.35708087106501751</v>
      </c>
      <c r="F335" s="303"/>
      <c r="G335" s="302">
        <v>0.24820281141213069</v>
      </c>
      <c r="H335" s="302">
        <v>5.1174975757289951E-2</v>
      </c>
      <c r="I335" s="302">
        <v>5.0543223244993432E-3</v>
      </c>
      <c r="J335" s="302">
        <f t="shared" si="155"/>
        <v>0.30443210949391997</v>
      </c>
      <c r="K335" s="303"/>
      <c r="L335" s="302">
        <v>0.14193295884121129</v>
      </c>
      <c r="M335" s="302">
        <v>2.6617895353357242E-2</v>
      </c>
      <c r="N335" s="302">
        <v>2.905168182097601E-3</v>
      </c>
      <c r="O335" s="302">
        <f t="shared" si="156"/>
        <v>0.17145602237666613</v>
      </c>
    </row>
    <row r="336" spans="1:15" s="236" customFormat="1" x14ac:dyDescent="0.2">
      <c r="A336" s="237" t="str">
        <f>name!E$8</f>
        <v>Skilled trades occupations</v>
      </c>
      <c r="B336" s="302">
        <v>0.89285401475724857</v>
      </c>
      <c r="C336" s="302">
        <v>8.787193454834652E-2</v>
      </c>
      <c r="D336" s="302">
        <v>5.7690889513615749E-2</v>
      </c>
      <c r="E336" s="302">
        <f t="shared" si="154"/>
        <v>1.0384168388192108</v>
      </c>
      <c r="F336" s="303"/>
      <c r="G336" s="302">
        <v>0.58399849449145269</v>
      </c>
      <c r="H336" s="302">
        <v>8.8572158275040974E-2</v>
      </c>
      <c r="I336" s="302">
        <v>8.6680346100571848E-2</v>
      </c>
      <c r="J336" s="302">
        <f>SUM(G336:I336)</f>
        <v>0.75925099886706549</v>
      </c>
      <c r="K336" s="303"/>
      <c r="L336" s="302">
        <v>0.28994404722170003</v>
      </c>
      <c r="M336" s="302">
        <v>6.8319643264571961E-2</v>
      </c>
      <c r="N336" s="302">
        <v>6.8034546686006045E-2</v>
      </c>
      <c r="O336" s="302">
        <f t="shared" si="156"/>
        <v>0.42629823717227805</v>
      </c>
    </row>
    <row r="337" spans="1:15" s="236" customFormat="1" x14ac:dyDescent="0.2">
      <c r="A337" s="237" t="str">
        <f>name!E$9</f>
        <v>Caring, leisure and other service occupations</v>
      </c>
      <c r="B337" s="302">
        <v>0.10246091368000801</v>
      </c>
      <c r="C337" s="302">
        <v>3.4902240570638801E-2</v>
      </c>
      <c r="D337" s="302">
        <v>2.7302805118986991E-3</v>
      </c>
      <c r="E337" s="302">
        <f t="shared" si="154"/>
        <v>0.14009343476254552</v>
      </c>
      <c r="F337" s="303"/>
      <c r="G337" s="302">
        <v>8.944591519324864E-2</v>
      </c>
      <c r="H337" s="302">
        <v>2.9443138599173385E-2</v>
      </c>
      <c r="I337" s="302">
        <v>3.7383881733464518E-3</v>
      </c>
      <c r="J337" s="302">
        <f t="shared" ref="J337:J340" si="157">SUM(G337:I337)</f>
        <v>0.12262744196576848</v>
      </c>
      <c r="K337" s="303"/>
      <c r="L337" s="302">
        <v>7.6761107922197785E-2</v>
      </c>
      <c r="M337" s="302">
        <v>1.6161466512363155E-2</v>
      </c>
      <c r="N337" s="302">
        <v>2.2487485802504641E-3</v>
      </c>
      <c r="O337" s="302">
        <f t="shared" si="156"/>
        <v>9.5171323014811404E-2</v>
      </c>
    </row>
    <row r="338" spans="1:15" s="236" customFormat="1" x14ac:dyDescent="0.2">
      <c r="A338" s="237" t="str">
        <f>name!E$10</f>
        <v>Sales and customer service occupations</v>
      </c>
      <c r="B338" s="302">
        <v>9.0639590522946942E-2</v>
      </c>
      <c r="C338" s="302">
        <v>4.4635232523700039E-2</v>
      </c>
      <c r="D338" s="302">
        <v>3.7122542135271251E-3</v>
      </c>
      <c r="E338" s="302">
        <f t="shared" si="154"/>
        <v>0.13898707726017412</v>
      </c>
      <c r="F338" s="303"/>
      <c r="G338" s="302">
        <v>6.8072355331928125E-2</v>
      </c>
      <c r="H338" s="302">
        <v>4.7808837000624813E-2</v>
      </c>
      <c r="I338" s="302">
        <v>4.8290461403337447E-3</v>
      </c>
      <c r="J338" s="302">
        <f t="shared" si="157"/>
        <v>0.12071023847288669</v>
      </c>
      <c r="K338" s="303"/>
      <c r="L338" s="302">
        <v>4.7678142947041521E-2</v>
      </c>
      <c r="M338" s="302">
        <v>3.7428487587098852E-2</v>
      </c>
      <c r="N338" s="302">
        <v>2.4125746629896786E-3</v>
      </c>
      <c r="O338" s="302">
        <f t="shared" si="156"/>
        <v>8.7519205197130051E-2</v>
      </c>
    </row>
    <row r="339" spans="1:15" s="236" customFormat="1" x14ac:dyDescent="0.2">
      <c r="A339" s="237" t="str">
        <f>name!E$11</f>
        <v>Process, plant and machine operatives</v>
      </c>
      <c r="B339" s="302">
        <v>0.3177234434259536</v>
      </c>
      <c r="C339" s="302">
        <v>0.10065234467345244</v>
      </c>
      <c r="D339" s="302">
        <v>1.9634389509720102E-2</v>
      </c>
      <c r="E339" s="302">
        <f t="shared" si="154"/>
        <v>0.43801017760912608</v>
      </c>
      <c r="F339" s="303"/>
      <c r="G339" s="302">
        <v>0.20803041823152668</v>
      </c>
      <c r="H339" s="302">
        <v>0.14328414977611129</v>
      </c>
      <c r="I339" s="302">
        <v>3.0163011509788781E-2</v>
      </c>
      <c r="J339" s="302">
        <f t="shared" si="157"/>
        <v>0.38147757951742672</v>
      </c>
      <c r="K339" s="303"/>
      <c r="L339" s="302">
        <v>0.11847223135931614</v>
      </c>
      <c r="M339" s="302">
        <v>9.1255575903008174E-2</v>
      </c>
      <c r="N339" s="302">
        <v>2.650410229158524E-2</v>
      </c>
      <c r="O339" s="302">
        <f t="shared" si="156"/>
        <v>0.23623190955390955</v>
      </c>
    </row>
    <row r="340" spans="1:15" s="236" customFormat="1" x14ac:dyDescent="0.2">
      <c r="A340" s="237" t="str">
        <f>name!E$12</f>
        <v>Elementary occupations</v>
      </c>
      <c r="B340" s="302">
        <v>0.21100279750008524</v>
      </c>
      <c r="C340" s="302">
        <v>6.197867465308219E-2</v>
      </c>
      <c r="D340" s="302">
        <v>3.5988731781308506E-3</v>
      </c>
      <c r="E340" s="302">
        <f t="shared" si="154"/>
        <v>0.27658034533129827</v>
      </c>
      <c r="F340" s="303"/>
      <c r="G340" s="302">
        <v>0.13462351340167578</v>
      </c>
      <c r="H340" s="302">
        <v>4.7628474117482722E-2</v>
      </c>
      <c r="I340" s="302">
        <v>3.6440004247209048E-3</v>
      </c>
      <c r="J340" s="302">
        <f t="shared" si="157"/>
        <v>0.1858959879438794</v>
      </c>
      <c r="K340" s="303"/>
      <c r="L340" s="302">
        <v>5.5705231047805143E-2</v>
      </c>
      <c r="M340" s="302">
        <v>1.8394147560910176E-2</v>
      </c>
      <c r="N340" s="302">
        <v>1.8922758241469158E-3</v>
      </c>
      <c r="O340" s="302">
        <f t="shared" si="156"/>
        <v>7.5991654432862238E-2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32</v>
      </c>
      <c r="B342" s="311">
        <f>SUM(B332:B340)</f>
        <v>3.3350000000231281</v>
      </c>
      <c r="C342" s="311">
        <f t="shared" ref="C342:E342" si="158">SUM(C332:C340)</f>
        <v>0.50500000001612899</v>
      </c>
      <c r="D342" s="311">
        <f t="shared" si="158"/>
        <v>0.17700000000256133</v>
      </c>
      <c r="E342" s="311">
        <f t="shared" si="158"/>
        <v>4.0170000000418185</v>
      </c>
      <c r="F342" s="311"/>
      <c r="G342" s="311">
        <f t="shared" ref="G342:J342" si="159">SUM(G332:G340)</f>
        <v>2.683999999974696</v>
      </c>
      <c r="H342" s="311">
        <f t="shared" si="159"/>
        <v>0.55899999999012817</v>
      </c>
      <c r="I342" s="311">
        <f t="shared" si="159"/>
        <v>0.283999999997821</v>
      </c>
      <c r="J342" s="311">
        <f t="shared" si="159"/>
        <v>3.5269999999626451</v>
      </c>
      <c r="K342" s="311"/>
      <c r="L342" s="311">
        <f t="shared" ref="L342:O342" si="160">SUM(L332:L340)</f>
        <v>1.5999999999895678</v>
      </c>
      <c r="M342" s="311">
        <f t="shared" si="160"/>
        <v>0.35799999998991477</v>
      </c>
      <c r="N342" s="311">
        <f t="shared" si="160"/>
        <v>0.18299999999784089</v>
      </c>
      <c r="O342" s="311">
        <f t="shared" si="160"/>
        <v>2.1409999999773235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35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name!A23</f>
        <v>Other transport equipment</v>
      </c>
      <c r="B346" s="374">
        <f>$B$6</f>
        <v>2015</v>
      </c>
      <c r="C346" s="374"/>
      <c r="D346" s="374"/>
      <c r="E346" s="374"/>
      <c r="F346" s="263"/>
      <c r="G346" s="374">
        <f>$G$6</f>
        <v>2020</v>
      </c>
      <c r="H346" s="374"/>
      <c r="I346" s="374"/>
      <c r="J346" s="374"/>
      <c r="K346" s="263"/>
      <c r="L346" s="374">
        <f>$L$6</f>
        <v>2035</v>
      </c>
      <c r="M346" s="374"/>
      <c r="N346" s="374"/>
      <c r="O346" s="374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9.9911303642975763E-2</v>
      </c>
      <c r="C349" s="302">
        <v>3.565650480538403E-4</v>
      </c>
      <c r="D349" s="302">
        <v>1.3686813722551504E-3</v>
      </c>
      <c r="E349" s="302">
        <f>SUM(B349:D349)</f>
        <v>0.10163655006328476</v>
      </c>
      <c r="F349" s="303"/>
      <c r="G349" s="302">
        <v>0.19671898526044462</v>
      </c>
      <c r="H349" s="302">
        <v>8.9420452790237616E-3</v>
      </c>
      <c r="I349" s="302">
        <v>1.3387966388159788E-2</v>
      </c>
      <c r="J349" s="302">
        <f>SUM(G349:I349)</f>
        <v>0.21904899692762816</v>
      </c>
      <c r="K349" s="303"/>
      <c r="L349" s="302">
        <v>0.12244514545480707</v>
      </c>
      <c r="M349" s="302">
        <v>4.1944970914698588E-3</v>
      </c>
      <c r="N349" s="302">
        <v>7.2828110937975124E-3</v>
      </c>
      <c r="O349" s="302">
        <f>SUM(L349:N349)</f>
        <v>0.13392245364007446</v>
      </c>
    </row>
    <row r="350" spans="1:15" s="236" customFormat="1" x14ac:dyDescent="0.2">
      <c r="A350" s="237" t="str">
        <f>name!E$5</f>
        <v>Professional occupations</v>
      </c>
      <c r="B350" s="302">
        <v>0.21513193218323109</v>
      </c>
      <c r="C350" s="302">
        <v>4.8916388073123971E-4</v>
      </c>
      <c r="D350" s="302">
        <v>1.2015205482953815E-3</v>
      </c>
      <c r="E350" s="302">
        <f t="shared" ref="E350:E357" si="161">SUM(B350:D350)</f>
        <v>0.21682261661225774</v>
      </c>
      <c r="F350" s="303"/>
      <c r="G350" s="302">
        <v>0.48336486966617676</v>
      </c>
      <c r="H350" s="302">
        <v>1.1091081483828775E-2</v>
      </c>
      <c r="I350" s="302">
        <v>9.7919807525983383E-3</v>
      </c>
      <c r="J350" s="302">
        <f t="shared" ref="J350:J352" si="162">SUM(G350:I350)</f>
        <v>0.50424793190260386</v>
      </c>
      <c r="K350" s="303"/>
      <c r="L350" s="302">
        <v>0.35624521304231105</v>
      </c>
      <c r="M350" s="302">
        <v>6.0751944041176013E-3</v>
      </c>
      <c r="N350" s="302">
        <v>3.2553308038908188E-3</v>
      </c>
      <c r="O350" s="302">
        <f t="shared" ref="O350:O357" si="163">SUM(L350:N350)</f>
        <v>0.36557573825031947</v>
      </c>
    </row>
    <row r="351" spans="1:15" s="236" customFormat="1" x14ac:dyDescent="0.2">
      <c r="A351" s="237" t="str">
        <f>name!E$6</f>
        <v>Associate professional occupations</v>
      </c>
      <c r="B351" s="302">
        <v>0.12563775454821657</v>
      </c>
      <c r="C351" s="302">
        <v>2.6579480014571257E-4</v>
      </c>
      <c r="D351" s="302">
        <v>1.0440746866489028E-3</v>
      </c>
      <c r="E351" s="302">
        <f t="shared" si="161"/>
        <v>0.1269476240350112</v>
      </c>
      <c r="F351" s="303"/>
      <c r="G351" s="302">
        <v>0.26952732130785112</v>
      </c>
      <c r="H351" s="302">
        <v>5.4355318470595704E-3</v>
      </c>
      <c r="I351" s="302">
        <v>5.823539432155119E-3</v>
      </c>
      <c r="J351" s="302">
        <f t="shared" si="162"/>
        <v>0.28078639258706584</v>
      </c>
      <c r="K351" s="303"/>
      <c r="L351" s="302">
        <v>0.17035916901807935</v>
      </c>
      <c r="M351" s="302">
        <v>2.6711881530690684E-3</v>
      </c>
      <c r="N351" s="302">
        <v>3.1202040378360751E-3</v>
      </c>
      <c r="O351" s="302">
        <f t="shared" si="163"/>
        <v>0.17615056120898451</v>
      </c>
    </row>
    <row r="352" spans="1:15" s="236" customFormat="1" x14ac:dyDescent="0.2">
      <c r="A352" s="237" t="str">
        <f>name!E$7</f>
        <v>Administrative and secretarial occupations</v>
      </c>
      <c r="B352" s="302">
        <v>6.3292419888540161E-2</v>
      </c>
      <c r="C352" s="302">
        <v>6.6043961492747208E-4</v>
      </c>
      <c r="D352" s="302">
        <v>2.8333281652968964E-4</v>
      </c>
      <c r="E352" s="302">
        <f t="shared" si="161"/>
        <v>6.4236192319997318E-2</v>
      </c>
      <c r="F352" s="303"/>
      <c r="G352" s="302">
        <v>0.1219978345214599</v>
      </c>
      <c r="H352" s="302">
        <v>9.265159355543038E-3</v>
      </c>
      <c r="I352" s="302">
        <v>1.1823082221094207E-3</v>
      </c>
      <c r="J352" s="302">
        <f t="shared" si="162"/>
        <v>0.13244530209911234</v>
      </c>
      <c r="K352" s="303"/>
      <c r="L352" s="302">
        <v>6.2978356584924164E-2</v>
      </c>
      <c r="M352" s="302">
        <v>5.7516499212700517E-3</v>
      </c>
      <c r="N352" s="302">
        <v>6.4781441356708165E-4</v>
      </c>
      <c r="O352" s="302">
        <f t="shared" si="163"/>
        <v>6.9377820919761302E-2</v>
      </c>
    </row>
    <row r="353" spans="1:15" s="236" customFormat="1" x14ac:dyDescent="0.2">
      <c r="A353" s="237" t="str">
        <f>name!E$8</f>
        <v>Skilled trades occupations</v>
      </c>
      <c r="B353" s="302">
        <v>0.29310253232911421</v>
      </c>
      <c r="C353" s="302">
        <v>5.5411240397130448E-4</v>
      </c>
      <c r="D353" s="302">
        <v>2.2080243272760643E-2</v>
      </c>
      <c r="E353" s="302">
        <f t="shared" si="161"/>
        <v>0.31573688800584615</v>
      </c>
      <c r="F353" s="303"/>
      <c r="G353" s="302">
        <v>0.42050329296719618</v>
      </c>
      <c r="H353" s="302">
        <v>7.0235588372182479E-3</v>
      </c>
      <c r="I353" s="302">
        <v>0.21904890891608275</v>
      </c>
      <c r="J353" s="302">
        <f>SUM(G353:I353)</f>
        <v>0.64657576072049716</v>
      </c>
      <c r="K353" s="303"/>
      <c r="L353" s="302">
        <v>0.20972938337844882</v>
      </c>
      <c r="M353" s="302">
        <v>1.0194345748638638E-3</v>
      </c>
      <c r="N353" s="302">
        <v>0.11212877122649431</v>
      </c>
      <c r="O353" s="302">
        <f t="shared" si="163"/>
        <v>0.32287758917980702</v>
      </c>
    </row>
    <row r="354" spans="1:15" s="236" customFormat="1" x14ac:dyDescent="0.2">
      <c r="A354" s="237" t="str">
        <f>name!E$9</f>
        <v>Caring, leisure and other service occupations</v>
      </c>
      <c r="B354" s="302">
        <v>4.0226116625391517E-3</v>
      </c>
      <c r="C354" s="302">
        <v>5.2494893852804981E-5</v>
      </c>
      <c r="D354" s="302">
        <v>6.5007083289590165E-4</v>
      </c>
      <c r="E354" s="302">
        <f t="shared" si="161"/>
        <v>4.7251773892878586E-3</v>
      </c>
      <c r="F354" s="303"/>
      <c r="G354" s="302">
        <v>7.7213840664417466E-3</v>
      </c>
      <c r="H354" s="302">
        <v>9.1523531325794967E-4</v>
      </c>
      <c r="I354" s="302">
        <v>1.9802029810294564E-3</v>
      </c>
      <c r="J354" s="302">
        <f t="shared" ref="J354:J357" si="164">SUM(G354:I354)</f>
        <v>1.0616822360729153E-2</v>
      </c>
      <c r="K354" s="303"/>
      <c r="L354" s="302">
        <v>5.5141380728550909E-3</v>
      </c>
      <c r="M354" s="302">
        <v>6.3137314891831546E-4</v>
      </c>
      <c r="N354" s="302">
        <v>1.4189329699249519E-3</v>
      </c>
      <c r="O354" s="302">
        <f t="shared" si="163"/>
        <v>7.5644441916983586E-3</v>
      </c>
    </row>
    <row r="355" spans="1:15" s="236" customFormat="1" x14ac:dyDescent="0.2">
      <c r="A355" s="237" t="str">
        <f>name!E$10</f>
        <v>Sales and customer service occupations</v>
      </c>
      <c r="B355" s="302">
        <v>1.1780555010962392E-2</v>
      </c>
      <c r="C355" s="302">
        <v>1.7198042145353675E-4</v>
      </c>
      <c r="D355" s="302">
        <v>3.9977150384218444E-4</v>
      </c>
      <c r="E355" s="302">
        <f t="shared" si="161"/>
        <v>1.2352306936258115E-2</v>
      </c>
      <c r="F355" s="303"/>
      <c r="G355" s="302">
        <v>2.1475931271676699E-2</v>
      </c>
      <c r="H355" s="302">
        <v>2.7227074662958105E-3</v>
      </c>
      <c r="I355" s="302">
        <v>1.8357362938320749E-3</v>
      </c>
      <c r="J355" s="302">
        <f t="shared" si="164"/>
        <v>2.6034375031804585E-2</v>
      </c>
      <c r="K355" s="303"/>
      <c r="L355" s="302">
        <v>1.6518439994188755E-2</v>
      </c>
      <c r="M355" s="302">
        <v>2.1570871313404136E-3</v>
      </c>
      <c r="N355" s="302">
        <v>9.4822222819364635E-4</v>
      </c>
      <c r="O355" s="302">
        <f t="shared" si="163"/>
        <v>1.9623749353722814E-2</v>
      </c>
    </row>
    <row r="356" spans="1:15" s="236" customFormat="1" x14ac:dyDescent="0.2">
      <c r="A356" s="237" t="str">
        <f>name!E$11</f>
        <v>Process, plant and machine operatives</v>
      </c>
      <c r="B356" s="302">
        <v>3.3584005693769944E-2</v>
      </c>
      <c r="C356" s="302">
        <v>2.2512498066704057E-3</v>
      </c>
      <c r="D356" s="302">
        <v>3.6983366592731192E-3</v>
      </c>
      <c r="E356" s="302">
        <f t="shared" si="161"/>
        <v>3.9533592159713471E-2</v>
      </c>
      <c r="F356" s="303"/>
      <c r="G356" s="302">
        <v>4.6734277218228641E-2</v>
      </c>
      <c r="H356" s="302">
        <v>3.2981518849017316E-2</v>
      </c>
      <c r="I356" s="302">
        <v>3.8856773793758251E-2</v>
      </c>
      <c r="J356" s="302">
        <f t="shared" si="164"/>
        <v>0.11857256986100422</v>
      </c>
      <c r="K356" s="303"/>
      <c r="L356" s="302">
        <v>2.3945906656717877E-2</v>
      </c>
      <c r="M356" s="302">
        <v>2.9269278873521536E-2</v>
      </c>
      <c r="N356" s="302">
        <v>3.7869895267487338E-2</v>
      </c>
      <c r="O356" s="302">
        <f t="shared" si="163"/>
        <v>9.1085080797726758E-2</v>
      </c>
    </row>
    <row r="357" spans="1:15" s="236" customFormat="1" x14ac:dyDescent="0.2">
      <c r="A357" s="237" t="str">
        <f>name!E$12</f>
        <v>Elementary occupations</v>
      </c>
      <c r="B357" s="302">
        <v>2.1536885042977055E-2</v>
      </c>
      <c r="C357" s="302">
        <v>1.1981991303988044E-3</v>
      </c>
      <c r="D357" s="302">
        <v>3.2739683076236752E-3</v>
      </c>
      <c r="E357" s="302">
        <f t="shared" si="161"/>
        <v>2.6009052480999533E-2</v>
      </c>
      <c r="F357" s="303"/>
      <c r="G357" s="302">
        <v>2.9956103711006855E-2</v>
      </c>
      <c r="H357" s="302">
        <v>1.7623161566953493E-2</v>
      </c>
      <c r="I357" s="302">
        <v>2.809258320487636E-2</v>
      </c>
      <c r="J357" s="302">
        <f t="shared" si="164"/>
        <v>7.5671848482836701E-2</v>
      </c>
      <c r="K357" s="303"/>
      <c r="L357" s="302">
        <v>1.1264247798145336E-2</v>
      </c>
      <c r="M357" s="302">
        <v>1.023029669917026E-2</v>
      </c>
      <c r="N357" s="302">
        <v>2.5328017944719262E-2</v>
      </c>
      <c r="O357" s="302">
        <f t="shared" si="163"/>
        <v>4.6822562442034858E-2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32</v>
      </c>
      <c r="B359" s="311">
        <f>SUM(B349:B357)</f>
        <v>0.86800000000232636</v>
      </c>
      <c r="C359" s="311">
        <f t="shared" ref="C359:E359" si="165">SUM(C349:C357)</f>
        <v>6.0000000002051199E-3</v>
      </c>
      <c r="D359" s="311">
        <f t="shared" si="165"/>
        <v>3.4000000000124646E-2</v>
      </c>
      <c r="E359" s="311">
        <f t="shared" si="165"/>
        <v>0.90800000000265602</v>
      </c>
      <c r="F359" s="311"/>
      <c r="G359" s="311">
        <f t="shared" ref="G359:J359" si="166">SUM(G349:G357)</f>
        <v>1.5979999999904826</v>
      </c>
      <c r="H359" s="311">
        <f t="shared" si="166"/>
        <v>9.5999999998197957E-2</v>
      </c>
      <c r="I359" s="311">
        <f t="shared" si="166"/>
        <v>0.31999999998460155</v>
      </c>
      <c r="J359" s="311">
        <f t="shared" si="166"/>
        <v>2.0139999999732821</v>
      </c>
      <c r="K359" s="311"/>
      <c r="L359" s="311">
        <f t="shared" ref="L359:O359" si="167">SUM(L349:L357)</f>
        <v>0.9790000000004776</v>
      </c>
      <c r="M359" s="311">
        <f t="shared" si="167"/>
        <v>6.1999999997740973E-2</v>
      </c>
      <c r="N359" s="311">
        <f t="shared" si="167"/>
        <v>0.19199999998591102</v>
      </c>
      <c r="O359" s="311">
        <f t="shared" si="167"/>
        <v>1.2329999999841297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35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name!A24</f>
        <v>Furniture</v>
      </c>
      <c r="B363" s="374">
        <f>$B$6</f>
        <v>2015</v>
      </c>
      <c r="C363" s="374"/>
      <c r="D363" s="374"/>
      <c r="E363" s="374"/>
      <c r="F363" s="263"/>
      <c r="G363" s="374">
        <f>$G$6</f>
        <v>2020</v>
      </c>
      <c r="H363" s="374"/>
      <c r="I363" s="374"/>
      <c r="J363" s="374"/>
      <c r="K363" s="263"/>
      <c r="L363" s="374">
        <f>$L$6</f>
        <v>2035</v>
      </c>
      <c r="M363" s="374"/>
      <c r="N363" s="374"/>
      <c r="O363" s="374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0.58781543478720344</v>
      </c>
      <c r="C366" s="302">
        <v>7.2495128069280115E-2</v>
      </c>
      <c r="D366" s="302">
        <v>0.12304919381325752</v>
      </c>
      <c r="E366" s="302">
        <f>SUM(B366:D366)</f>
        <v>0.78335975666974111</v>
      </c>
      <c r="F366" s="303"/>
      <c r="G366" s="302">
        <v>0.44683256786029846</v>
      </c>
      <c r="H366" s="302">
        <v>9.094313470005963E-2</v>
      </c>
      <c r="I366" s="302">
        <v>0.12076339386319165</v>
      </c>
      <c r="J366" s="302">
        <f>SUM(G366:I366)</f>
        <v>0.6585390964235498</v>
      </c>
      <c r="K366" s="303"/>
      <c r="L366" s="302">
        <v>0.32792632253716325</v>
      </c>
      <c r="M366" s="302">
        <v>5.4144185734298959E-2</v>
      </c>
      <c r="N366" s="302">
        <v>9.3441119604665696E-2</v>
      </c>
      <c r="O366" s="302">
        <f>SUM(L366:N366)</f>
        <v>0.47551162787612788</v>
      </c>
    </row>
    <row r="367" spans="1:15" s="236" customFormat="1" x14ac:dyDescent="0.2">
      <c r="A367" s="237" t="str">
        <f>name!E$5</f>
        <v>Professional occupations</v>
      </c>
      <c r="B367" s="302">
        <v>0.53359495858547801</v>
      </c>
      <c r="C367" s="302">
        <v>5.3682621989390722E-2</v>
      </c>
      <c r="D367" s="302">
        <v>8.375117411872228E-2</v>
      </c>
      <c r="E367" s="302">
        <f t="shared" ref="E367:E374" si="168">SUM(B367:D367)</f>
        <v>0.67102875469359091</v>
      </c>
      <c r="F367" s="303"/>
      <c r="G367" s="302">
        <v>0.45592685631606827</v>
      </c>
      <c r="H367" s="302">
        <v>0.11425469595195241</v>
      </c>
      <c r="I367" s="302">
        <v>9.2927953783591449E-2</v>
      </c>
      <c r="J367" s="302">
        <f t="shared" ref="J367:J369" si="169">SUM(G367:I367)</f>
        <v>0.66310950605161212</v>
      </c>
      <c r="K367" s="303"/>
      <c r="L367" s="302">
        <v>0.39396112460835786</v>
      </c>
      <c r="M367" s="302">
        <v>8.2394260593191881E-2</v>
      </c>
      <c r="N367" s="302">
        <v>6.3491827449750307E-2</v>
      </c>
      <c r="O367" s="302">
        <f t="shared" ref="O367:O374" si="170">SUM(L367:N367)</f>
        <v>0.53984721265130009</v>
      </c>
    </row>
    <row r="368" spans="1:15" s="236" customFormat="1" x14ac:dyDescent="0.2">
      <c r="A368" s="237" t="str">
        <f>name!E$6</f>
        <v>Associate professional occupations</v>
      </c>
      <c r="B368" s="302">
        <v>0.5123508710687652</v>
      </c>
      <c r="C368" s="302">
        <v>9.178792424113362E-2</v>
      </c>
      <c r="D368" s="302">
        <v>0.11569825401819271</v>
      </c>
      <c r="E368" s="302">
        <f t="shared" si="168"/>
        <v>0.71983704932809145</v>
      </c>
      <c r="F368" s="303"/>
      <c r="G368" s="302">
        <v>0.40765334249551055</v>
      </c>
      <c r="H368" s="302">
        <v>0.12937944832876366</v>
      </c>
      <c r="I368" s="302">
        <v>0.10170765045207585</v>
      </c>
      <c r="J368" s="302">
        <f t="shared" si="169"/>
        <v>0.6387404412763501</v>
      </c>
      <c r="K368" s="303"/>
      <c r="L368" s="302">
        <v>0.31234676723531274</v>
      </c>
      <c r="M368" s="302">
        <v>7.3373145541794416E-2</v>
      </c>
      <c r="N368" s="302">
        <v>8.2711219593112256E-2</v>
      </c>
      <c r="O368" s="302">
        <f t="shared" si="170"/>
        <v>0.46843113237021938</v>
      </c>
    </row>
    <row r="369" spans="1:15" s="236" customFormat="1" x14ac:dyDescent="0.2">
      <c r="A369" s="237" t="str">
        <f>name!E$7</f>
        <v>Administrative and secretarial occupations</v>
      </c>
      <c r="B369" s="302">
        <v>0.19905421080083555</v>
      </c>
      <c r="C369" s="302">
        <v>0.14091379813509822</v>
      </c>
      <c r="D369" s="302">
        <v>1.878046393716162E-2</v>
      </c>
      <c r="E369" s="302">
        <f t="shared" si="168"/>
        <v>0.35874847287309536</v>
      </c>
      <c r="F369" s="303"/>
      <c r="G369" s="302">
        <v>0.14514657053988042</v>
      </c>
      <c r="H369" s="302">
        <v>0.20421064769340824</v>
      </c>
      <c r="I369" s="302">
        <v>1.5102700148490144E-2</v>
      </c>
      <c r="J369" s="302">
        <f t="shared" si="169"/>
        <v>0.36445991838177882</v>
      </c>
      <c r="K369" s="303"/>
      <c r="L369" s="302">
        <v>8.8689145176844134E-2</v>
      </c>
      <c r="M369" s="302">
        <v>0.1001391820862496</v>
      </c>
      <c r="N369" s="302">
        <v>8.0020481424548737E-3</v>
      </c>
      <c r="O369" s="302">
        <f t="shared" si="170"/>
        <v>0.1968303754055486</v>
      </c>
    </row>
    <row r="370" spans="1:15" s="236" customFormat="1" x14ac:dyDescent="0.2">
      <c r="A370" s="237" t="str">
        <f>name!E$8</f>
        <v>Skilled trades occupations</v>
      </c>
      <c r="B370" s="302">
        <v>0.81939953312479064</v>
      </c>
      <c r="C370" s="302">
        <v>0.12343359007550353</v>
      </c>
      <c r="D370" s="302">
        <v>0.51232948912211596</v>
      </c>
      <c r="E370" s="302">
        <f t="shared" si="168"/>
        <v>1.4551626123224102</v>
      </c>
      <c r="F370" s="303"/>
      <c r="G370" s="302">
        <v>0.447256331334702</v>
      </c>
      <c r="H370" s="302">
        <v>8.9668112256520882E-2</v>
      </c>
      <c r="I370" s="302">
        <v>0.37008045254628597</v>
      </c>
      <c r="J370" s="302">
        <f>SUM(G370:I370)</f>
        <v>0.90700489613750879</v>
      </c>
      <c r="K370" s="303"/>
      <c r="L370" s="302">
        <v>0.24597664096078881</v>
      </c>
      <c r="M370" s="302">
        <v>7.0481665424495826E-2</v>
      </c>
      <c r="N370" s="302">
        <v>0.24329012540816633</v>
      </c>
      <c r="O370" s="302">
        <f t="shared" si="170"/>
        <v>0.55974843179345091</v>
      </c>
    </row>
    <row r="371" spans="1:15" s="236" customFormat="1" x14ac:dyDescent="0.2">
      <c r="A371" s="237" t="str">
        <f>name!E$9</f>
        <v>Caring, leisure and other service occupations</v>
      </c>
      <c r="B371" s="302">
        <v>1.9173779700233765E-2</v>
      </c>
      <c r="C371" s="302">
        <v>2.4672052768146983E-2</v>
      </c>
      <c r="D371" s="302">
        <v>7.7903067284895485E-3</v>
      </c>
      <c r="E371" s="302">
        <f t="shared" si="168"/>
        <v>5.1636139196870302E-2</v>
      </c>
      <c r="F371" s="303"/>
      <c r="G371" s="302">
        <v>1.3750970928293849E-2</v>
      </c>
      <c r="H371" s="302">
        <v>4.4624404497152381E-2</v>
      </c>
      <c r="I371" s="302">
        <v>6.8376585526741702E-3</v>
      </c>
      <c r="J371" s="302">
        <f t="shared" ref="J371:J374" si="171">SUM(G371:I371)</f>
        <v>6.5213033978120394E-2</v>
      </c>
      <c r="K371" s="303"/>
      <c r="L371" s="302">
        <v>1.2935534446615772E-2</v>
      </c>
      <c r="M371" s="302">
        <v>2.9938084218343309E-2</v>
      </c>
      <c r="N371" s="302">
        <v>6.3835513174265463E-3</v>
      </c>
      <c r="O371" s="302">
        <f t="shared" si="170"/>
        <v>4.9257169982385628E-2</v>
      </c>
    </row>
    <row r="372" spans="1:15" s="236" customFormat="1" x14ac:dyDescent="0.2">
      <c r="A372" s="237" t="str">
        <f>name!E$10</f>
        <v>Sales and customer service occupations</v>
      </c>
      <c r="B372" s="302">
        <v>0.12832757184082871</v>
      </c>
      <c r="C372" s="302">
        <v>5.4528305632429552E-2</v>
      </c>
      <c r="D372" s="302">
        <v>1.9747607946731128E-2</v>
      </c>
      <c r="E372" s="302">
        <f t="shared" si="168"/>
        <v>0.2026034854199894</v>
      </c>
      <c r="F372" s="303"/>
      <c r="G372" s="302">
        <v>8.138943660498392E-2</v>
      </c>
      <c r="H372" s="302">
        <v>0.10034966992936475</v>
      </c>
      <c r="I372" s="302">
        <v>1.3191906126241121E-2</v>
      </c>
      <c r="J372" s="302">
        <f t="shared" si="171"/>
        <v>0.19493101266058979</v>
      </c>
      <c r="K372" s="303"/>
      <c r="L372" s="302">
        <v>6.1375638313208865E-2</v>
      </c>
      <c r="M372" s="302">
        <v>8.7096355568483691E-2</v>
      </c>
      <c r="N372" s="302">
        <v>8.5776607081958171E-3</v>
      </c>
      <c r="O372" s="302">
        <f t="shared" si="170"/>
        <v>0.15704965458988837</v>
      </c>
    </row>
    <row r="373" spans="1:15" s="236" customFormat="1" x14ac:dyDescent="0.2">
      <c r="A373" s="237" t="str">
        <f>name!E$11</f>
        <v>Process, plant and machine operatives</v>
      </c>
      <c r="B373" s="302">
        <v>0.21215006496455185</v>
      </c>
      <c r="C373" s="302">
        <v>8.5181411397343296E-2</v>
      </c>
      <c r="D373" s="302">
        <v>5.2584137823681584E-2</v>
      </c>
      <c r="E373" s="302">
        <f t="shared" si="168"/>
        <v>0.34991561418557676</v>
      </c>
      <c r="F373" s="303"/>
      <c r="G373" s="302">
        <v>0.12187044158042792</v>
      </c>
      <c r="H373" s="302">
        <v>8.8229664941057093E-2</v>
      </c>
      <c r="I373" s="302">
        <v>4.7707324014647667E-2</v>
      </c>
      <c r="J373" s="302">
        <f t="shared" si="171"/>
        <v>0.2578074305361327</v>
      </c>
      <c r="K373" s="303"/>
      <c r="L373" s="302">
        <v>7.3717134886813043E-2</v>
      </c>
      <c r="M373" s="302">
        <v>0.11474766422354182</v>
      </c>
      <c r="N373" s="302">
        <v>3.2116462609186679E-2</v>
      </c>
      <c r="O373" s="302">
        <f t="shared" si="170"/>
        <v>0.22058126171954154</v>
      </c>
    </row>
    <row r="374" spans="1:15" s="236" customFormat="1" x14ac:dyDescent="0.2">
      <c r="A374" s="237" t="str">
        <f>name!E$12</f>
        <v>Elementary occupations</v>
      </c>
      <c r="B374" s="302">
        <v>0.15413357513987591</v>
      </c>
      <c r="C374" s="302">
        <v>7.0305167706568569E-2</v>
      </c>
      <c r="D374" s="302">
        <v>9.2693724962834637E-3</v>
      </c>
      <c r="E374" s="302">
        <f t="shared" si="168"/>
        <v>0.23370811534272795</v>
      </c>
      <c r="F374" s="303"/>
      <c r="G374" s="302">
        <v>8.6173482322404238E-2</v>
      </c>
      <c r="H374" s="302">
        <v>0.10834022169433952</v>
      </c>
      <c r="I374" s="302">
        <v>5.6809605106065133E-3</v>
      </c>
      <c r="J374" s="302">
        <f t="shared" si="171"/>
        <v>0.20019466452735027</v>
      </c>
      <c r="K374" s="303"/>
      <c r="L374" s="302">
        <v>3.8071691831414622E-2</v>
      </c>
      <c r="M374" s="302">
        <v>6.6685456597035161E-2</v>
      </c>
      <c r="N374" s="302">
        <v>3.9859851632695819E-3</v>
      </c>
      <c r="O374" s="302">
        <f t="shared" si="170"/>
        <v>0.10874313359171936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32</v>
      </c>
      <c r="B376" s="311">
        <f>SUM(B366:B374)</f>
        <v>3.1660000000125628</v>
      </c>
      <c r="C376" s="311">
        <f t="shared" ref="C376:E376" si="172">SUM(C366:C374)</f>
        <v>0.7170000000148945</v>
      </c>
      <c r="D376" s="311">
        <f t="shared" si="172"/>
        <v>0.9430000000046358</v>
      </c>
      <c r="E376" s="311">
        <f t="shared" si="172"/>
        <v>4.8260000000320931</v>
      </c>
      <c r="F376" s="311"/>
      <c r="G376" s="311">
        <f t="shared" ref="G376:J376" si="173">SUM(G366:G374)</f>
        <v>2.2059999999825699</v>
      </c>
      <c r="H376" s="311">
        <f t="shared" si="173"/>
        <v>0.96999999999261866</v>
      </c>
      <c r="I376" s="311">
        <f t="shared" si="173"/>
        <v>0.77399999999780444</v>
      </c>
      <c r="J376" s="311">
        <f t="shared" si="173"/>
        <v>3.9499999999729924</v>
      </c>
      <c r="K376" s="311"/>
      <c r="L376" s="311">
        <f t="shared" ref="L376:O376" si="174">SUM(L366:L374)</f>
        <v>1.5549999999965192</v>
      </c>
      <c r="M376" s="311">
        <f t="shared" si="174"/>
        <v>0.67899999998743477</v>
      </c>
      <c r="N376" s="311">
        <f t="shared" si="174"/>
        <v>0.54199999999622805</v>
      </c>
      <c r="O376" s="311">
        <f t="shared" si="174"/>
        <v>2.7759999999801823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35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name!A25</f>
        <v>Other manufacturing</v>
      </c>
      <c r="B380" s="374">
        <f>$B$6</f>
        <v>2015</v>
      </c>
      <c r="C380" s="374"/>
      <c r="D380" s="374"/>
      <c r="E380" s="374"/>
      <c r="F380" s="263"/>
      <c r="G380" s="374">
        <f>$G$6</f>
        <v>2020</v>
      </c>
      <c r="H380" s="374"/>
      <c r="I380" s="374"/>
      <c r="J380" s="374"/>
      <c r="K380" s="263"/>
      <c r="L380" s="374">
        <f>$L$6</f>
        <v>2035</v>
      </c>
      <c r="M380" s="374"/>
      <c r="N380" s="374"/>
      <c r="O380" s="374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0.72786660421565841</v>
      </c>
      <c r="C383" s="302">
        <v>0.13439126388075556</v>
      </c>
      <c r="D383" s="302">
        <v>0.10597391397979992</v>
      </c>
      <c r="E383" s="302">
        <f>SUM(B383:D383)</f>
        <v>0.96823178207621385</v>
      </c>
      <c r="F383" s="303"/>
      <c r="G383" s="302">
        <v>1.3320102433174068</v>
      </c>
      <c r="H383" s="302">
        <v>7.8896469227930477E-2</v>
      </c>
      <c r="I383" s="302">
        <v>0.32476725583823846</v>
      </c>
      <c r="J383" s="302">
        <f>SUM(G383:I383)</f>
        <v>1.7356739683835756</v>
      </c>
      <c r="K383" s="303"/>
      <c r="L383" s="302">
        <v>0.97932852538948334</v>
      </c>
      <c r="M383" s="302">
        <v>5.2614209140250737E-2</v>
      </c>
      <c r="N383" s="302">
        <v>0.22108291750237255</v>
      </c>
      <c r="O383" s="302">
        <f>SUM(L383:N383)</f>
        <v>1.2530256520321066</v>
      </c>
    </row>
    <row r="384" spans="1:15" s="236" customFormat="1" x14ac:dyDescent="0.2">
      <c r="A384" s="237" t="str">
        <f>name!E$5</f>
        <v>Professional occupations</v>
      </c>
      <c r="B384" s="302">
        <v>0.85741839948633769</v>
      </c>
      <c r="C384" s="302">
        <v>9.1022447898953904E-2</v>
      </c>
      <c r="D384" s="302">
        <v>9.8185345148902772E-2</v>
      </c>
      <c r="E384" s="302">
        <f t="shared" ref="E384:E391" si="175">SUM(B384:D384)</f>
        <v>1.0466261925341944</v>
      </c>
      <c r="F384" s="303"/>
      <c r="G384" s="302">
        <v>1.8002510563911509</v>
      </c>
      <c r="H384" s="302">
        <v>6.7431825995202366E-2</v>
      </c>
      <c r="I384" s="302">
        <v>0.26339303046318197</v>
      </c>
      <c r="J384" s="302">
        <f t="shared" ref="J384:J386" si="176">SUM(G384:I384)</f>
        <v>2.1310759128495351</v>
      </c>
      <c r="K384" s="303"/>
      <c r="L384" s="302">
        <v>1.5364208312610337</v>
      </c>
      <c r="M384" s="302">
        <v>5.6318172586220315E-2</v>
      </c>
      <c r="N384" s="302">
        <v>0.17283746180210821</v>
      </c>
      <c r="O384" s="302">
        <f t="shared" ref="O384:O391" si="177">SUM(L384:N384)</f>
        <v>1.7655764656493622</v>
      </c>
    </row>
    <row r="385" spans="1:15" s="236" customFormat="1" x14ac:dyDescent="0.2">
      <c r="A385" s="237" t="str">
        <f>name!E$6</f>
        <v>Associate professional occupations</v>
      </c>
      <c r="B385" s="302">
        <v>0.77991096872767429</v>
      </c>
      <c r="C385" s="302">
        <v>0.14778035008467286</v>
      </c>
      <c r="D385" s="302">
        <v>0.13031110356610892</v>
      </c>
      <c r="E385" s="302">
        <f t="shared" si="175"/>
        <v>1.0580024223784561</v>
      </c>
      <c r="F385" s="303"/>
      <c r="G385" s="302">
        <v>1.4814537744525733</v>
      </c>
      <c r="H385" s="302">
        <v>7.3318533478285514E-2</v>
      </c>
      <c r="I385" s="302">
        <v>0.27943863524310347</v>
      </c>
      <c r="J385" s="302">
        <f t="shared" si="176"/>
        <v>1.8342109431739624</v>
      </c>
      <c r="K385" s="303"/>
      <c r="L385" s="302">
        <v>1.0731413912152699</v>
      </c>
      <c r="M385" s="302">
        <v>4.1856769419971046E-2</v>
      </c>
      <c r="N385" s="302">
        <v>0.2163066837232745</v>
      </c>
      <c r="O385" s="302">
        <f t="shared" si="177"/>
        <v>1.3313048443585154</v>
      </c>
    </row>
    <row r="386" spans="1:15" s="236" customFormat="1" x14ac:dyDescent="0.2">
      <c r="A386" s="237" t="str">
        <f>name!E$7</f>
        <v>Administrative and secretarial occupations</v>
      </c>
      <c r="B386" s="302">
        <v>0.49083637312103578</v>
      </c>
      <c r="C386" s="302">
        <v>0.20967517848729295</v>
      </c>
      <c r="D386" s="302">
        <v>2.1597108685501444E-2</v>
      </c>
      <c r="E386" s="302">
        <f t="shared" si="175"/>
        <v>0.72210866029383014</v>
      </c>
      <c r="F386" s="303"/>
      <c r="G386" s="302">
        <v>0.74656853467333717</v>
      </c>
      <c r="H386" s="302">
        <v>9.6438806498274993E-2</v>
      </c>
      <c r="I386" s="302">
        <v>4.2011516792312957E-2</v>
      </c>
      <c r="J386" s="302">
        <f t="shared" si="176"/>
        <v>0.8850188579639251</v>
      </c>
      <c r="K386" s="303"/>
      <c r="L386" s="302">
        <v>0.36809867060747364</v>
      </c>
      <c r="M386" s="302">
        <v>4.6778909403768242E-2</v>
      </c>
      <c r="N386" s="302">
        <v>2.034141008738348E-2</v>
      </c>
      <c r="O386" s="302">
        <f t="shared" si="177"/>
        <v>0.43521899009862536</v>
      </c>
    </row>
    <row r="387" spans="1:15" s="236" customFormat="1" x14ac:dyDescent="0.2">
      <c r="A387" s="237" t="str">
        <f>name!E$8</f>
        <v>Skilled trades occupations</v>
      </c>
      <c r="B387" s="302">
        <v>0.70893321707588908</v>
      </c>
      <c r="C387" s="302">
        <v>0.21921983462555039</v>
      </c>
      <c r="D387" s="302">
        <v>0.42104246549816837</v>
      </c>
      <c r="E387" s="302">
        <f t="shared" si="175"/>
        <v>1.349195517199608</v>
      </c>
      <c r="F387" s="303"/>
      <c r="G387" s="302">
        <v>0.93975863140898852</v>
      </c>
      <c r="H387" s="302">
        <v>5.5907975816265262E-2</v>
      </c>
      <c r="I387" s="302">
        <v>0.97006935270356076</v>
      </c>
      <c r="J387" s="302">
        <f>SUM(G387:I387)</f>
        <v>1.9657359599288147</v>
      </c>
      <c r="K387" s="303"/>
      <c r="L387" s="302">
        <v>0.63639716933228663</v>
      </c>
      <c r="M387" s="302">
        <v>4.4477099778381039E-2</v>
      </c>
      <c r="N387" s="302">
        <v>0.5367987090843731</v>
      </c>
      <c r="O387" s="302">
        <f t="shared" si="177"/>
        <v>1.2176729781950408</v>
      </c>
    </row>
    <row r="388" spans="1:15" s="236" customFormat="1" x14ac:dyDescent="0.2">
      <c r="A388" s="237" t="str">
        <f>name!E$9</f>
        <v>Caring, leisure and other service occupations</v>
      </c>
      <c r="B388" s="302">
        <v>4.5762166276330778E-2</v>
      </c>
      <c r="C388" s="302">
        <v>4.5612078684387519E-2</v>
      </c>
      <c r="D388" s="302">
        <v>7.4373223211546694E-3</v>
      </c>
      <c r="E388" s="302">
        <f t="shared" si="175"/>
        <v>9.8811567281872972E-2</v>
      </c>
      <c r="F388" s="303"/>
      <c r="G388" s="302">
        <v>6.7441864390985803E-2</v>
      </c>
      <c r="H388" s="302">
        <v>1.8776679417759679E-2</v>
      </c>
      <c r="I388" s="302">
        <v>1.8547899626182272E-2</v>
      </c>
      <c r="J388" s="302">
        <f t="shared" ref="J388:J391" si="178">SUM(G388:I388)</f>
        <v>0.10476644343492775</v>
      </c>
      <c r="K388" s="303"/>
      <c r="L388" s="302">
        <v>4.8894194109696552E-2</v>
      </c>
      <c r="M388" s="302">
        <v>9.6968251388053726E-3</v>
      </c>
      <c r="N388" s="302">
        <v>1.5084408011462597E-2</v>
      </c>
      <c r="O388" s="302">
        <f t="shared" si="177"/>
        <v>7.3675427259964524E-2</v>
      </c>
    </row>
    <row r="389" spans="1:15" s="236" customFormat="1" x14ac:dyDescent="0.2">
      <c r="A389" s="237" t="str">
        <f>name!E$10</f>
        <v>Sales and customer service occupations</v>
      </c>
      <c r="B389" s="302">
        <v>0.18686156255072611</v>
      </c>
      <c r="C389" s="302">
        <v>9.0283210797410585E-2</v>
      </c>
      <c r="D389" s="302">
        <v>1.7757503897177687E-2</v>
      </c>
      <c r="E389" s="302">
        <f t="shared" si="175"/>
        <v>0.29490227724531437</v>
      </c>
      <c r="F389" s="303"/>
      <c r="G389" s="302">
        <v>0.27298972067925503</v>
      </c>
      <c r="H389" s="302">
        <v>2.740529798651186E-2</v>
      </c>
      <c r="I389" s="302">
        <v>3.5906336724654368E-2</v>
      </c>
      <c r="J389" s="302">
        <f t="shared" si="178"/>
        <v>0.33630135539042127</v>
      </c>
      <c r="K389" s="303"/>
      <c r="L389" s="302">
        <v>0.18515122081665719</v>
      </c>
      <c r="M389" s="302">
        <v>1.3988788773236125E-2</v>
      </c>
      <c r="N389" s="302">
        <v>2.0839639491981601E-2</v>
      </c>
      <c r="O389" s="302">
        <f t="shared" si="177"/>
        <v>0.2199796490818749</v>
      </c>
    </row>
    <row r="390" spans="1:15" s="236" customFormat="1" x14ac:dyDescent="0.2">
      <c r="A390" s="237" t="str">
        <f>name!E$11</f>
        <v>Process, plant and machine operatives</v>
      </c>
      <c r="B390" s="302">
        <v>0.27981263004098905</v>
      </c>
      <c r="C390" s="302">
        <v>0.15179164468380607</v>
      </c>
      <c r="D390" s="302">
        <v>4.5095143051116351E-2</v>
      </c>
      <c r="E390" s="302">
        <f t="shared" si="175"/>
        <v>0.47669941777591146</v>
      </c>
      <c r="F390" s="303"/>
      <c r="G390" s="302">
        <v>0.33216131387370301</v>
      </c>
      <c r="H390" s="302">
        <v>7.6916442883756569E-2</v>
      </c>
      <c r="I390" s="302">
        <v>0.13578216792171707</v>
      </c>
      <c r="J390" s="302">
        <f t="shared" si="178"/>
        <v>0.54485992467917665</v>
      </c>
      <c r="K390" s="303"/>
      <c r="L390" s="302">
        <v>0.16887211916051384</v>
      </c>
      <c r="M390" s="302">
        <v>8.9682385971487297E-2</v>
      </c>
      <c r="N390" s="302">
        <v>8.7049392384225016E-2</v>
      </c>
      <c r="O390" s="302">
        <f t="shared" si="177"/>
        <v>0.34560389751622611</v>
      </c>
    </row>
    <row r="391" spans="1:15" s="236" customFormat="1" x14ac:dyDescent="0.2">
      <c r="A391" s="237" t="str">
        <f>name!E$12</f>
        <v>Elementary occupations</v>
      </c>
      <c r="B391" s="302">
        <v>0.12559807849921445</v>
      </c>
      <c r="C391" s="302">
        <v>0.12622399088233052</v>
      </c>
      <c r="D391" s="302">
        <v>1.0600093854154984E-2</v>
      </c>
      <c r="E391" s="302">
        <f t="shared" si="175"/>
        <v>0.26242216323569995</v>
      </c>
      <c r="F391" s="303"/>
      <c r="G391" s="302">
        <v>0.15236486077975081</v>
      </c>
      <c r="H391" s="302">
        <v>2.8907968692365685E-2</v>
      </c>
      <c r="I391" s="302">
        <v>1.8083804682094261E-2</v>
      </c>
      <c r="J391" s="302">
        <f t="shared" si="178"/>
        <v>0.19935663415421073</v>
      </c>
      <c r="K391" s="303"/>
      <c r="L391" s="302">
        <v>5.3695878118396136E-2</v>
      </c>
      <c r="M391" s="302">
        <v>9.5868397827501284E-3</v>
      </c>
      <c r="N391" s="302">
        <v>1.2659377904271839E-2</v>
      </c>
      <c r="O391" s="302">
        <f t="shared" si="177"/>
        <v>7.5942095805418094E-2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32</v>
      </c>
      <c r="B393" s="311">
        <f>SUM(B383:B391)</f>
        <v>4.202999999993855</v>
      </c>
      <c r="C393" s="311">
        <f t="shared" ref="C393:E393" si="179">SUM(C383:C391)</f>
        <v>1.2160000000251605</v>
      </c>
      <c r="D393" s="311">
        <f t="shared" si="179"/>
        <v>0.85800000000208521</v>
      </c>
      <c r="E393" s="311">
        <f t="shared" si="179"/>
        <v>6.2770000000211006</v>
      </c>
      <c r="F393" s="311"/>
      <c r="G393" s="311">
        <f t="shared" ref="G393:J393" si="180">SUM(G383:G391)</f>
        <v>7.1249999999671525</v>
      </c>
      <c r="H393" s="311">
        <f t="shared" si="180"/>
        <v>0.52399999999635238</v>
      </c>
      <c r="I393" s="311">
        <f t="shared" si="180"/>
        <v>2.0879999999950454</v>
      </c>
      <c r="J393" s="311">
        <f t="shared" si="180"/>
        <v>9.7369999999585488</v>
      </c>
      <c r="K393" s="311"/>
      <c r="L393" s="311">
        <f t="shared" ref="L393:O393" si="181">SUM(L383:L391)</f>
        <v>5.0500000000108116</v>
      </c>
      <c r="M393" s="311">
        <f t="shared" si="181"/>
        <v>0.36499999999487032</v>
      </c>
      <c r="N393" s="311">
        <f t="shared" si="181"/>
        <v>1.302999999991453</v>
      </c>
      <c r="O393" s="311">
        <f t="shared" si="181"/>
        <v>6.7179999999971347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  <row r="395" spans="1:15" s="236" customFormat="1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40"/>
      <c r="O395" s="251" t="s">
        <v>35</v>
      </c>
    </row>
    <row r="396" spans="1:15" s="236" customFormat="1" x14ac:dyDescent="0.2">
      <c r="A396" s="242"/>
      <c r="B396" s="242"/>
      <c r="C396" s="242"/>
      <c r="D396" s="242"/>
      <c r="E396" s="242"/>
      <c r="F396" s="242"/>
      <c r="G396" s="242"/>
      <c r="H396" s="242"/>
      <c r="I396" s="242"/>
      <c r="J396" s="242"/>
      <c r="K396" s="242"/>
      <c r="L396" s="242"/>
      <c r="M396" s="242"/>
      <c r="N396" s="242"/>
      <c r="O396" s="242"/>
    </row>
    <row r="397" spans="1:15" s="236" customFormat="1" x14ac:dyDescent="0.2">
      <c r="A397" s="241" t="str">
        <f>name!A26</f>
        <v>Repair and installation</v>
      </c>
      <c r="B397" s="374">
        <f>$B$6</f>
        <v>2015</v>
      </c>
      <c r="C397" s="374"/>
      <c r="D397" s="374"/>
      <c r="E397" s="374"/>
      <c r="F397" s="263"/>
      <c r="G397" s="374">
        <f>$G$6</f>
        <v>2020</v>
      </c>
      <c r="H397" s="374"/>
      <c r="I397" s="374"/>
      <c r="J397" s="374"/>
      <c r="K397" s="263"/>
      <c r="L397" s="374">
        <f>$L$6</f>
        <v>2035</v>
      </c>
      <c r="M397" s="374"/>
      <c r="N397" s="374"/>
      <c r="O397" s="374"/>
    </row>
    <row r="398" spans="1:15" s="236" customFormat="1" x14ac:dyDescent="0.2">
      <c r="A398" s="254"/>
      <c r="B398" s="268" t="str">
        <f>$B$7</f>
        <v>FT</v>
      </c>
      <c r="C398" s="268" t="str">
        <f>$C$7</f>
        <v>PT</v>
      </c>
      <c r="D398" s="268" t="str">
        <f>$D$7</f>
        <v>SE</v>
      </c>
      <c r="E398" s="268" t="str">
        <f>$E$7</f>
        <v>Total</v>
      </c>
      <c r="F398" s="268"/>
      <c r="G398" s="268" t="str">
        <f>$G$7</f>
        <v>FT</v>
      </c>
      <c r="H398" s="268" t="str">
        <f>$H$7</f>
        <v>PT</v>
      </c>
      <c r="I398" s="268" t="str">
        <f>$I$7</f>
        <v>SE</v>
      </c>
      <c r="J398" s="268" t="str">
        <f>$J$7</f>
        <v>Total</v>
      </c>
      <c r="K398" s="268"/>
      <c r="L398" s="268" t="str">
        <f>$L$7</f>
        <v>FT</v>
      </c>
      <c r="M398" s="268" t="str">
        <f>$M$7</f>
        <v>PT</v>
      </c>
      <c r="N398" s="268" t="str">
        <f>$N$7</f>
        <v>SE</v>
      </c>
      <c r="O398" s="268" t="str">
        <f>$O$7</f>
        <v>Total</v>
      </c>
    </row>
    <row r="399" spans="1:15" s="236" customFormat="1" x14ac:dyDescent="0.2">
      <c r="A399" s="258"/>
      <c r="B399" s="239"/>
      <c r="C399" s="239"/>
      <c r="D399" s="239"/>
      <c r="E399" s="239"/>
      <c r="F399" s="239"/>
      <c r="G399" s="239"/>
      <c r="H399" s="239"/>
      <c r="I399" s="239"/>
      <c r="J399" s="239"/>
      <c r="K399" s="239"/>
      <c r="L399" s="239"/>
      <c r="M399" s="239"/>
      <c r="N399" s="239"/>
      <c r="O399" s="239"/>
    </row>
    <row r="400" spans="1:15" s="236" customFormat="1" x14ac:dyDescent="0.2">
      <c r="A400" s="237" t="str">
        <f>name!E$4</f>
        <v>Managers, directors and senior officials</v>
      </c>
      <c r="B400" s="302">
        <v>0.79148340449022903</v>
      </c>
      <c r="C400" s="302">
        <v>5.5710593279677915E-2</v>
      </c>
      <c r="D400" s="302">
        <v>0.34866397404141763</v>
      </c>
      <c r="E400" s="302">
        <f>SUM(B400:D400)</f>
        <v>1.1958579718113245</v>
      </c>
      <c r="F400" s="303"/>
      <c r="G400" s="302">
        <v>1.2321659590703025</v>
      </c>
      <c r="H400" s="302">
        <v>0.19679197113672267</v>
      </c>
      <c r="I400" s="302">
        <v>1.3412549903960467</v>
      </c>
      <c r="J400" s="302">
        <f>SUM(G400:I400)</f>
        <v>2.7702129206030719</v>
      </c>
      <c r="K400" s="303"/>
      <c r="L400" s="302">
        <v>0.86805215008034131</v>
      </c>
      <c r="M400" s="302">
        <v>0.15750122997867669</v>
      </c>
      <c r="N400" s="302">
        <v>1.1035237416506067</v>
      </c>
      <c r="O400" s="302">
        <f>SUM(L400:N400)</f>
        <v>2.1290771217096247</v>
      </c>
    </row>
    <row r="401" spans="1:15" s="236" customFormat="1" x14ac:dyDescent="0.2">
      <c r="A401" s="237" t="str">
        <f>name!E$5</f>
        <v>Professional occupations</v>
      </c>
      <c r="B401" s="302">
        <v>1.2164352039742863</v>
      </c>
      <c r="C401" s="302">
        <v>4.4124028464298443E-2</v>
      </c>
      <c r="D401" s="302">
        <v>0.26394280474201587</v>
      </c>
      <c r="E401" s="302">
        <f t="shared" ref="E401:E408" si="182">SUM(B401:D401)</f>
        <v>1.5245020371806006</v>
      </c>
      <c r="F401" s="303"/>
      <c r="G401" s="302">
        <v>2.1297851158346965</v>
      </c>
      <c r="H401" s="302">
        <v>0.17048520556509122</v>
      </c>
      <c r="I401" s="302">
        <v>0.8639390264517065</v>
      </c>
      <c r="J401" s="302">
        <f t="shared" ref="J401:J403" si="183">SUM(G401:I401)</f>
        <v>3.1642093478514943</v>
      </c>
      <c r="K401" s="303"/>
      <c r="L401" s="302">
        <v>1.8019674246650899</v>
      </c>
      <c r="M401" s="302">
        <v>0.13331465237235721</v>
      </c>
      <c r="N401" s="302">
        <v>0.50875469107974469</v>
      </c>
      <c r="O401" s="302">
        <f t="shared" ref="O401:O408" si="184">SUM(L401:N401)</f>
        <v>2.4440367681171917</v>
      </c>
    </row>
    <row r="402" spans="1:15" s="236" customFormat="1" x14ac:dyDescent="0.2">
      <c r="A402" s="237" t="str">
        <f>name!E$6</f>
        <v>Associate professional occupations</v>
      </c>
      <c r="B402" s="302">
        <v>0.71479414810134789</v>
      </c>
      <c r="C402" s="302">
        <v>3.6716062427951397E-2</v>
      </c>
      <c r="D402" s="302">
        <v>0.16566640417064585</v>
      </c>
      <c r="E402" s="302">
        <f t="shared" si="182"/>
        <v>0.91717661469994516</v>
      </c>
      <c r="F402" s="303"/>
      <c r="G402" s="302">
        <v>1.1841331684148364</v>
      </c>
      <c r="H402" s="302">
        <v>0.13080514784183023</v>
      </c>
      <c r="I402" s="302">
        <v>0.54291949601846023</v>
      </c>
      <c r="J402" s="302">
        <f t="shared" si="183"/>
        <v>1.8578578122751268</v>
      </c>
      <c r="K402" s="303"/>
      <c r="L402" s="302">
        <v>0.81178189437334236</v>
      </c>
      <c r="M402" s="302">
        <v>8.2910220919793887E-2</v>
      </c>
      <c r="N402" s="302">
        <v>0.43638027872986346</v>
      </c>
      <c r="O402" s="302">
        <f t="shared" si="184"/>
        <v>1.3310723940229996</v>
      </c>
    </row>
    <row r="403" spans="1:15" s="236" customFormat="1" x14ac:dyDescent="0.2">
      <c r="A403" s="237" t="str">
        <f>name!E$7</f>
        <v>Administrative and secretarial occupations</v>
      </c>
      <c r="B403" s="302">
        <v>0.27743718611087631</v>
      </c>
      <c r="C403" s="302">
        <v>5.5867199101353578E-2</v>
      </c>
      <c r="D403" s="302">
        <v>4.131604646647509E-2</v>
      </c>
      <c r="E403" s="302">
        <f t="shared" si="182"/>
        <v>0.37462043167870496</v>
      </c>
      <c r="F403" s="303"/>
      <c r="G403" s="302">
        <v>0.40916978812991045</v>
      </c>
      <c r="H403" s="302">
        <v>0.17663218292546543</v>
      </c>
      <c r="I403" s="302">
        <v>0.10712256039413963</v>
      </c>
      <c r="J403" s="302">
        <f t="shared" si="183"/>
        <v>0.69292453144951549</v>
      </c>
      <c r="K403" s="303"/>
      <c r="L403" s="302">
        <v>0.2782994069218383</v>
      </c>
      <c r="M403" s="302">
        <v>0.10444778939118594</v>
      </c>
      <c r="N403" s="302">
        <v>8.3925241342564849E-2</v>
      </c>
      <c r="O403" s="302">
        <f t="shared" si="184"/>
        <v>0.46667243765558908</v>
      </c>
    </row>
    <row r="404" spans="1:15" s="236" customFormat="1" x14ac:dyDescent="0.2">
      <c r="A404" s="237" t="str">
        <f>name!E$8</f>
        <v>Skilled trades occupations</v>
      </c>
      <c r="B404" s="302">
        <v>1.2410491254217852</v>
      </c>
      <c r="C404" s="302">
        <v>7.1369047911677391E-2</v>
      </c>
      <c r="D404" s="302">
        <v>0.42955091220260128</v>
      </c>
      <c r="E404" s="302">
        <f t="shared" si="182"/>
        <v>1.7419690855360639</v>
      </c>
      <c r="F404" s="303"/>
      <c r="G404" s="302">
        <v>1.4375342495432271</v>
      </c>
      <c r="H404" s="302">
        <v>0.11920650170940032</v>
      </c>
      <c r="I404" s="302">
        <v>1.1997911490434872</v>
      </c>
      <c r="J404" s="302">
        <f>SUM(G404:I404)</f>
        <v>2.7565319002961148</v>
      </c>
      <c r="K404" s="303"/>
      <c r="L404" s="302">
        <v>0.78265601423981268</v>
      </c>
      <c r="M404" s="302">
        <v>8.837609969370841E-2</v>
      </c>
      <c r="N404" s="302">
        <v>0.99965051660601179</v>
      </c>
      <c r="O404" s="302">
        <f t="shared" si="184"/>
        <v>1.870682630539533</v>
      </c>
    </row>
    <row r="405" spans="1:15" s="236" customFormat="1" x14ac:dyDescent="0.2">
      <c r="A405" s="237" t="str">
        <f>name!E$9</f>
        <v>Caring, leisure and other service occupations</v>
      </c>
      <c r="B405" s="302">
        <v>8.2567847220462773E-2</v>
      </c>
      <c r="C405" s="302">
        <v>1.7916257018598541E-2</v>
      </c>
      <c r="D405" s="302">
        <v>3.0012496065716512E-2</v>
      </c>
      <c r="E405" s="302">
        <f t="shared" si="182"/>
        <v>0.13049660030477783</v>
      </c>
      <c r="F405" s="303"/>
      <c r="G405" s="302">
        <v>0.1175466596262026</v>
      </c>
      <c r="H405" s="302">
        <v>5.1950119889522993E-2</v>
      </c>
      <c r="I405" s="302">
        <v>7.2418808995132339E-2</v>
      </c>
      <c r="J405" s="302">
        <f t="shared" ref="J405:J408" si="185">SUM(G405:I405)</f>
        <v>0.24191558851085793</v>
      </c>
      <c r="K405" s="303"/>
      <c r="L405" s="302">
        <v>0.11765166357701078</v>
      </c>
      <c r="M405" s="302">
        <v>3.0205995928260204E-2</v>
      </c>
      <c r="N405" s="302">
        <v>8.6936812146790568E-2</v>
      </c>
      <c r="O405" s="302">
        <f t="shared" si="184"/>
        <v>0.23479447165206152</v>
      </c>
    </row>
    <row r="406" spans="1:15" s="236" customFormat="1" x14ac:dyDescent="0.2">
      <c r="A406" s="237" t="str">
        <f>name!E$10</f>
        <v>Sales and customer service occupations</v>
      </c>
      <c r="B406" s="302">
        <v>0.13002646799381087</v>
      </c>
      <c r="C406" s="302">
        <v>3.3165244142696587E-2</v>
      </c>
      <c r="D406" s="302">
        <v>3.7666201207375079E-2</v>
      </c>
      <c r="E406" s="302">
        <f t="shared" si="182"/>
        <v>0.20085791334388253</v>
      </c>
      <c r="F406" s="303"/>
      <c r="G406" s="302">
        <v>0.17195793100417359</v>
      </c>
      <c r="H406" s="302">
        <v>8.0652499782503273E-2</v>
      </c>
      <c r="I406" s="302">
        <v>0.1000797486408032</v>
      </c>
      <c r="J406" s="302">
        <f t="shared" si="185"/>
        <v>0.3526901794274801</v>
      </c>
      <c r="K406" s="303"/>
      <c r="L406" s="302">
        <v>0.14253048799880519</v>
      </c>
      <c r="M406" s="302">
        <v>6.804660311808175E-2</v>
      </c>
      <c r="N406" s="302">
        <v>7.0435063535679673E-2</v>
      </c>
      <c r="O406" s="302">
        <f t="shared" si="184"/>
        <v>0.28101215465256663</v>
      </c>
    </row>
    <row r="407" spans="1:15" s="236" customFormat="1" x14ac:dyDescent="0.2">
      <c r="A407" s="237" t="str">
        <f>name!E$11</f>
        <v>Process, plant and machine operatives</v>
      </c>
      <c r="B407" s="302">
        <v>0.32200913188703817</v>
      </c>
      <c r="C407" s="302">
        <v>5.0234104100773613E-2</v>
      </c>
      <c r="D407" s="302">
        <v>0.20811568559393356</v>
      </c>
      <c r="E407" s="302">
        <f t="shared" si="182"/>
        <v>0.58035892158174529</v>
      </c>
      <c r="F407" s="303"/>
      <c r="G407" s="302">
        <v>0.36512195027127836</v>
      </c>
      <c r="H407" s="302">
        <v>0.11210289256044453</v>
      </c>
      <c r="I407" s="302">
        <v>0.63976702708226041</v>
      </c>
      <c r="J407" s="302">
        <f t="shared" si="185"/>
        <v>1.1169918699139834</v>
      </c>
      <c r="K407" s="303"/>
      <c r="L407" s="302">
        <v>0.23144541661266146</v>
      </c>
      <c r="M407" s="302">
        <v>6.8533598901780776E-2</v>
      </c>
      <c r="N407" s="302">
        <v>0.6843994966708129</v>
      </c>
      <c r="O407" s="302">
        <f t="shared" si="184"/>
        <v>0.98437851218525507</v>
      </c>
    </row>
    <row r="408" spans="1:15" s="236" customFormat="1" x14ac:dyDescent="0.2">
      <c r="A408" s="237" t="str">
        <f>name!E$12</f>
        <v>Elementary occupations</v>
      </c>
      <c r="B408" s="302">
        <v>0.22119748480866622</v>
      </c>
      <c r="C408" s="302">
        <v>3.0897463559514161E-2</v>
      </c>
      <c r="D408" s="302">
        <v>6.0065475528363138E-2</v>
      </c>
      <c r="E408" s="302">
        <f t="shared" si="182"/>
        <v>0.31216042389654353</v>
      </c>
      <c r="F408" s="303"/>
      <c r="G408" s="302">
        <v>0.24158517806527441</v>
      </c>
      <c r="H408" s="302">
        <v>7.0373478580177992E-2</v>
      </c>
      <c r="I408" s="302">
        <v>0.13370719296338926</v>
      </c>
      <c r="J408" s="302">
        <f t="shared" si="185"/>
        <v>0.4456658496088417</v>
      </c>
      <c r="K408" s="303"/>
      <c r="L408" s="302">
        <v>0.10461554153439125</v>
      </c>
      <c r="M408" s="302">
        <v>3.3663809687394873E-2</v>
      </c>
      <c r="N408" s="302">
        <v>0.13299415823649777</v>
      </c>
      <c r="O408" s="302">
        <f t="shared" si="184"/>
        <v>0.27127350945828388</v>
      </c>
    </row>
    <row r="409" spans="1:15" s="236" customFormat="1" x14ac:dyDescent="0.2">
      <c r="A409" s="237"/>
      <c r="B409" s="302"/>
      <c r="C409" s="302"/>
      <c r="D409" s="302"/>
      <c r="E409" s="302"/>
      <c r="F409" s="303"/>
      <c r="G409" s="302"/>
      <c r="H409" s="302"/>
      <c r="I409" s="302"/>
      <c r="J409" s="302"/>
      <c r="K409" s="303"/>
      <c r="L409" s="302"/>
      <c r="M409" s="302"/>
      <c r="N409" s="302"/>
      <c r="O409" s="302"/>
    </row>
    <row r="410" spans="1:15" s="236" customFormat="1" x14ac:dyDescent="0.2">
      <c r="A410" s="244" t="s">
        <v>32</v>
      </c>
      <c r="B410" s="311">
        <f>SUM(B400:B408)</f>
        <v>4.9970000000085033</v>
      </c>
      <c r="C410" s="311">
        <f t="shared" ref="C410:E410" si="186">SUM(C400:C408)</f>
        <v>0.39600000000654162</v>
      </c>
      <c r="D410" s="311">
        <f t="shared" si="186"/>
        <v>1.5850000000185442</v>
      </c>
      <c r="E410" s="311">
        <f t="shared" si="186"/>
        <v>6.9780000000335871</v>
      </c>
      <c r="F410" s="311"/>
      <c r="G410" s="311">
        <f t="shared" ref="G410:J410" si="187">SUM(G400:G408)</f>
        <v>7.2889999999599011</v>
      </c>
      <c r="H410" s="311">
        <f t="shared" si="187"/>
        <v>1.1089999999911586</v>
      </c>
      <c r="I410" s="311">
        <f t="shared" si="187"/>
        <v>5.0009999999854253</v>
      </c>
      <c r="J410" s="311">
        <f t="shared" si="187"/>
        <v>13.398999999936487</v>
      </c>
      <c r="K410" s="311"/>
      <c r="L410" s="311">
        <f t="shared" ref="L410:O410" si="188">SUM(L400:L408)</f>
        <v>5.1390000000032927</v>
      </c>
      <c r="M410" s="311">
        <f t="shared" si="188"/>
        <v>0.7669999999912398</v>
      </c>
      <c r="N410" s="311">
        <f t="shared" si="188"/>
        <v>4.106999999998572</v>
      </c>
      <c r="O410" s="311">
        <f t="shared" si="188"/>
        <v>10.012999999993106</v>
      </c>
    </row>
    <row r="411" spans="1:15" s="236" customFormat="1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40"/>
    </row>
    <row r="412" spans="1:15" s="236" customFormat="1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40"/>
      <c r="O412" s="251" t="s">
        <v>35</v>
      </c>
    </row>
    <row r="413" spans="1:15" s="236" customFormat="1" x14ac:dyDescent="0.2">
      <c r="A413" s="242"/>
      <c r="B413" s="242"/>
      <c r="C413" s="242"/>
      <c r="D413" s="242"/>
      <c r="E413" s="242"/>
      <c r="F413" s="242"/>
      <c r="G413" s="242"/>
      <c r="H413" s="242"/>
      <c r="I413" s="242"/>
      <c r="J413" s="242"/>
      <c r="K413" s="242"/>
      <c r="L413" s="242"/>
      <c r="M413" s="242"/>
      <c r="N413" s="242"/>
      <c r="O413" s="242"/>
    </row>
    <row r="414" spans="1:15" s="236" customFormat="1" x14ac:dyDescent="0.2">
      <c r="A414" s="241" t="str">
        <f>name!A27</f>
        <v>Electricity, gas, etc</v>
      </c>
      <c r="B414" s="374">
        <f>$B$6</f>
        <v>2015</v>
      </c>
      <c r="C414" s="374"/>
      <c r="D414" s="374"/>
      <c r="E414" s="374"/>
      <c r="F414" s="263"/>
      <c r="G414" s="374">
        <f>$G$6</f>
        <v>2020</v>
      </c>
      <c r="H414" s="374"/>
      <c r="I414" s="374"/>
      <c r="J414" s="374"/>
      <c r="K414" s="263"/>
      <c r="L414" s="374">
        <f>$L$6</f>
        <v>2035</v>
      </c>
      <c r="M414" s="374"/>
      <c r="N414" s="374"/>
      <c r="O414" s="374"/>
    </row>
    <row r="415" spans="1:15" s="236" customFormat="1" x14ac:dyDescent="0.2">
      <c r="A415" s="254"/>
      <c r="B415" s="268" t="str">
        <f>$B$7</f>
        <v>FT</v>
      </c>
      <c r="C415" s="268" t="str">
        <f>$C$7</f>
        <v>PT</v>
      </c>
      <c r="D415" s="268" t="str">
        <f>$D$7</f>
        <v>SE</v>
      </c>
      <c r="E415" s="268" t="str">
        <f>$E$7</f>
        <v>Total</v>
      </c>
      <c r="F415" s="268"/>
      <c r="G415" s="268" t="str">
        <f>$G$7</f>
        <v>FT</v>
      </c>
      <c r="H415" s="268" t="str">
        <f>$H$7</f>
        <v>PT</v>
      </c>
      <c r="I415" s="268" t="str">
        <f>$I$7</f>
        <v>SE</v>
      </c>
      <c r="J415" s="268" t="str">
        <f>$J$7</f>
        <v>Total</v>
      </c>
      <c r="K415" s="268"/>
      <c r="L415" s="268" t="str">
        <f>$L$7</f>
        <v>FT</v>
      </c>
      <c r="M415" s="268" t="str">
        <f>$M$7</f>
        <v>PT</v>
      </c>
      <c r="N415" s="268" t="str">
        <f>$N$7</f>
        <v>SE</v>
      </c>
      <c r="O415" s="268" t="str">
        <f>$O$7</f>
        <v>Total</v>
      </c>
    </row>
    <row r="416" spans="1:15" s="236" customFormat="1" x14ac:dyDescent="0.2">
      <c r="A416" s="258"/>
      <c r="B416" s="239"/>
      <c r="C416" s="239"/>
      <c r="D416" s="239"/>
      <c r="E416" s="239"/>
      <c r="F416" s="239"/>
      <c r="G416" s="239"/>
      <c r="H416" s="239"/>
      <c r="I416" s="239"/>
      <c r="J416" s="239"/>
      <c r="K416" s="239"/>
      <c r="L416" s="239"/>
      <c r="M416" s="239"/>
      <c r="N416" s="239"/>
      <c r="O416" s="239"/>
    </row>
    <row r="417" spans="1:15" s="236" customFormat="1" x14ac:dyDescent="0.2">
      <c r="A417" s="237" t="str">
        <f>name!E$4</f>
        <v>Managers, directors and senior officials</v>
      </c>
      <c r="B417" s="302">
        <v>1.1840776217621534</v>
      </c>
      <c r="C417" s="302">
        <v>2.0917108605453739E-2</v>
      </c>
      <c r="D417" s="302">
        <v>0.22842504680149806</v>
      </c>
      <c r="E417" s="302">
        <f>SUM(B417:D417)</f>
        <v>1.4334197771691053</v>
      </c>
      <c r="F417" s="303"/>
      <c r="G417" s="302">
        <v>1.3671083671105533</v>
      </c>
      <c r="H417" s="302">
        <v>3.8141726354285088E-2</v>
      </c>
      <c r="I417" s="302">
        <v>0.50559074513879088</v>
      </c>
      <c r="J417" s="302">
        <f>SUM(G417:I417)</f>
        <v>1.9108408386036293</v>
      </c>
      <c r="K417" s="303"/>
      <c r="L417" s="302">
        <v>1.4393114697752345</v>
      </c>
      <c r="M417" s="302">
        <v>4.0842960931695801E-2</v>
      </c>
      <c r="N417" s="302">
        <v>0.65303508891835604</v>
      </c>
      <c r="O417" s="302">
        <f>SUM(L417:N417)</f>
        <v>2.1331895196252866</v>
      </c>
    </row>
    <row r="418" spans="1:15" s="236" customFormat="1" x14ac:dyDescent="0.2">
      <c r="A418" s="237" t="str">
        <f>name!E$5</f>
        <v>Professional occupations</v>
      </c>
      <c r="B418" s="302">
        <v>2.4221434854326511</v>
      </c>
      <c r="C418" s="302">
        <v>3.0942079988595491E-2</v>
      </c>
      <c r="D418" s="302">
        <v>0.28022902547278405</v>
      </c>
      <c r="E418" s="302">
        <f t="shared" ref="E418:E425" si="189">SUM(B418:D418)</f>
        <v>2.7333145908940306</v>
      </c>
      <c r="F418" s="303"/>
      <c r="G418" s="302">
        <v>3.1788764211205742</v>
      </c>
      <c r="H418" s="302">
        <v>5.4042366658597088E-2</v>
      </c>
      <c r="I418" s="302">
        <v>0.53994135592898052</v>
      </c>
      <c r="J418" s="302">
        <f t="shared" ref="J418:J420" si="190">SUM(G418:I418)</f>
        <v>3.7728601437081517</v>
      </c>
      <c r="K418" s="303"/>
      <c r="L418" s="302">
        <v>3.796617351809755</v>
      </c>
      <c r="M418" s="302">
        <v>6.4481882526950501E-2</v>
      </c>
      <c r="N418" s="302">
        <v>0.40559221301703824</v>
      </c>
      <c r="O418" s="302">
        <f t="shared" ref="O418:O425" si="191">SUM(L418:N418)</f>
        <v>4.2666914473537441</v>
      </c>
    </row>
    <row r="419" spans="1:15" s="236" customFormat="1" x14ac:dyDescent="0.2">
      <c r="A419" s="237" t="str">
        <f>name!E$6</f>
        <v>Associate professional occupations</v>
      </c>
      <c r="B419" s="302">
        <v>1.4388848137768933</v>
      </c>
      <c r="C419" s="302">
        <v>3.8531169457189006E-2</v>
      </c>
      <c r="D419" s="302">
        <v>0.1623960121023241</v>
      </c>
      <c r="E419" s="302">
        <f t="shared" si="189"/>
        <v>1.6398119953364063</v>
      </c>
      <c r="F419" s="303"/>
      <c r="G419" s="302">
        <v>1.8006784138613916</v>
      </c>
      <c r="H419" s="302">
        <v>5.4091698687249563E-2</v>
      </c>
      <c r="I419" s="302">
        <v>0.29563050429632587</v>
      </c>
      <c r="J419" s="302">
        <f t="shared" si="190"/>
        <v>2.150400616844967</v>
      </c>
      <c r="K419" s="303"/>
      <c r="L419" s="302">
        <v>1.7096704711983952</v>
      </c>
      <c r="M419" s="302">
        <v>5.6480928223515976E-2</v>
      </c>
      <c r="N419" s="302">
        <v>0.29911934274161778</v>
      </c>
      <c r="O419" s="302">
        <f t="shared" si="191"/>
        <v>2.0652707421635288</v>
      </c>
    </row>
    <row r="420" spans="1:15" s="236" customFormat="1" x14ac:dyDescent="0.2">
      <c r="A420" s="237" t="str">
        <f>name!E$7</f>
        <v>Administrative and secretarial occupations</v>
      </c>
      <c r="B420" s="302">
        <v>0.45692140012992455</v>
      </c>
      <c r="C420" s="302">
        <v>0.10657835873049926</v>
      </c>
      <c r="D420" s="302">
        <v>7.7303774972401873E-2</v>
      </c>
      <c r="E420" s="302">
        <f t="shared" si="189"/>
        <v>0.64080353383282573</v>
      </c>
      <c r="F420" s="303"/>
      <c r="G420" s="302">
        <v>0.44817168939213359</v>
      </c>
      <c r="H420" s="302">
        <v>0.12345626854407708</v>
      </c>
      <c r="I420" s="302">
        <v>0.12925550233465408</v>
      </c>
      <c r="J420" s="302">
        <f t="shared" si="190"/>
        <v>0.70088346027086479</v>
      </c>
      <c r="K420" s="303"/>
      <c r="L420" s="302">
        <v>0.16740268433302952</v>
      </c>
      <c r="M420" s="302">
        <v>9.3828769282318147E-2</v>
      </c>
      <c r="N420" s="302">
        <v>0.15412923569907483</v>
      </c>
      <c r="O420" s="302">
        <f t="shared" si="191"/>
        <v>0.41536068931442249</v>
      </c>
    </row>
    <row r="421" spans="1:15" s="236" customFormat="1" x14ac:dyDescent="0.2">
      <c r="A421" s="237" t="str">
        <f>name!E$8</f>
        <v>Skilled trades occupations</v>
      </c>
      <c r="B421" s="302">
        <v>2.1434751986404197</v>
      </c>
      <c r="C421" s="302">
        <v>3.1730015252472162E-2</v>
      </c>
      <c r="D421" s="302">
        <v>0.32816819940664455</v>
      </c>
      <c r="E421" s="302">
        <f t="shared" si="189"/>
        <v>2.5033734132995367</v>
      </c>
      <c r="F421" s="303"/>
      <c r="G421" s="302">
        <v>1.835096559367714</v>
      </c>
      <c r="H421" s="302">
        <v>2.7020428164946188E-2</v>
      </c>
      <c r="I421" s="302">
        <v>0.48266854657128677</v>
      </c>
      <c r="J421" s="302">
        <f>SUM(G421:I421)</f>
        <v>2.3447855341039467</v>
      </c>
      <c r="K421" s="303"/>
      <c r="L421" s="302">
        <v>1.617998157181342</v>
      </c>
      <c r="M421" s="302">
        <v>2.6605079235922004E-2</v>
      </c>
      <c r="N421" s="302">
        <v>0.47089093829761686</v>
      </c>
      <c r="O421" s="302">
        <f t="shared" si="191"/>
        <v>2.1154941747148808</v>
      </c>
    </row>
    <row r="422" spans="1:15" s="236" customFormat="1" x14ac:dyDescent="0.2">
      <c r="A422" s="237" t="str">
        <f>name!E$9</f>
        <v>Caring, leisure and other service occupations</v>
      </c>
      <c r="B422" s="302">
        <v>0.10857659485058201</v>
      </c>
      <c r="C422" s="302">
        <v>1.9332213693720696E-2</v>
      </c>
      <c r="D422" s="302">
        <v>1.7206155226296937E-2</v>
      </c>
      <c r="E422" s="302">
        <f t="shared" si="189"/>
        <v>0.14511496377059963</v>
      </c>
      <c r="F422" s="303"/>
      <c r="G422" s="302">
        <v>0.10359770656408036</v>
      </c>
      <c r="H422" s="302">
        <v>1.9859107904483902E-2</v>
      </c>
      <c r="I422" s="302">
        <v>2.7211001161839391E-2</v>
      </c>
      <c r="J422" s="302">
        <f t="shared" ref="J422:J425" si="192">SUM(G422:I422)</f>
        <v>0.15066781563040366</v>
      </c>
      <c r="K422" s="303"/>
      <c r="L422" s="302">
        <v>0.1086838156926737</v>
      </c>
      <c r="M422" s="302">
        <v>1.6972382022646081E-2</v>
      </c>
      <c r="N422" s="302">
        <v>4.3118926319337191E-2</v>
      </c>
      <c r="O422" s="302">
        <f t="shared" si="191"/>
        <v>0.16877512403465697</v>
      </c>
    </row>
    <row r="423" spans="1:15" s="236" customFormat="1" x14ac:dyDescent="0.2">
      <c r="A423" s="237" t="str">
        <f>name!E$10</f>
        <v>Sales and customer service occupations</v>
      </c>
      <c r="B423" s="302">
        <v>0.42492002483654046</v>
      </c>
      <c r="C423" s="302">
        <v>0.15543947535801997</v>
      </c>
      <c r="D423" s="302">
        <v>9.5263206691236738E-2</v>
      </c>
      <c r="E423" s="302">
        <f t="shared" si="189"/>
        <v>0.67562270688579718</v>
      </c>
      <c r="F423" s="303"/>
      <c r="G423" s="302">
        <v>0.40579067245628864</v>
      </c>
      <c r="H423" s="302">
        <v>0.2073846020083443</v>
      </c>
      <c r="I423" s="302">
        <v>0.14701691437760028</v>
      </c>
      <c r="J423" s="302">
        <f t="shared" si="192"/>
        <v>0.76019218884223316</v>
      </c>
      <c r="K423" s="303"/>
      <c r="L423" s="302">
        <v>0.34923282086088803</v>
      </c>
      <c r="M423" s="302">
        <v>0.24513158912976238</v>
      </c>
      <c r="N423" s="302">
        <v>0.16551822074390318</v>
      </c>
      <c r="O423" s="302">
        <f t="shared" si="191"/>
        <v>0.75988263073455364</v>
      </c>
    </row>
    <row r="424" spans="1:15" s="236" customFormat="1" x14ac:dyDescent="0.2">
      <c r="A424" s="237" t="str">
        <f>name!E$11</f>
        <v>Process, plant and machine operatives</v>
      </c>
      <c r="B424" s="302">
        <v>0.2273899857882668</v>
      </c>
      <c r="C424" s="302">
        <v>1.035421764219923E-2</v>
      </c>
      <c r="D424" s="302">
        <v>0.12875789941110058</v>
      </c>
      <c r="E424" s="302">
        <f t="shared" si="189"/>
        <v>0.36650210284156659</v>
      </c>
      <c r="F424" s="303"/>
      <c r="G424" s="302">
        <v>0.19478191002992457</v>
      </c>
      <c r="H424" s="302">
        <v>1.3886222472245456E-2</v>
      </c>
      <c r="I424" s="302">
        <v>0.26304847234715495</v>
      </c>
      <c r="J424" s="302">
        <f t="shared" si="192"/>
        <v>0.47171660484932498</v>
      </c>
      <c r="K424" s="303"/>
      <c r="L424" s="302">
        <v>0.15535025879405395</v>
      </c>
      <c r="M424" s="302">
        <v>1.7665235157505364E-2</v>
      </c>
      <c r="N424" s="302">
        <v>0.26208984721558976</v>
      </c>
      <c r="O424" s="302">
        <f t="shared" si="191"/>
        <v>0.43510534116714905</v>
      </c>
    </row>
    <row r="425" spans="1:15" s="236" customFormat="1" x14ac:dyDescent="0.2">
      <c r="A425" s="237" t="str">
        <f>name!E$12</f>
        <v>Elementary occupations</v>
      </c>
      <c r="B425" s="302">
        <v>7.861087472945838E-2</v>
      </c>
      <c r="C425" s="302">
        <v>3.8175361282938726E-2</v>
      </c>
      <c r="D425" s="302">
        <v>3.8250679910523527E-2</v>
      </c>
      <c r="E425" s="302">
        <f t="shared" si="189"/>
        <v>0.15503691592292063</v>
      </c>
      <c r="F425" s="303"/>
      <c r="G425" s="302">
        <v>6.789826007122346E-2</v>
      </c>
      <c r="H425" s="302">
        <v>3.5117579201906564E-2</v>
      </c>
      <c r="I425" s="302">
        <v>5.7636957867879826E-2</v>
      </c>
      <c r="J425" s="302">
        <f t="shared" si="192"/>
        <v>0.16065279714100983</v>
      </c>
      <c r="K425" s="303"/>
      <c r="L425" s="302">
        <v>2.7732970365110327E-2</v>
      </c>
      <c r="M425" s="302">
        <v>1.7991173480668622E-2</v>
      </c>
      <c r="N425" s="302">
        <v>4.3506187101934019E-2</v>
      </c>
      <c r="O425" s="302">
        <f t="shared" si="191"/>
        <v>8.923033094771296E-2</v>
      </c>
    </row>
    <row r="426" spans="1:15" s="236" customFormat="1" x14ac:dyDescent="0.2">
      <c r="A426" s="237"/>
      <c r="B426" s="302"/>
      <c r="C426" s="302"/>
      <c r="D426" s="302"/>
      <c r="E426" s="302"/>
      <c r="F426" s="303"/>
      <c r="G426" s="302"/>
      <c r="H426" s="302"/>
      <c r="I426" s="302"/>
      <c r="J426" s="302"/>
      <c r="K426" s="303"/>
      <c r="L426" s="302"/>
      <c r="M426" s="302"/>
      <c r="N426" s="302"/>
      <c r="O426" s="302"/>
    </row>
    <row r="427" spans="1:15" s="236" customFormat="1" x14ac:dyDescent="0.2">
      <c r="A427" s="244" t="s">
        <v>32</v>
      </c>
      <c r="B427" s="311">
        <f>SUM(B417:B425)</f>
        <v>8.4849999999468899</v>
      </c>
      <c r="C427" s="311">
        <f t="shared" ref="C427:E427" si="193">SUM(C417:C425)</f>
        <v>0.45200000001108831</v>
      </c>
      <c r="D427" s="311">
        <f t="shared" si="193"/>
        <v>1.3559999999948102</v>
      </c>
      <c r="E427" s="311">
        <f t="shared" si="193"/>
        <v>10.292999999952787</v>
      </c>
      <c r="F427" s="311"/>
      <c r="G427" s="311">
        <f t="shared" ref="G427:J427" si="194">SUM(G417:G425)</f>
        <v>9.401999999973885</v>
      </c>
      <c r="H427" s="311">
        <f t="shared" si="194"/>
        <v>0.57299999999613527</v>
      </c>
      <c r="I427" s="311">
        <f t="shared" si="194"/>
        <v>2.4480000000245123</v>
      </c>
      <c r="J427" s="311">
        <f t="shared" si="194"/>
        <v>12.422999999994531</v>
      </c>
      <c r="K427" s="311"/>
      <c r="L427" s="311">
        <f t="shared" ref="L427:O427" si="195">SUM(L417:L425)</f>
        <v>9.3720000000104804</v>
      </c>
      <c r="M427" s="311">
        <f t="shared" si="195"/>
        <v>0.57999999999098484</v>
      </c>
      <c r="N427" s="311">
        <f t="shared" si="195"/>
        <v>2.4970000000544679</v>
      </c>
      <c r="O427" s="311">
        <f t="shared" si="195"/>
        <v>12.449000000055936</v>
      </c>
    </row>
    <row r="428" spans="1:15" s="236" customFormat="1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40"/>
    </row>
    <row r="429" spans="1:15" s="236" customFormat="1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40"/>
      <c r="O429" s="251" t="s">
        <v>35</v>
      </c>
    </row>
    <row r="430" spans="1:15" s="236" customFormat="1" x14ac:dyDescent="0.2">
      <c r="A430" s="242"/>
      <c r="B430" s="242"/>
      <c r="C430" s="242"/>
      <c r="D430" s="242"/>
      <c r="E430" s="242"/>
      <c r="F430" s="242"/>
      <c r="G430" s="242"/>
      <c r="H430" s="242"/>
      <c r="I430" s="242"/>
      <c r="J430" s="242"/>
      <c r="K430" s="242"/>
      <c r="L430" s="242"/>
      <c r="M430" s="242"/>
      <c r="N430" s="242"/>
      <c r="O430" s="242"/>
    </row>
    <row r="431" spans="1:15" s="236" customFormat="1" x14ac:dyDescent="0.2">
      <c r="A431" s="241" t="str">
        <f>name!A28</f>
        <v>Water</v>
      </c>
      <c r="B431" s="374">
        <f>$B$6</f>
        <v>2015</v>
      </c>
      <c r="C431" s="374"/>
      <c r="D431" s="374"/>
      <c r="E431" s="374"/>
      <c r="F431" s="263"/>
      <c r="G431" s="374">
        <f>$G$6</f>
        <v>2020</v>
      </c>
      <c r="H431" s="374"/>
      <c r="I431" s="374"/>
      <c r="J431" s="374"/>
      <c r="K431" s="263"/>
      <c r="L431" s="374">
        <f>$L$6</f>
        <v>2035</v>
      </c>
      <c r="M431" s="374"/>
      <c r="N431" s="374"/>
      <c r="O431" s="374"/>
    </row>
    <row r="432" spans="1:15" s="236" customFormat="1" x14ac:dyDescent="0.2">
      <c r="A432" s="254"/>
      <c r="B432" s="268" t="str">
        <f>$B$7</f>
        <v>FT</v>
      </c>
      <c r="C432" s="268" t="str">
        <f>$C$7</f>
        <v>PT</v>
      </c>
      <c r="D432" s="268" t="str">
        <f>$D$7</f>
        <v>SE</v>
      </c>
      <c r="E432" s="268" t="str">
        <f>$E$7</f>
        <v>Total</v>
      </c>
      <c r="F432" s="268"/>
      <c r="G432" s="268" t="str">
        <f>$G$7</f>
        <v>FT</v>
      </c>
      <c r="H432" s="268" t="str">
        <f>$H$7</f>
        <v>PT</v>
      </c>
      <c r="I432" s="268" t="str">
        <f>$I$7</f>
        <v>SE</v>
      </c>
      <c r="J432" s="268" t="str">
        <f>$J$7</f>
        <v>Total</v>
      </c>
      <c r="K432" s="268"/>
      <c r="L432" s="268" t="str">
        <f>$L$7</f>
        <v>FT</v>
      </c>
      <c r="M432" s="268" t="str">
        <f>$M$7</f>
        <v>PT</v>
      </c>
      <c r="N432" s="268" t="str">
        <f>$N$7</f>
        <v>SE</v>
      </c>
      <c r="O432" s="268" t="str">
        <f>$O$7</f>
        <v>Total</v>
      </c>
    </row>
    <row r="433" spans="1:15" s="236" customFormat="1" x14ac:dyDescent="0.2">
      <c r="A433" s="258"/>
      <c r="B433" s="239"/>
      <c r="C433" s="239"/>
      <c r="D433" s="239"/>
      <c r="E433" s="239"/>
      <c r="F433" s="239"/>
      <c r="G433" s="239"/>
      <c r="H433" s="239"/>
      <c r="I433" s="239"/>
      <c r="J433" s="239"/>
      <c r="K433" s="239"/>
      <c r="L433" s="239"/>
      <c r="M433" s="239"/>
      <c r="N433" s="239"/>
      <c r="O433" s="239"/>
    </row>
    <row r="434" spans="1:15" s="236" customFormat="1" x14ac:dyDescent="0.2">
      <c r="A434" s="237" t="str">
        <f>name!E$4</f>
        <v>Managers, directors and senior officials</v>
      </c>
      <c r="B434" s="302">
        <v>0.11044583371153038</v>
      </c>
      <c r="C434" s="302">
        <v>3.105372547511543E-2</v>
      </c>
      <c r="D434" s="302">
        <v>0</v>
      </c>
      <c r="E434" s="302">
        <f>SUM(B434:D434)</f>
        <v>0.14149955918664581</v>
      </c>
      <c r="F434" s="303"/>
      <c r="G434" s="302">
        <v>0.12506408878648023</v>
      </c>
      <c r="H434" s="302">
        <v>1.5234116181549818E-3</v>
      </c>
      <c r="I434" s="302">
        <v>8.6129049577358535E-3</v>
      </c>
      <c r="J434" s="302">
        <f>SUM(G434:I434)</f>
        <v>0.13520040536237105</v>
      </c>
      <c r="K434" s="303"/>
      <c r="L434" s="302">
        <v>0.14872216929277077</v>
      </c>
      <c r="M434" s="302">
        <v>2.1638204746161644E-3</v>
      </c>
      <c r="N434" s="302">
        <v>9.7705900145575141E-3</v>
      </c>
      <c r="O434" s="302">
        <f>SUM(L434:N434)</f>
        <v>0.16065657978194445</v>
      </c>
    </row>
    <row r="435" spans="1:15" s="236" customFormat="1" x14ac:dyDescent="0.2">
      <c r="A435" s="237" t="str">
        <f>name!E$5</f>
        <v>Professional occupations</v>
      </c>
      <c r="B435" s="302">
        <v>0.12769655466620711</v>
      </c>
      <c r="C435" s="302">
        <v>9.2059735514578994E-2</v>
      </c>
      <c r="D435" s="302">
        <v>0</v>
      </c>
      <c r="E435" s="302">
        <f t="shared" ref="E435:E442" si="196">SUM(B435:D435)</f>
        <v>0.2197562901807861</v>
      </c>
      <c r="F435" s="303"/>
      <c r="G435" s="302">
        <v>0.15692160279948275</v>
      </c>
      <c r="H435" s="302">
        <v>4.0184101472649477E-3</v>
      </c>
      <c r="I435" s="302">
        <v>2.0930547831039672E-2</v>
      </c>
      <c r="J435" s="302">
        <f t="shared" ref="J435:J437" si="197">SUM(G435:I435)</f>
        <v>0.18187056077778738</v>
      </c>
      <c r="K435" s="303"/>
      <c r="L435" s="302">
        <v>0.21642150685041642</v>
      </c>
      <c r="M435" s="302">
        <v>6.2225299208556401E-3</v>
      </c>
      <c r="N435" s="302">
        <v>2.5234741046248191E-2</v>
      </c>
      <c r="O435" s="302">
        <f t="shared" ref="O435:O442" si="198">SUM(L435:N435)</f>
        <v>0.24787877781752027</v>
      </c>
    </row>
    <row r="436" spans="1:15" s="236" customFormat="1" x14ac:dyDescent="0.2">
      <c r="A436" s="237" t="str">
        <f>name!E$6</f>
        <v>Associate professional occupations</v>
      </c>
      <c r="B436" s="302">
        <v>9.7450472956157552E-2</v>
      </c>
      <c r="C436" s="302">
        <v>8.1384245787034043E-2</v>
      </c>
      <c r="D436" s="302">
        <v>0</v>
      </c>
      <c r="E436" s="302">
        <f t="shared" si="196"/>
        <v>0.1788347187431916</v>
      </c>
      <c r="F436" s="303"/>
      <c r="G436" s="302">
        <v>0.11376118060187373</v>
      </c>
      <c r="H436" s="302">
        <v>3.1695147013538201E-3</v>
      </c>
      <c r="I436" s="302">
        <v>4.5340340491846973E-3</v>
      </c>
      <c r="J436" s="302">
        <f t="shared" si="197"/>
        <v>0.12146472935241226</v>
      </c>
      <c r="K436" s="303"/>
      <c r="L436" s="302">
        <v>0.12880843683347112</v>
      </c>
      <c r="M436" s="302">
        <v>4.0897716561833653E-3</v>
      </c>
      <c r="N436" s="302">
        <v>5.695101705296979E-3</v>
      </c>
      <c r="O436" s="302">
        <f t="shared" si="198"/>
        <v>0.13859331019495147</v>
      </c>
    </row>
    <row r="437" spans="1:15" s="236" customFormat="1" x14ac:dyDescent="0.2">
      <c r="A437" s="237" t="str">
        <f>name!E$7</f>
        <v>Administrative and secretarial occupations</v>
      </c>
      <c r="B437" s="302">
        <v>9.9881877927503991E-3</v>
      </c>
      <c r="C437" s="302">
        <v>4.4356220410436423E-2</v>
      </c>
      <c r="D437" s="302">
        <v>0</v>
      </c>
      <c r="E437" s="302">
        <f t="shared" si="196"/>
        <v>5.4344408203186825E-2</v>
      </c>
      <c r="F437" s="303"/>
      <c r="G437" s="302">
        <v>1.0171642434382828E-2</v>
      </c>
      <c r="H437" s="302">
        <v>1.5138052708804008E-3</v>
      </c>
      <c r="I437" s="302">
        <v>1.8392691100587296E-3</v>
      </c>
      <c r="J437" s="302">
        <f t="shared" si="197"/>
        <v>1.3524716815321958E-2</v>
      </c>
      <c r="K437" s="303"/>
      <c r="L437" s="302">
        <v>1.2865960862647189E-2</v>
      </c>
      <c r="M437" s="302">
        <v>1.5977169570821073E-3</v>
      </c>
      <c r="N437" s="302">
        <v>4.0758950089766982E-3</v>
      </c>
      <c r="O437" s="302">
        <f t="shared" si="198"/>
        <v>1.8539572828705993E-2</v>
      </c>
    </row>
    <row r="438" spans="1:15" s="236" customFormat="1" x14ac:dyDescent="0.2">
      <c r="A438" s="237" t="str">
        <f>name!E$8</f>
        <v>Skilled trades occupations</v>
      </c>
      <c r="B438" s="302">
        <v>0.10065628313675801</v>
      </c>
      <c r="C438" s="302">
        <v>1.659022007607714E-2</v>
      </c>
      <c r="D438" s="302">
        <v>0</v>
      </c>
      <c r="E438" s="302">
        <f t="shared" si="196"/>
        <v>0.11724650321283514</v>
      </c>
      <c r="F438" s="303"/>
      <c r="G438" s="302">
        <v>8.4390794019611054E-2</v>
      </c>
      <c r="H438" s="302">
        <v>3.8741020804818044E-4</v>
      </c>
      <c r="I438" s="302">
        <v>1.2648832076084684E-2</v>
      </c>
      <c r="J438" s="302">
        <f>SUM(G438:I438)</f>
        <v>9.7427036303743914E-2</v>
      </c>
      <c r="K438" s="303"/>
      <c r="L438" s="302">
        <v>0.1029301631459124</v>
      </c>
      <c r="M438" s="302">
        <v>6.2663963641456288E-4</v>
      </c>
      <c r="N438" s="302">
        <v>1.423050220083639E-2</v>
      </c>
      <c r="O438" s="302">
        <f t="shared" si="198"/>
        <v>0.11778730498316335</v>
      </c>
    </row>
    <row r="439" spans="1:15" s="236" customFormat="1" x14ac:dyDescent="0.2">
      <c r="A439" s="237" t="str">
        <f>name!E$9</f>
        <v>Caring, leisure and other service occupations</v>
      </c>
      <c r="B439" s="302">
        <v>1.8850141903631336E-3</v>
      </c>
      <c r="C439" s="302">
        <v>6.560209830419393E-3</v>
      </c>
      <c r="D439" s="302">
        <v>0</v>
      </c>
      <c r="E439" s="302">
        <f t="shared" si="196"/>
        <v>8.4452240207825262E-3</v>
      </c>
      <c r="F439" s="303"/>
      <c r="G439" s="302">
        <v>1.944770937140086E-3</v>
      </c>
      <c r="H439" s="302">
        <v>1.8491060164244137E-4</v>
      </c>
      <c r="I439" s="302">
        <v>1.0158016323505426E-3</v>
      </c>
      <c r="J439" s="302">
        <f t="shared" ref="J439:J442" si="199">SUM(G439:I439)</f>
        <v>3.1454831711330697E-3</v>
      </c>
      <c r="K439" s="303"/>
      <c r="L439" s="302">
        <v>3.0735365604336001E-3</v>
      </c>
      <c r="M439" s="302">
        <v>1.9951839182883672E-4</v>
      </c>
      <c r="N439" s="302">
        <v>1.4234210566847789E-3</v>
      </c>
      <c r="O439" s="302">
        <f t="shared" si="198"/>
        <v>4.696476008947216E-3</v>
      </c>
    </row>
    <row r="440" spans="1:15" s="236" customFormat="1" x14ac:dyDescent="0.2">
      <c r="A440" s="237" t="str">
        <f>name!E$10</f>
        <v>Sales and customer service occupations</v>
      </c>
      <c r="B440" s="302">
        <v>1.0286890331959312E-2</v>
      </c>
      <c r="C440" s="302">
        <v>4.195066903300472E-2</v>
      </c>
      <c r="D440" s="302">
        <v>0</v>
      </c>
      <c r="E440" s="302">
        <f t="shared" si="196"/>
        <v>5.2237559364964034E-2</v>
      </c>
      <c r="F440" s="303"/>
      <c r="G440" s="302">
        <v>1.048867400566166E-2</v>
      </c>
      <c r="H440" s="302">
        <v>1.518802860877448E-3</v>
      </c>
      <c r="I440" s="302">
        <v>2.3821299534393932E-3</v>
      </c>
      <c r="J440" s="302">
        <f t="shared" si="199"/>
        <v>1.4389606819978501E-2</v>
      </c>
      <c r="K440" s="303"/>
      <c r="L440" s="302">
        <v>1.3424734006143049E-2</v>
      </c>
      <c r="M440" s="302">
        <v>1.9073844195526023E-3</v>
      </c>
      <c r="N440" s="302">
        <v>2.6280723633480118E-3</v>
      </c>
      <c r="O440" s="302">
        <f t="shared" si="198"/>
        <v>1.7960190789043665E-2</v>
      </c>
    </row>
    <row r="441" spans="1:15" s="236" customFormat="1" x14ac:dyDescent="0.2">
      <c r="A441" s="237" t="str">
        <f>name!E$11</f>
        <v>Process, plant and machine operatives</v>
      </c>
      <c r="B441" s="302">
        <v>2.2723376650644909E-2</v>
      </c>
      <c r="C441" s="302">
        <v>3.6629000750499768E-2</v>
      </c>
      <c r="D441" s="302">
        <v>0</v>
      </c>
      <c r="E441" s="302">
        <f t="shared" si="196"/>
        <v>5.9352377401144678E-2</v>
      </c>
      <c r="F441" s="303"/>
      <c r="G441" s="302">
        <v>1.9256768331923409E-2</v>
      </c>
      <c r="H441" s="302">
        <v>1.1875116597017941E-3</v>
      </c>
      <c r="I441" s="302">
        <v>1.1350790805258179E-2</v>
      </c>
      <c r="J441" s="302">
        <f t="shared" si="199"/>
        <v>3.1795070796883387E-2</v>
      </c>
      <c r="K441" s="303"/>
      <c r="L441" s="302">
        <v>2.0479025394624366E-2</v>
      </c>
      <c r="M441" s="302">
        <v>1.8177940077937389E-3</v>
      </c>
      <c r="N441" s="302">
        <v>1.3213131936051319E-2</v>
      </c>
      <c r="O441" s="302">
        <f t="shared" si="198"/>
        <v>3.5509951338469424E-2</v>
      </c>
    </row>
    <row r="442" spans="1:15" s="236" customFormat="1" x14ac:dyDescent="0.2">
      <c r="A442" s="237" t="str">
        <f>name!E$12</f>
        <v>Elementary occupations</v>
      </c>
      <c r="B442" s="302">
        <v>4.8673865591019718E-3</v>
      </c>
      <c r="C442" s="302">
        <v>1.8415973124595291E-2</v>
      </c>
      <c r="D442" s="302">
        <v>0</v>
      </c>
      <c r="E442" s="302">
        <f t="shared" si="196"/>
        <v>2.3283359683697262E-2</v>
      </c>
      <c r="F442" s="303"/>
      <c r="G442" s="302">
        <v>4.0004780841386032E-3</v>
      </c>
      <c r="H442" s="302">
        <v>4.9622293191388205E-4</v>
      </c>
      <c r="I442" s="302">
        <v>1.0685689583469627E-2</v>
      </c>
      <c r="J442" s="302">
        <f t="shared" si="199"/>
        <v>1.5182390599522113E-2</v>
      </c>
      <c r="K442" s="303"/>
      <c r="L442" s="302">
        <v>2.2744670561060487E-3</v>
      </c>
      <c r="M442" s="302">
        <v>3.7482453531197438E-4</v>
      </c>
      <c r="N442" s="302">
        <v>1.2728544666041191E-2</v>
      </c>
      <c r="O442" s="302">
        <f t="shared" si="198"/>
        <v>1.5377836257459213E-2</v>
      </c>
    </row>
    <row r="443" spans="1:15" s="236" customFormat="1" x14ac:dyDescent="0.2">
      <c r="A443" s="237"/>
      <c r="B443" s="302"/>
      <c r="C443" s="302"/>
      <c r="D443" s="302"/>
      <c r="E443" s="302"/>
      <c r="F443" s="303"/>
      <c r="G443" s="302"/>
      <c r="H443" s="302"/>
      <c r="I443" s="302"/>
      <c r="J443" s="302"/>
      <c r="K443" s="303"/>
      <c r="L443" s="302"/>
      <c r="M443" s="302"/>
      <c r="N443" s="302"/>
      <c r="O443" s="302"/>
    </row>
    <row r="444" spans="1:15" s="236" customFormat="1" x14ac:dyDescent="0.2">
      <c r="A444" s="244" t="s">
        <v>32</v>
      </c>
      <c r="B444" s="311">
        <f>SUM(B434:B442)</f>
        <v>0.48599999999547272</v>
      </c>
      <c r="C444" s="311">
        <f t="shared" ref="C444:E444" si="200">SUM(C434:C442)</f>
        <v>0.36900000000176114</v>
      </c>
      <c r="D444" s="311">
        <f t="shared" si="200"/>
        <v>0</v>
      </c>
      <c r="E444" s="311">
        <f t="shared" si="200"/>
        <v>0.85499999999723386</v>
      </c>
      <c r="F444" s="311"/>
      <c r="G444" s="311">
        <f t="shared" ref="G444:J444" si="201">SUM(G434:G442)</f>
        <v>0.52600000000069436</v>
      </c>
      <c r="H444" s="311">
        <f t="shared" si="201"/>
        <v>1.3999999999837896E-2</v>
      </c>
      <c r="I444" s="311">
        <f t="shared" si="201"/>
        <v>7.3999999998621391E-2</v>
      </c>
      <c r="J444" s="311">
        <f t="shared" si="201"/>
        <v>0.61399999999915356</v>
      </c>
      <c r="K444" s="311"/>
      <c r="L444" s="311">
        <f t="shared" ref="L444:O444" si="202">SUM(L434:L442)</f>
        <v>0.649000000002525</v>
      </c>
      <c r="M444" s="311">
        <f t="shared" si="202"/>
        <v>1.8999999999638993E-2</v>
      </c>
      <c r="N444" s="311">
        <f t="shared" si="202"/>
        <v>8.8999999998041077E-2</v>
      </c>
      <c r="O444" s="311">
        <f t="shared" si="202"/>
        <v>0.75700000000020506</v>
      </c>
    </row>
    <row r="445" spans="1:15" s="236" customFormat="1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40"/>
    </row>
    <row r="446" spans="1:15" s="236" customFormat="1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40"/>
      <c r="O446" s="251" t="s">
        <v>35</v>
      </c>
    </row>
    <row r="447" spans="1:15" s="236" customFormat="1" x14ac:dyDescent="0.2">
      <c r="A447" s="242"/>
      <c r="B447" s="242"/>
      <c r="C447" s="242"/>
      <c r="D447" s="242"/>
      <c r="E447" s="242"/>
      <c r="F447" s="242"/>
      <c r="G447" s="242"/>
      <c r="H447" s="242"/>
      <c r="I447" s="242"/>
      <c r="J447" s="242"/>
      <c r="K447" s="242"/>
      <c r="L447" s="242"/>
      <c r="M447" s="242"/>
      <c r="N447" s="242"/>
      <c r="O447" s="242"/>
    </row>
    <row r="448" spans="1:15" s="236" customFormat="1" x14ac:dyDescent="0.2">
      <c r="A448" s="241" t="str">
        <f>name!A29</f>
        <v>Sewerage</v>
      </c>
      <c r="B448" s="374">
        <f>$B$6</f>
        <v>2015</v>
      </c>
      <c r="C448" s="374"/>
      <c r="D448" s="374"/>
      <c r="E448" s="374"/>
      <c r="F448" s="263"/>
      <c r="G448" s="374">
        <f>$G$6</f>
        <v>2020</v>
      </c>
      <c r="H448" s="374"/>
      <c r="I448" s="374"/>
      <c r="J448" s="374"/>
      <c r="K448" s="263"/>
      <c r="L448" s="374">
        <f>$L$6</f>
        <v>2035</v>
      </c>
      <c r="M448" s="374"/>
      <c r="N448" s="374"/>
      <c r="O448" s="374"/>
    </row>
    <row r="449" spans="1:15" s="236" customFormat="1" x14ac:dyDescent="0.2">
      <c r="A449" s="254"/>
      <c r="B449" s="268" t="str">
        <f>$B$7</f>
        <v>FT</v>
      </c>
      <c r="C449" s="268" t="str">
        <f>$C$7</f>
        <v>PT</v>
      </c>
      <c r="D449" s="268" t="str">
        <f>$D$7</f>
        <v>SE</v>
      </c>
      <c r="E449" s="268" t="str">
        <f>$E$7</f>
        <v>Total</v>
      </c>
      <c r="F449" s="268"/>
      <c r="G449" s="268" t="str">
        <f>$G$7</f>
        <v>FT</v>
      </c>
      <c r="H449" s="268" t="str">
        <f>$H$7</f>
        <v>PT</v>
      </c>
      <c r="I449" s="268" t="str">
        <f>$I$7</f>
        <v>SE</v>
      </c>
      <c r="J449" s="268" t="str">
        <f>$J$7</f>
        <v>Total</v>
      </c>
      <c r="K449" s="268"/>
      <c r="L449" s="268" t="str">
        <f>$L$7</f>
        <v>FT</v>
      </c>
      <c r="M449" s="268" t="str">
        <f>$M$7</f>
        <v>PT</v>
      </c>
      <c r="N449" s="268" t="str">
        <f>$N$7</f>
        <v>SE</v>
      </c>
      <c r="O449" s="268" t="str">
        <f>$O$7</f>
        <v>Total</v>
      </c>
    </row>
    <row r="450" spans="1:15" s="236" customFormat="1" x14ac:dyDescent="0.2">
      <c r="A450" s="258"/>
      <c r="B450" s="239"/>
      <c r="C450" s="239"/>
      <c r="D450" s="239"/>
      <c r="E450" s="239"/>
      <c r="F450" s="239"/>
      <c r="G450" s="239"/>
      <c r="H450" s="239"/>
      <c r="I450" s="239"/>
      <c r="J450" s="239"/>
      <c r="K450" s="239"/>
      <c r="L450" s="239"/>
      <c r="M450" s="239"/>
      <c r="N450" s="239"/>
      <c r="O450" s="239"/>
    </row>
    <row r="451" spans="1:15" s="236" customFormat="1" x14ac:dyDescent="0.2">
      <c r="A451" s="237" t="str">
        <f>name!E$4</f>
        <v>Managers, directors and senior officials</v>
      </c>
      <c r="B451" s="302">
        <v>0.34313578836060804</v>
      </c>
      <c r="C451" s="302">
        <v>2.9395162412513814E-2</v>
      </c>
      <c r="D451" s="302">
        <v>0</v>
      </c>
      <c r="E451" s="302">
        <f>SUM(B451:D451)</f>
        <v>0.37253095077312187</v>
      </c>
      <c r="F451" s="303"/>
      <c r="G451" s="302">
        <v>0.16729579809395967</v>
      </c>
      <c r="H451" s="302">
        <v>1.8199234091487666E-2</v>
      </c>
      <c r="I451" s="302">
        <v>7.4542412587970562E-3</v>
      </c>
      <c r="J451" s="302">
        <f>SUM(G451:I451)</f>
        <v>0.1929492734442444</v>
      </c>
      <c r="K451" s="303"/>
      <c r="L451" s="302">
        <v>0.19778853980243327</v>
      </c>
      <c r="M451" s="302">
        <v>2.5518317049071985E-2</v>
      </c>
      <c r="N451" s="302">
        <v>9.09212223967318E-3</v>
      </c>
      <c r="O451" s="302">
        <f>SUM(L451:N451)</f>
        <v>0.23239897909117843</v>
      </c>
    </row>
    <row r="452" spans="1:15" s="236" customFormat="1" x14ac:dyDescent="0.2">
      <c r="A452" s="237" t="str">
        <f>name!E$5</f>
        <v>Professional occupations</v>
      </c>
      <c r="B452" s="302">
        <v>0.39844943321484394</v>
      </c>
      <c r="C452" s="302">
        <v>8.7264675563585664E-2</v>
      </c>
      <c r="D452" s="302">
        <v>0</v>
      </c>
      <c r="E452" s="302">
        <f t="shared" ref="E452:E459" si="203">SUM(B452:D452)</f>
        <v>0.48571410877842958</v>
      </c>
      <c r="F452" s="303"/>
      <c r="G452" s="302">
        <v>0.21787765840739445</v>
      </c>
      <c r="H452" s="302">
        <v>5.2179744997023304E-2</v>
      </c>
      <c r="I452" s="302">
        <v>8.0862177108181055E-3</v>
      </c>
      <c r="J452" s="302">
        <f t="shared" ref="J452:J454" si="204">SUM(G452:I452)</f>
        <v>0.27814362111523583</v>
      </c>
      <c r="K452" s="303"/>
      <c r="L452" s="302">
        <v>0.29840150819106975</v>
      </c>
      <c r="M452" s="302">
        <v>7.8451469447960123E-2</v>
      </c>
      <c r="N452" s="302">
        <v>8.2385947805791223E-3</v>
      </c>
      <c r="O452" s="302">
        <f t="shared" ref="O452:O459" si="205">SUM(L452:N452)</f>
        <v>0.38509157241960901</v>
      </c>
    </row>
    <row r="453" spans="1:15" s="236" customFormat="1" x14ac:dyDescent="0.2">
      <c r="A453" s="237" t="str">
        <f>name!E$6</f>
        <v>Associate professional occupations</v>
      </c>
      <c r="B453" s="302">
        <v>0.4011950525764304</v>
      </c>
      <c r="C453" s="302">
        <v>0.20481600797280033</v>
      </c>
      <c r="D453" s="302">
        <v>0</v>
      </c>
      <c r="E453" s="302">
        <f t="shared" si="203"/>
        <v>0.60601106054923071</v>
      </c>
      <c r="F453" s="303"/>
      <c r="G453" s="302">
        <v>0.19317204884972669</v>
      </c>
      <c r="H453" s="302">
        <v>9.6451167876812946E-2</v>
      </c>
      <c r="I453" s="302">
        <v>5.3921447196730154E-3</v>
      </c>
      <c r="J453" s="302">
        <f t="shared" si="204"/>
        <v>0.29501536144621265</v>
      </c>
      <c r="K453" s="303"/>
      <c r="L453" s="302">
        <v>0.24867091492451215</v>
      </c>
      <c r="M453" s="302">
        <v>0.14657118524167378</v>
      </c>
      <c r="N453" s="302">
        <v>5.3984212559856281E-3</v>
      </c>
      <c r="O453" s="302">
        <f t="shared" si="205"/>
        <v>0.40064052142217155</v>
      </c>
    </row>
    <row r="454" spans="1:15" s="236" customFormat="1" x14ac:dyDescent="0.2">
      <c r="A454" s="237" t="str">
        <f>name!E$7</f>
        <v>Administrative and secretarial occupations</v>
      </c>
      <c r="B454" s="302">
        <v>0.15062973954269354</v>
      </c>
      <c r="C454" s="302">
        <v>0.15786256718412137</v>
      </c>
      <c r="D454" s="302">
        <v>0</v>
      </c>
      <c r="E454" s="302">
        <f t="shared" si="203"/>
        <v>0.30849230672681494</v>
      </c>
      <c r="F454" s="303"/>
      <c r="G454" s="302">
        <v>5.9042659501911024E-2</v>
      </c>
      <c r="H454" s="302">
        <v>6.5799038061551005E-2</v>
      </c>
      <c r="I454" s="302">
        <v>1.1022652836787097E-3</v>
      </c>
      <c r="J454" s="302">
        <f t="shared" si="204"/>
        <v>0.12594396284714074</v>
      </c>
      <c r="K454" s="303"/>
      <c r="L454" s="302">
        <v>5.2169479355669894E-2</v>
      </c>
      <c r="M454" s="302">
        <v>7.0212219352532079E-2</v>
      </c>
      <c r="N454" s="302">
        <v>1.366697203959704E-3</v>
      </c>
      <c r="O454" s="302">
        <f t="shared" si="205"/>
        <v>0.12374839591216169</v>
      </c>
    </row>
    <row r="455" spans="1:15" s="236" customFormat="1" x14ac:dyDescent="0.2">
      <c r="A455" s="237" t="str">
        <f>name!E$8</f>
        <v>Skilled trades occupations</v>
      </c>
      <c r="B455" s="302">
        <v>0.12276043805735783</v>
      </c>
      <c r="C455" s="302">
        <v>2.77901802906057E-2</v>
      </c>
      <c r="D455" s="302">
        <v>0</v>
      </c>
      <c r="E455" s="302">
        <f t="shared" si="203"/>
        <v>0.15055061834796352</v>
      </c>
      <c r="F455" s="303"/>
      <c r="G455" s="302">
        <v>4.5749646034645972E-2</v>
      </c>
      <c r="H455" s="302">
        <v>9.2436600425268491E-3</v>
      </c>
      <c r="I455" s="302">
        <v>1.7680560545700299E-2</v>
      </c>
      <c r="J455" s="302">
        <f>SUM(G455:I455)</f>
        <v>7.2673866622873118E-2</v>
      </c>
      <c r="K455" s="303"/>
      <c r="L455" s="302">
        <v>5.9558915536068929E-2</v>
      </c>
      <c r="M455" s="302">
        <v>1.3015023677480973E-2</v>
      </c>
      <c r="N455" s="302">
        <v>2.3021440208785816E-2</v>
      </c>
      <c r="O455" s="302">
        <f t="shared" si="205"/>
        <v>9.5595379422335716E-2</v>
      </c>
    </row>
    <row r="456" spans="1:15" s="236" customFormat="1" x14ac:dyDescent="0.2">
      <c r="A456" s="237" t="str">
        <f>name!E$9</f>
        <v>Caring, leisure and other service occupations</v>
      </c>
      <c r="B456" s="302">
        <v>5.4152844023280834E-2</v>
      </c>
      <c r="C456" s="302">
        <v>3.9821926942955263E-2</v>
      </c>
      <c r="D456" s="302">
        <v>0</v>
      </c>
      <c r="E456" s="302">
        <f t="shared" si="203"/>
        <v>9.3974770966236104E-2</v>
      </c>
      <c r="F456" s="303"/>
      <c r="G456" s="302">
        <v>2.4815758920959899E-2</v>
      </c>
      <c r="H456" s="302">
        <v>2.0522178568665679E-2</v>
      </c>
      <c r="I456" s="302">
        <v>2.5593897849204355E-3</v>
      </c>
      <c r="J456" s="302">
        <f t="shared" ref="J456:J459" si="206">SUM(G456:I456)</f>
        <v>4.7897327274546014E-2</v>
      </c>
      <c r="K456" s="303"/>
      <c r="L456" s="302">
        <v>3.707845566601644E-2</v>
      </c>
      <c r="M456" s="302">
        <v>2.5251751798752674E-2</v>
      </c>
      <c r="N456" s="302">
        <v>3.566187455109884E-3</v>
      </c>
      <c r="O456" s="302">
        <f t="shared" si="205"/>
        <v>6.5896394919878989E-2</v>
      </c>
    </row>
    <row r="457" spans="1:15" s="236" customFormat="1" x14ac:dyDescent="0.2">
      <c r="A457" s="237" t="str">
        <f>name!E$10</f>
        <v>Sales and customer service occupations</v>
      </c>
      <c r="B457" s="302">
        <v>4.6025932710359284E-2</v>
      </c>
      <c r="C457" s="302">
        <v>7.3366279412570401E-2</v>
      </c>
      <c r="D457" s="302">
        <v>0</v>
      </c>
      <c r="E457" s="302">
        <f t="shared" si="203"/>
        <v>0.11939221212292969</v>
      </c>
      <c r="F457" s="303"/>
      <c r="G457" s="302">
        <v>1.9642828649342678E-2</v>
      </c>
      <c r="H457" s="302">
        <v>3.3620331505098071E-2</v>
      </c>
      <c r="I457" s="302">
        <v>1.7070105399038266E-3</v>
      </c>
      <c r="J457" s="302">
        <f t="shared" si="206"/>
        <v>5.4970170694344574E-2</v>
      </c>
      <c r="K457" s="303"/>
      <c r="L457" s="302">
        <v>2.5885617937428537E-2</v>
      </c>
      <c r="M457" s="302">
        <v>3.8912955903363411E-2</v>
      </c>
      <c r="N457" s="302">
        <v>1.5369272652060362E-3</v>
      </c>
      <c r="O457" s="302">
        <f t="shared" si="205"/>
        <v>6.6335501105997979E-2</v>
      </c>
    </row>
    <row r="458" spans="1:15" s="236" customFormat="1" x14ac:dyDescent="0.2">
      <c r="A458" s="237" t="str">
        <f>name!E$11</f>
        <v>Process, plant and machine operatives</v>
      </c>
      <c r="B458" s="302">
        <v>0.55781635015855091</v>
      </c>
      <c r="C458" s="302">
        <v>2.2441955317733346E-2</v>
      </c>
      <c r="D458" s="302">
        <v>0</v>
      </c>
      <c r="E458" s="302">
        <f t="shared" si="203"/>
        <v>0.58025830547628421</v>
      </c>
      <c r="F458" s="303"/>
      <c r="G458" s="302">
        <v>0.22369012030011412</v>
      </c>
      <c r="H458" s="302">
        <v>1.0046955047353742E-2</v>
      </c>
      <c r="I458" s="302">
        <v>3.9709184108583824E-3</v>
      </c>
      <c r="J458" s="302">
        <f t="shared" si="206"/>
        <v>0.23770799375832624</v>
      </c>
      <c r="K458" s="303"/>
      <c r="L458" s="302">
        <v>0.28928265319988872</v>
      </c>
      <c r="M458" s="302">
        <v>1.5395296193350481E-2</v>
      </c>
      <c r="N458" s="302">
        <v>4.934590539874547E-3</v>
      </c>
      <c r="O458" s="302">
        <f t="shared" si="205"/>
        <v>0.30961253993311377</v>
      </c>
    </row>
    <row r="459" spans="1:15" s="236" customFormat="1" x14ac:dyDescent="0.2">
      <c r="A459" s="237" t="str">
        <f>name!E$12</f>
        <v>Elementary occupations</v>
      </c>
      <c r="B459" s="302">
        <v>0.62183442140247824</v>
      </c>
      <c r="C459" s="302">
        <v>0.28424124492229857</v>
      </c>
      <c r="D459" s="302">
        <v>0</v>
      </c>
      <c r="E459" s="302">
        <f t="shared" si="203"/>
        <v>0.90607566632477687</v>
      </c>
      <c r="F459" s="303"/>
      <c r="G459" s="302">
        <v>0.27971348122683465</v>
      </c>
      <c r="H459" s="302">
        <v>0.10693768980539371</v>
      </c>
      <c r="I459" s="302">
        <v>3.0472517448178835E-3</v>
      </c>
      <c r="J459" s="302">
        <f t="shared" si="206"/>
        <v>0.38969842277704625</v>
      </c>
      <c r="K459" s="303"/>
      <c r="L459" s="302">
        <v>0.33416391535002082</v>
      </c>
      <c r="M459" s="302">
        <v>0.11767178132381249</v>
      </c>
      <c r="N459" s="302">
        <v>4.8450190491666168E-3</v>
      </c>
      <c r="O459" s="302">
        <f t="shared" si="205"/>
        <v>0.45668071572299995</v>
      </c>
    </row>
    <row r="460" spans="1:15" s="236" customFormat="1" x14ac:dyDescent="0.2">
      <c r="A460" s="237"/>
      <c r="B460" s="302"/>
      <c r="C460" s="302"/>
      <c r="D460" s="302"/>
      <c r="E460" s="302"/>
      <c r="F460" s="303"/>
      <c r="G460" s="302"/>
      <c r="H460" s="302"/>
      <c r="I460" s="302"/>
      <c r="J460" s="302"/>
      <c r="K460" s="303"/>
      <c r="L460" s="302"/>
      <c r="M460" s="302"/>
      <c r="N460" s="302"/>
      <c r="O460" s="302"/>
    </row>
    <row r="461" spans="1:15" s="236" customFormat="1" x14ac:dyDescent="0.2">
      <c r="A461" s="244" t="s">
        <v>32</v>
      </c>
      <c r="B461" s="311">
        <f>SUM(B451:B459)</f>
        <v>2.6960000000466033</v>
      </c>
      <c r="C461" s="311">
        <f t="shared" ref="C461:E461" si="207">SUM(C451:C459)</f>
        <v>0.92700000001918448</v>
      </c>
      <c r="D461" s="311">
        <f t="shared" si="207"/>
        <v>0</v>
      </c>
      <c r="E461" s="311">
        <f t="shared" si="207"/>
        <v>3.6230000000657876</v>
      </c>
      <c r="F461" s="311"/>
      <c r="G461" s="311">
        <f t="shared" ref="G461:J461" si="208">SUM(G451:G459)</f>
        <v>1.2309999999848891</v>
      </c>
      <c r="H461" s="311">
        <f t="shared" si="208"/>
        <v>0.41299999999591297</v>
      </c>
      <c r="I461" s="311">
        <f t="shared" si="208"/>
        <v>5.0999999999167718E-2</v>
      </c>
      <c r="J461" s="311">
        <f t="shared" si="208"/>
        <v>1.6949999999799696</v>
      </c>
      <c r="K461" s="311"/>
      <c r="L461" s="311">
        <f t="shared" ref="L461:O461" si="209">SUM(L451:L459)</f>
        <v>1.5429999999631085</v>
      </c>
      <c r="M461" s="311">
        <f t="shared" si="209"/>
        <v>0.53099999998799796</v>
      </c>
      <c r="N461" s="311">
        <f t="shared" si="209"/>
        <v>6.1999999998340542E-2</v>
      </c>
      <c r="O461" s="311">
        <f t="shared" si="209"/>
        <v>2.1359999999494472</v>
      </c>
    </row>
    <row r="462" spans="1:15" s="236" customFormat="1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40"/>
    </row>
    <row r="463" spans="1:15" s="236" customFormat="1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40"/>
      <c r="O463" s="251" t="s">
        <v>35</v>
      </c>
    </row>
    <row r="464" spans="1:15" s="236" customFormat="1" x14ac:dyDescent="0.2">
      <c r="A464" s="242"/>
      <c r="B464" s="242"/>
      <c r="C464" s="242"/>
      <c r="D464" s="242"/>
      <c r="E464" s="242"/>
      <c r="F464" s="242"/>
      <c r="G464" s="242"/>
      <c r="H464" s="242"/>
      <c r="I464" s="242"/>
      <c r="J464" s="242"/>
      <c r="K464" s="242"/>
      <c r="L464" s="242"/>
      <c r="M464" s="242"/>
      <c r="N464" s="242"/>
      <c r="O464" s="242"/>
    </row>
    <row r="465" spans="1:15" s="236" customFormat="1" x14ac:dyDescent="0.2">
      <c r="A465" s="241" t="str">
        <f>name!A30</f>
        <v>Waste management</v>
      </c>
      <c r="B465" s="374">
        <f>$B$6</f>
        <v>2015</v>
      </c>
      <c r="C465" s="374"/>
      <c r="D465" s="374"/>
      <c r="E465" s="374"/>
      <c r="F465" s="263"/>
      <c r="G465" s="374">
        <f>$G$6</f>
        <v>2020</v>
      </c>
      <c r="H465" s="374"/>
      <c r="I465" s="374"/>
      <c r="J465" s="374"/>
      <c r="K465" s="263"/>
      <c r="L465" s="374">
        <f>$L$6</f>
        <v>2035</v>
      </c>
      <c r="M465" s="374"/>
      <c r="N465" s="374"/>
      <c r="O465" s="374"/>
    </row>
    <row r="466" spans="1:15" s="236" customFormat="1" x14ac:dyDescent="0.2">
      <c r="A466" s="254"/>
      <c r="B466" s="268" t="str">
        <f>$B$7</f>
        <v>FT</v>
      </c>
      <c r="C466" s="268" t="str">
        <f>$C$7</f>
        <v>PT</v>
      </c>
      <c r="D466" s="268" t="str">
        <f>$D$7</f>
        <v>SE</v>
      </c>
      <c r="E466" s="268" t="str">
        <f>$E$7</f>
        <v>Total</v>
      </c>
      <c r="F466" s="268"/>
      <c r="G466" s="268" t="str">
        <f>$G$7</f>
        <v>FT</v>
      </c>
      <c r="H466" s="268" t="str">
        <f>$H$7</f>
        <v>PT</v>
      </c>
      <c r="I466" s="268" t="str">
        <f>$I$7</f>
        <v>SE</v>
      </c>
      <c r="J466" s="268" t="str">
        <f>$J$7</f>
        <v>Total</v>
      </c>
      <c r="K466" s="268"/>
      <c r="L466" s="268" t="str">
        <f>$L$7</f>
        <v>FT</v>
      </c>
      <c r="M466" s="268" t="str">
        <f>$M$7</f>
        <v>PT</v>
      </c>
      <c r="N466" s="268" t="str">
        <f>$N$7</f>
        <v>SE</v>
      </c>
      <c r="O466" s="268" t="str">
        <f>$O$7</f>
        <v>Total</v>
      </c>
    </row>
    <row r="467" spans="1:15" s="236" customFormat="1" x14ac:dyDescent="0.2">
      <c r="A467" s="258"/>
      <c r="B467" s="239"/>
      <c r="C467" s="239"/>
      <c r="D467" s="239"/>
      <c r="E467" s="239"/>
      <c r="F467" s="239"/>
      <c r="G467" s="239"/>
      <c r="H467" s="239"/>
      <c r="I467" s="239"/>
      <c r="J467" s="239"/>
      <c r="K467" s="239"/>
      <c r="L467" s="239"/>
      <c r="M467" s="239"/>
      <c r="N467" s="239"/>
      <c r="O467" s="239"/>
    </row>
    <row r="468" spans="1:15" s="236" customFormat="1" x14ac:dyDescent="0.2">
      <c r="A468" s="237" t="str">
        <f>name!E$4</f>
        <v>Managers, directors and senior officials</v>
      </c>
      <c r="B468" s="302">
        <v>1.5224438782107794</v>
      </c>
      <c r="C468" s="302">
        <v>4.2349020290250339E-2</v>
      </c>
      <c r="D468" s="302">
        <v>0</v>
      </c>
      <c r="E468" s="302">
        <f>SUM(B468:D468)</f>
        <v>1.5647928985010298</v>
      </c>
      <c r="F468" s="303"/>
      <c r="G468" s="302">
        <v>1.9031797926665794</v>
      </c>
      <c r="H468" s="302">
        <v>0.13724841839715338</v>
      </c>
      <c r="I468" s="302">
        <v>0.33030357187730569</v>
      </c>
      <c r="J468" s="302">
        <f>SUM(G468:I468)</f>
        <v>2.3707317829410384</v>
      </c>
      <c r="K468" s="303"/>
      <c r="L468" s="302">
        <v>2.4467037100985785</v>
      </c>
      <c r="M468" s="302">
        <v>0.17586912697933083</v>
      </c>
      <c r="N468" s="302">
        <v>0.42073567206968737</v>
      </c>
      <c r="O468" s="302">
        <f>SUM(L468:N468)</f>
        <v>3.0433085091475967</v>
      </c>
    </row>
    <row r="469" spans="1:15" s="236" customFormat="1" x14ac:dyDescent="0.2">
      <c r="A469" s="237" t="str">
        <f>name!E$5</f>
        <v>Professional occupations</v>
      </c>
      <c r="B469" s="302">
        <v>1.6618438528886423</v>
      </c>
      <c r="C469" s="302">
        <v>0.10167637555825562</v>
      </c>
      <c r="D469" s="302">
        <v>0</v>
      </c>
      <c r="E469" s="302">
        <f t="shared" ref="E469:E476" si="210">SUM(B469:D469)</f>
        <v>1.763520228446898</v>
      </c>
      <c r="F469" s="303"/>
      <c r="G469" s="302">
        <v>2.053269782343591</v>
      </c>
      <c r="H469" s="302">
        <v>0.22386838536553852</v>
      </c>
      <c r="I469" s="302">
        <v>7.6609597891571304E-2</v>
      </c>
      <c r="J469" s="302">
        <f t="shared" ref="J469:J471" si="211">SUM(G469:I469)</f>
        <v>2.3537477656007009</v>
      </c>
      <c r="K469" s="303"/>
      <c r="L469" s="302">
        <v>2.8164587904090914</v>
      </c>
      <c r="M469" s="302">
        <v>0.37412920915599862</v>
      </c>
      <c r="N469" s="302">
        <v>8.2384849214344302E-2</v>
      </c>
      <c r="O469" s="302">
        <f t="shared" ref="O469:O476" si="212">SUM(L469:N469)</f>
        <v>3.2729728487794345</v>
      </c>
    </row>
    <row r="470" spans="1:15" s="236" customFormat="1" x14ac:dyDescent="0.2">
      <c r="A470" s="237" t="str">
        <f>name!E$6</f>
        <v>Associate professional occupations</v>
      </c>
      <c r="B470" s="302">
        <v>1.8293352667777241</v>
      </c>
      <c r="C470" s="302">
        <v>6.8541218372514173E-2</v>
      </c>
      <c r="D470" s="302">
        <v>0</v>
      </c>
      <c r="E470" s="302">
        <f t="shared" si="210"/>
        <v>1.8978764851502383</v>
      </c>
      <c r="F470" s="303"/>
      <c r="G470" s="302">
        <v>1.9685516081171495</v>
      </c>
      <c r="H470" s="302">
        <v>0.12875140169567281</v>
      </c>
      <c r="I470" s="302">
        <v>5.9662339726586612E-2</v>
      </c>
      <c r="J470" s="302">
        <f t="shared" si="211"/>
        <v>2.156965349539409</v>
      </c>
      <c r="K470" s="303"/>
      <c r="L470" s="302">
        <v>2.6487827162529993</v>
      </c>
      <c r="M470" s="302">
        <v>0.21253364025187466</v>
      </c>
      <c r="N470" s="302">
        <v>6.6636651687096135E-2</v>
      </c>
      <c r="O470" s="302">
        <f t="shared" si="212"/>
        <v>2.9279530081919702</v>
      </c>
    </row>
    <row r="471" spans="1:15" s="236" customFormat="1" x14ac:dyDescent="0.2">
      <c r="A471" s="237" t="str">
        <f>name!E$7</f>
        <v>Administrative and secretarial occupations</v>
      </c>
      <c r="B471" s="302">
        <v>0.82119432817309923</v>
      </c>
      <c r="C471" s="302">
        <v>0.12434483754589294</v>
      </c>
      <c r="D471" s="302">
        <v>0</v>
      </c>
      <c r="E471" s="302">
        <f t="shared" si="210"/>
        <v>0.94553916571899221</v>
      </c>
      <c r="F471" s="303"/>
      <c r="G471" s="302">
        <v>0.60019998419505127</v>
      </c>
      <c r="H471" s="302">
        <v>0.24549803506796894</v>
      </c>
      <c r="I471" s="302">
        <v>1.2607708563974208E-2</v>
      </c>
      <c r="J471" s="302">
        <f t="shared" si="211"/>
        <v>0.85830572782699444</v>
      </c>
      <c r="K471" s="303"/>
      <c r="L471" s="302">
        <v>0.51332947326677525</v>
      </c>
      <c r="M471" s="302">
        <v>0.25569301646763998</v>
      </c>
      <c r="N471" s="302">
        <v>1.7834482315676463E-2</v>
      </c>
      <c r="O471" s="302">
        <f t="shared" si="212"/>
        <v>0.78685697205009164</v>
      </c>
    </row>
    <row r="472" spans="1:15" s="236" customFormat="1" x14ac:dyDescent="0.2">
      <c r="A472" s="237" t="str">
        <f>name!E$8</f>
        <v>Skilled trades occupations</v>
      </c>
      <c r="B472" s="302">
        <v>0.58201935028196661</v>
      </c>
      <c r="C472" s="302">
        <v>8.8961851671484946E-2</v>
      </c>
      <c r="D472" s="302">
        <v>0</v>
      </c>
      <c r="E472" s="302">
        <f t="shared" si="210"/>
        <v>0.67098120195345157</v>
      </c>
      <c r="F472" s="303"/>
      <c r="G472" s="302">
        <v>0.58685180562238382</v>
      </c>
      <c r="H472" s="302">
        <v>0.17233142625529399</v>
      </c>
      <c r="I472" s="302">
        <v>0.55108086161772585</v>
      </c>
      <c r="J472" s="302">
        <f>SUM(G472:I472)</f>
        <v>1.3102640934954035</v>
      </c>
      <c r="K472" s="303"/>
      <c r="L472" s="302">
        <v>0.86387203608460617</v>
      </c>
      <c r="M472" s="302">
        <v>0.1939845726568831</v>
      </c>
      <c r="N472" s="302">
        <v>0.5511521799174407</v>
      </c>
      <c r="O472" s="302">
        <f t="shared" si="212"/>
        <v>1.6090087886589299</v>
      </c>
    </row>
    <row r="473" spans="1:15" s="236" customFormat="1" x14ac:dyDescent="0.2">
      <c r="A473" s="237" t="str">
        <f>name!E$9</f>
        <v>Caring, leisure and other service occupations</v>
      </c>
      <c r="B473" s="302">
        <v>0.29795556302335557</v>
      </c>
      <c r="C473" s="302">
        <v>4.7591506929422031E-2</v>
      </c>
      <c r="D473" s="302">
        <v>0</v>
      </c>
      <c r="E473" s="302">
        <f t="shared" si="210"/>
        <v>0.34554706995277762</v>
      </c>
      <c r="F473" s="303"/>
      <c r="G473" s="302">
        <v>0.31586333746078316</v>
      </c>
      <c r="H473" s="302">
        <v>7.4636205170449776E-2</v>
      </c>
      <c r="I473" s="302">
        <v>9.1777097115042141E-3</v>
      </c>
      <c r="J473" s="302">
        <f t="shared" ref="J473:J476" si="213">SUM(G473:I473)</f>
        <v>0.39967725234273715</v>
      </c>
      <c r="K473" s="303"/>
      <c r="L473" s="302">
        <v>0.52116025952182388</v>
      </c>
      <c r="M473" s="302">
        <v>0.15610511214681116</v>
      </c>
      <c r="N473" s="302">
        <v>1.5409815386455012E-2</v>
      </c>
      <c r="O473" s="302">
        <f t="shared" si="212"/>
        <v>0.69267518705509001</v>
      </c>
    </row>
    <row r="474" spans="1:15" s="236" customFormat="1" x14ac:dyDescent="0.2">
      <c r="A474" s="237" t="str">
        <f>name!E$10</f>
        <v>Sales and customer service occupations</v>
      </c>
      <c r="B474" s="302">
        <v>0.24764526252685548</v>
      </c>
      <c r="C474" s="302">
        <v>4.7077760435383205E-2</v>
      </c>
      <c r="D474" s="302">
        <v>0</v>
      </c>
      <c r="E474" s="302">
        <f t="shared" si="210"/>
        <v>0.29472302296223868</v>
      </c>
      <c r="F474" s="303"/>
      <c r="G474" s="302">
        <v>0.23568362290029116</v>
      </c>
      <c r="H474" s="302">
        <v>9.0528612098216679E-2</v>
      </c>
      <c r="I474" s="302">
        <v>5.3471081242822634E-2</v>
      </c>
      <c r="J474" s="302">
        <f t="shared" si="213"/>
        <v>0.37968331624133045</v>
      </c>
      <c r="K474" s="303"/>
      <c r="L474" s="302">
        <v>0.32528120573404407</v>
      </c>
      <c r="M474" s="302">
        <v>0.13456372655106691</v>
      </c>
      <c r="N474" s="302">
        <v>5.1195880301810333E-2</v>
      </c>
      <c r="O474" s="302">
        <f t="shared" si="212"/>
        <v>0.51104081258692136</v>
      </c>
    </row>
    <row r="475" spans="1:15" s="236" customFormat="1" x14ac:dyDescent="0.2">
      <c r="A475" s="237" t="str">
        <f>name!E$11</f>
        <v>Process, plant and machine operatives</v>
      </c>
      <c r="B475" s="302">
        <v>1.896708512824093</v>
      </c>
      <c r="C475" s="302">
        <v>7.9684840422086664E-2</v>
      </c>
      <c r="D475" s="302">
        <v>0</v>
      </c>
      <c r="E475" s="302">
        <f t="shared" si="210"/>
        <v>1.9763933532461797</v>
      </c>
      <c r="F475" s="303"/>
      <c r="G475" s="302">
        <v>2.0154236503537493</v>
      </c>
      <c r="H475" s="302">
        <v>0.19134920479672696</v>
      </c>
      <c r="I475" s="302">
        <v>0.10848374170671711</v>
      </c>
      <c r="J475" s="302">
        <f t="shared" si="213"/>
        <v>2.3152565968571932</v>
      </c>
      <c r="K475" s="303"/>
      <c r="L475" s="302">
        <v>2.5133622832035885</v>
      </c>
      <c r="M475" s="302">
        <v>0.12014296240114133</v>
      </c>
      <c r="N475" s="302">
        <v>0.10955603353760796</v>
      </c>
      <c r="O475" s="302">
        <f t="shared" si="212"/>
        <v>2.7430612791423377</v>
      </c>
    </row>
    <row r="476" spans="1:15" s="236" customFormat="1" x14ac:dyDescent="0.2">
      <c r="A476" s="237" t="str">
        <f>name!E$12</f>
        <v>Elementary occupations</v>
      </c>
      <c r="B476" s="302">
        <v>1.8418539854128042</v>
      </c>
      <c r="C476" s="302">
        <v>6.3772588783090986E-2</v>
      </c>
      <c r="D476" s="302">
        <v>0</v>
      </c>
      <c r="E476" s="302">
        <f t="shared" si="210"/>
        <v>1.9056265741958951</v>
      </c>
      <c r="F476" s="303"/>
      <c r="G476" s="302">
        <v>2.1239764162188517</v>
      </c>
      <c r="H476" s="302">
        <v>7.8788311137003714E-2</v>
      </c>
      <c r="I476" s="302">
        <v>6.0603387625859775E-2</v>
      </c>
      <c r="J476" s="302">
        <f t="shared" si="213"/>
        <v>2.2633681149817151</v>
      </c>
      <c r="K476" s="303"/>
      <c r="L476" s="302">
        <v>2.2330495251815794</v>
      </c>
      <c r="M476" s="302">
        <v>0.10497863336971622</v>
      </c>
      <c r="N476" s="302">
        <v>8.0094435518575494E-2</v>
      </c>
      <c r="O476" s="302">
        <f t="shared" si="212"/>
        <v>2.418122594069871</v>
      </c>
    </row>
    <row r="477" spans="1:15" s="236" customFormat="1" x14ac:dyDescent="0.2">
      <c r="A477" s="237"/>
      <c r="B477" s="302"/>
      <c r="C477" s="302"/>
      <c r="D477" s="302"/>
      <c r="E477" s="302"/>
      <c r="F477" s="303"/>
      <c r="G477" s="302"/>
      <c r="H477" s="302"/>
      <c r="I477" s="302"/>
      <c r="J477" s="302"/>
      <c r="K477" s="303"/>
      <c r="L477" s="302"/>
      <c r="M477" s="302"/>
      <c r="N477" s="302"/>
      <c r="O477" s="302"/>
    </row>
    <row r="478" spans="1:15" s="236" customFormat="1" x14ac:dyDescent="0.2">
      <c r="A478" s="244" t="s">
        <v>32</v>
      </c>
      <c r="B478" s="311">
        <f>SUM(B468:B476)</f>
        <v>10.701000000119322</v>
      </c>
      <c r="C478" s="311">
        <f t="shared" ref="C478:E478" si="214">SUM(C468:C476)</f>
        <v>0.664000000008381</v>
      </c>
      <c r="D478" s="311">
        <f t="shared" si="214"/>
        <v>0</v>
      </c>
      <c r="E478" s="311">
        <f t="shared" si="214"/>
        <v>11.365000000127701</v>
      </c>
      <c r="F478" s="311"/>
      <c r="G478" s="311">
        <f t="shared" ref="G478:J478" si="215">SUM(G468:G476)</f>
        <v>11.802999999878431</v>
      </c>
      <c r="H478" s="311">
        <f t="shared" si="215"/>
        <v>1.3429999999840248</v>
      </c>
      <c r="I478" s="311">
        <f t="shared" si="215"/>
        <v>1.2619999999640674</v>
      </c>
      <c r="J478" s="311">
        <f t="shared" si="215"/>
        <v>14.40799999982652</v>
      </c>
      <c r="K478" s="311"/>
      <c r="L478" s="311">
        <f t="shared" ref="L478:O478" si="216">SUM(L468:L476)</f>
        <v>14.881999999753086</v>
      </c>
      <c r="M478" s="311">
        <f t="shared" si="216"/>
        <v>1.7279999999804629</v>
      </c>
      <c r="N478" s="311">
        <f t="shared" si="216"/>
        <v>1.3949999999486939</v>
      </c>
      <c r="O478" s="311">
        <f t="shared" si="216"/>
        <v>18.004999999682244</v>
      </c>
    </row>
    <row r="479" spans="1:15" s="236" customFormat="1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40"/>
    </row>
    <row r="480" spans="1:15" s="236" customFormat="1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40"/>
      <c r="O480" s="251" t="s">
        <v>35</v>
      </c>
    </row>
    <row r="481" spans="1:15" s="236" customFormat="1" x14ac:dyDescent="0.2">
      <c r="A481" s="242"/>
      <c r="B481" s="242"/>
      <c r="C481" s="242"/>
      <c r="D481" s="242"/>
      <c r="E481" s="242"/>
      <c r="F481" s="242"/>
      <c r="G481" s="242"/>
      <c r="H481" s="242"/>
      <c r="I481" s="242"/>
      <c r="J481" s="242"/>
      <c r="K481" s="242"/>
      <c r="L481" s="242"/>
      <c r="M481" s="242"/>
      <c r="N481" s="242"/>
      <c r="O481" s="242"/>
    </row>
    <row r="482" spans="1:15" s="236" customFormat="1" x14ac:dyDescent="0.2">
      <c r="A482" s="241" t="str">
        <f>name!A31</f>
        <v>Construction</v>
      </c>
      <c r="B482" s="374">
        <f>$B$6</f>
        <v>2015</v>
      </c>
      <c r="C482" s="374"/>
      <c r="D482" s="374"/>
      <c r="E482" s="374"/>
      <c r="F482" s="263"/>
      <c r="G482" s="374">
        <f>$G$6</f>
        <v>2020</v>
      </c>
      <c r="H482" s="374"/>
      <c r="I482" s="374"/>
      <c r="J482" s="374"/>
      <c r="K482" s="263"/>
      <c r="L482" s="374">
        <f>$L$6</f>
        <v>2035</v>
      </c>
      <c r="M482" s="374"/>
      <c r="N482" s="374"/>
      <c r="O482" s="374"/>
    </row>
    <row r="483" spans="1:15" s="236" customFormat="1" x14ac:dyDescent="0.2">
      <c r="A483" s="254"/>
      <c r="B483" s="268" t="str">
        <f>$B$7</f>
        <v>FT</v>
      </c>
      <c r="C483" s="268" t="str">
        <f>$C$7</f>
        <v>PT</v>
      </c>
      <c r="D483" s="268" t="str">
        <f>$D$7</f>
        <v>SE</v>
      </c>
      <c r="E483" s="268" t="str">
        <f>$E$7</f>
        <v>Total</v>
      </c>
      <c r="F483" s="268"/>
      <c r="G483" s="268" t="str">
        <f>$G$7</f>
        <v>FT</v>
      </c>
      <c r="H483" s="268" t="str">
        <f>$H$7</f>
        <v>PT</v>
      </c>
      <c r="I483" s="268" t="str">
        <f>$I$7</f>
        <v>SE</v>
      </c>
      <c r="J483" s="268" t="str">
        <f>$J$7</f>
        <v>Total</v>
      </c>
      <c r="K483" s="268"/>
      <c r="L483" s="268" t="str">
        <f>$L$7</f>
        <v>FT</v>
      </c>
      <c r="M483" s="268" t="str">
        <f>$M$7</f>
        <v>PT</v>
      </c>
      <c r="N483" s="268" t="str">
        <f>$N$7</f>
        <v>SE</v>
      </c>
      <c r="O483" s="268" t="str">
        <f>$O$7</f>
        <v>Total</v>
      </c>
    </row>
    <row r="484" spans="1:15" s="236" customFormat="1" x14ac:dyDescent="0.2">
      <c r="A484" s="258"/>
      <c r="B484" s="239"/>
      <c r="C484" s="239"/>
      <c r="D484" s="239"/>
      <c r="E484" s="239"/>
      <c r="F484" s="239"/>
      <c r="G484" s="239"/>
      <c r="H484" s="239"/>
      <c r="I484" s="239"/>
      <c r="J484" s="239"/>
      <c r="K484" s="239"/>
      <c r="L484" s="239"/>
      <c r="M484" s="239"/>
      <c r="N484" s="239"/>
      <c r="O484" s="239"/>
    </row>
    <row r="485" spans="1:15" s="236" customFormat="1" x14ac:dyDescent="0.2">
      <c r="A485" s="237" t="str">
        <f>name!E$4</f>
        <v>Managers, directors and senior officials</v>
      </c>
      <c r="B485" s="302">
        <v>5.9148015103754057</v>
      </c>
      <c r="C485" s="302">
        <v>0.64147621175673064</v>
      </c>
      <c r="D485" s="302">
        <v>2.1182765597494568</v>
      </c>
      <c r="E485" s="302">
        <f>SUM(B485:D485)</f>
        <v>8.6745542818815924</v>
      </c>
      <c r="F485" s="303"/>
      <c r="G485" s="302">
        <v>10.555638407790388</v>
      </c>
      <c r="H485" s="302">
        <v>1.6616433388513738</v>
      </c>
      <c r="I485" s="302">
        <v>2.620140052512363</v>
      </c>
      <c r="J485" s="302">
        <f>SUM(G485:I485)</f>
        <v>14.837421799154125</v>
      </c>
      <c r="K485" s="303"/>
      <c r="L485" s="302">
        <v>13.49052228500188</v>
      </c>
      <c r="M485" s="302">
        <v>2.1972206858128764</v>
      </c>
      <c r="N485" s="302">
        <v>3.3823328343048207</v>
      </c>
      <c r="O485" s="302">
        <f>SUM(L485:N485)</f>
        <v>19.070075805119579</v>
      </c>
    </row>
    <row r="486" spans="1:15" s="236" customFormat="1" x14ac:dyDescent="0.2">
      <c r="A486" s="237" t="str">
        <f>name!E$5</f>
        <v>Professional occupations</v>
      </c>
      <c r="B486" s="302">
        <v>9.1648141393687972</v>
      </c>
      <c r="C486" s="302">
        <v>0.58034655973307503</v>
      </c>
      <c r="D486" s="302">
        <v>1.1528050114901165</v>
      </c>
      <c r="E486" s="302">
        <f t="shared" ref="E486:E493" si="217">SUM(B486:D486)</f>
        <v>10.897965710591988</v>
      </c>
      <c r="F486" s="303"/>
      <c r="G486" s="302">
        <v>18.315329664065196</v>
      </c>
      <c r="H486" s="302">
        <v>1.3389122718924731</v>
      </c>
      <c r="I486" s="302">
        <v>1.2198636793317841</v>
      </c>
      <c r="J486" s="302">
        <f t="shared" ref="J486:J488" si="218">SUM(G486:I486)</f>
        <v>20.874105615289452</v>
      </c>
      <c r="K486" s="303"/>
      <c r="L486" s="302">
        <v>28.520512345371543</v>
      </c>
      <c r="M486" s="302">
        <v>1.8536013867559895</v>
      </c>
      <c r="N486" s="302">
        <v>1.2002273996501309</v>
      </c>
      <c r="O486" s="302">
        <f t="shared" ref="O486:O493" si="219">SUM(L486:N486)</f>
        <v>31.574341131777665</v>
      </c>
    </row>
    <row r="487" spans="1:15" s="236" customFormat="1" x14ac:dyDescent="0.2">
      <c r="A487" s="237" t="str">
        <f>name!E$6</f>
        <v>Associate professional occupations</v>
      </c>
      <c r="B487" s="302">
        <v>5.0381864516966521</v>
      </c>
      <c r="C487" s="302">
        <v>0.58568712180855675</v>
      </c>
      <c r="D487" s="302">
        <v>0.6079819813482813</v>
      </c>
      <c r="E487" s="302">
        <f t="shared" si="217"/>
        <v>6.2318555548534906</v>
      </c>
      <c r="F487" s="303"/>
      <c r="G487" s="302">
        <v>9.5116820199647965</v>
      </c>
      <c r="H487" s="302">
        <v>1.1800307546968256</v>
      </c>
      <c r="I487" s="302">
        <v>0.58286583413227289</v>
      </c>
      <c r="J487" s="302">
        <f t="shared" si="218"/>
        <v>11.274578608793895</v>
      </c>
      <c r="K487" s="303"/>
      <c r="L487" s="302">
        <v>11.978373095901842</v>
      </c>
      <c r="M487" s="302">
        <v>1.3176746446523726</v>
      </c>
      <c r="N487" s="302">
        <v>0.71707393662820407</v>
      </c>
      <c r="O487" s="302">
        <f t="shared" si="219"/>
        <v>14.013121677182419</v>
      </c>
    </row>
    <row r="488" spans="1:15" s="236" customFormat="1" x14ac:dyDescent="0.2">
      <c r="A488" s="237" t="str">
        <f>name!E$7</f>
        <v>Administrative and secretarial occupations</v>
      </c>
      <c r="B488" s="302">
        <v>4.9515719155028917</v>
      </c>
      <c r="C488" s="302">
        <v>3.399193142598901</v>
      </c>
      <c r="D488" s="302">
        <v>0.87114694680677918</v>
      </c>
      <c r="E488" s="302">
        <f t="shared" si="217"/>
        <v>9.221912004908571</v>
      </c>
      <c r="F488" s="303"/>
      <c r="G488" s="302">
        <v>7.1947302896134628</v>
      </c>
      <c r="H488" s="302">
        <v>4.4846768977360805</v>
      </c>
      <c r="I488" s="302">
        <v>0.7622677595261953</v>
      </c>
      <c r="J488" s="302">
        <f t="shared" si="218"/>
        <v>12.441674946875739</v>
      </c>
      <c r="K488" s="303"/>
      <c r="L488" s="302">
        <v>5.7593192681139911</v>
      </c>
      <c r="M488" s="302">
        <v>5.6748878585926219</v>
      </c>
      <c r="N488" s="302">
        <v>0.44640808370287111</v>
      </c>
      <c r="O488" s="302">
        <f t="shared" si="219"/>
        <v>11.880615210409484</v>
      </c>
    </row>
    <row r="489" spans="1:15" s="236" customFormat="1" x14ac:dyDescent="0.2">
      <c r="A489" s="237" t="str">
        <f>name!E$8</f>
        <v>Skilled trades occupations</v>
      </c>
      <c r="B489" s="302">
        <v>18.610662493905469</v>
      </c>
      <c r="C489" s="302">
        <v>1.9243901260311154</v>
      </c>
      <c r="D489" s="302">
        <v>44.392974076042378</v>
      </c>
      <c r="E489" s="302">
        <f t="shared" si="217"/>
        <v>64.928026695978957</v>
      </c>
      <c r="F489" s="303"/>
      <c r="G489" s="302">
        <v>24.601134499046733</v>
      </c>
      <c r="H489" s="302">
        <v>2.1950734255640034</v>
      </c>
      <c r="I489" s="302">
        <v>30.017844391420269</v>
      </c>
      <c r="J489" s="302">
        <f>SUM(G489:I489)</f>
        <v>56.81405231603101</v>
      </c>
      <c r="K489" s="303"/>
      <c r="L489" s="302">
        <v>28.101347072765567</v>
      </c>
      <c r="M489" s="302">
        <v>4.203865056349505</v>
      </c>
      <c r="N489" s="302">
        <v>39.68161183369569</v>
      </c>
      <c r="O489" s="302">
        <f t="shared" si="219"/>
        <v>71.98682396281076</v>
      </c>
    </row>
    <row r="490" spans="1:15" s="236" customFormat="1" x14ac:dyDescent="0.2">
      <c r="A490" s="237" t="str">
        <f>name!E$9</f>
        <v>Caring, leisure and other service occupations</v>
      </c>
      <c r="B490" s="302">
        <v>0.28978587321257826</v>
      </c>
      <c r="C490" s="302">
        <v>8.9487489135873774E-2</v>
      </c>
      <c r="D490" s="302">
        <v>3.2441598299277764E-2</v>
      </c>
      <c r="E490" s="302">
        <f t="shared" si="217"/>
        <v>0.41171496064772983</v>
      </c>
      <c r="F490" s="303"/>
      <c r="G490" s="302">
        <v>0.49659792975440897</v>
      </c>
      <c r="H490" s="302">
        <v>0.18144019176717935</v>
      </c>
      <c r="I490" s="302">
        <v>3.6827570622853571E-2</v>
      </c>
      <c r="J490" s="302">
        <f t="shared" ref="J490:J493" si="220">SUM(G490:I490)</f>
        <v>0.71486569214444184</v>
      </c>
      <c r="K490" s="303"/>
      <c r="L490" s="302">
        <v>0.59990643789601139</v>
      </c>
      <c r="M490" s="302">
        <v>0.15820929038719728</v>
      </c>
      <c r="N490" s="302">
        <v>5.5424300794616806E-2</v>
      </c>
      <c r="O490" s="302">
        <f t="shared" si="219"/>
        <v>0.81354002907782552</v>
      </c>
    </row>
    <row r="491" spans="1:15" s="236" customFormat="1" x14ac:dyDescent="0.2">
      <c r="A491" s="237" t="str">
        <f>name!E$10</f>
        <v>Sales and customer service occupations</v>
      </c>
      <c r="B491" s="302">
        <v>0.87487932342079189</v>
      </c>
      <c r="C491" s="302">
        <v>0.37799719572429658</v>
      </c>
      <c r="D491" s="302">
        <v>0.16624483031841816</v>
      </c>
      <c r="E491" s="302">
        <f t="shared" si="217"/>
        <v>1.4191213494635064</v>
      </c>
      <c r="F491" s="303"/>
      <c r="G491" s="302">
        <v>1.3424988688413644</v>
      </c>
      <c r="H491" s="302">
        <v>0.60336468831295154</v>
      </c>
      <c r="I491" s="302">
        <v>0.13935809473798941</v>
      </c>
      <c r="J491" s="302">
        <f t="shared" si="220"/>
        <v>2.0852216518923052</v>
      </c>
      <c r="K491" s="303"/>
      <c r="L491" s="302">
        <v>1.8105318358165194</v>
      </c>
      <c r="M491" s="302">
        <v>0.81384904219529008</v>
      </c>
      <c r="N491" s="302">
        <v>0.17713693331731822</v>
      </c>
      <c r="O491" s="302">
        <f t="shared" si="219"/>
        <v>2.8015178113291275</v>
      </c>
    </row>
    <row r="492" spans="1:15" s="236" customFormat="1" x14ac:dyDescent="0.2">
      <c r="A492" s="237" t="str">
        <f>name!E$11</f>
        <v>Process, plant and machine operatives</v>
      </c>
      <c r="B492" s="302">
        <v>3.6348191708852209</v>
      </c>
      <c r="C492" s="302">
        <v>0.30809303769745133</v>
      </c>
      <c r="D492" s="302">
        <v>1.9361086241908783</v>
      </c>
      <c r="E492" s="302">
        <f t="shared" si="217"/>
        <v>5.8790208327735503</v>
      </c>
      <c r="F492" s="303"/>
      <c r="G492" s="302">
        <v>4.8694001185851015</v>
      </c>
      <c r="H492" s="302">
        <v>0.65275420693345321</v>
      </c>
      <c r="I492" s="302">
        <v>1.7759338868399264</v>
      </c>
      <c r="J492" s="302">
        <f t="shared" si="220"/>
        <v>7.2980882123584809</v>
      </c>
      <c r="K492" s="303"/>
      <c r="L492" s="302">
        <v>6.0551020181960551</v>
      </c>
      <c r="M492" s="302">
        <v>0.85807620460182632</v>
      </c>
      <c r="N492" s="302">
        <v>3.0400787880090259</v>
      </c>
      <c r="O492" s="302">
        <f t="shared" si="219"/>
        <v>9.9532570108069081</v>
      </c>
    </row>
    <row r="493" spans="1:15" s="236" customFormat="1" x14ac:dyDescent="0.2">
      <c r="A493" s="237" t="str">
        <f>name!E$12</f>
        <v>Elementary occupations</v>
      </c>
      <c r="B493" s="302">
        <v>1.9984791222358509</v>
      </c>
      <c r="C493" s="302">
        <v>1.0043291156814804</v>
      </c>
      <c r="D493" s="302">
        <v>1.9250203712566281</v>
      </c>
      <c r="E493" s="302">
        <f t="shared" si="217"/>
        <v>4.9278286091739592</v>
      </c>
      <c r="F493" s="303"/>
      <c r="G493" s="302">
        <v>2.5419882011846964</v>
      </c>
      <c r="H493" s="302">
        <v>1.4041042240958077</v>
      </c>
      <c r="I493" s="302">
        <v>1.4888987283286006</v>
      </c>
      <c r="J493" s="302">
        <f t="shared" si="220"/>
        <v>5.4349911536091051</v>
      </c>
      <c r="K493" s="303"/>
      <c r="L493" s="302">
        <v>2.4083856395694401</v>
      </c>
      <c r="M493" s="302">
        <v>1.2396158303290017</v>
      </c>
      <c r="N493" s="302">
        <v>2.3467058838566395</v>
      </c>
      <c r="O493" s="302">
        <f t="shared" si="219"/>
        <v>5.9947073537550812</v>
      </c>
    </row>
    <row r="494" spans="1:15" s="236" customFormat="1" x14ac:dyDescent="0.2">
      <c r="A494" s="237"/>
      <c r="B494" s="302"/>
      <c r="C494" s="302"/>
      <c r="D494" s="302"/>
      <c r="E494" s="302"/>
      <c r="F494" s="303"/>
      <c r="G494" s="302"/>
      <c r="H494" s="302"/>
      <c r="I494" s="302"/>
      <c r="J494" s="302"/>
      <c r="K494" s="303"/>
      <c r="L494" s="302"/>
      <c r="M494" s="302"/>
      <c r="N494" s="302"/>
      <c r="O494" s="302"/>
    </row>
    <row r="495" spans="1:15" s="236" customFormat="1" x14ac:dyDescent="0.2">
      <c r="A495" s="244" t="s">
        <v>32</v>
      </c>
      <c r="B495" s="311">
        <f>SUM(B485:B493)</f>
        <v>50.478000000603664</v>
      </c>
      <c r="C495" s="311">
        <f t="shared" ref="C495:E495" si="221">SUM(C485:C493)</f>
        <v>8.9110000001674816</v>
      </c>
      <c r="D495" s="311">
        <f t="shared" si="221"/>
        <v>53.202999999502218</v>
      </c>
      <c r="E495" s="311">
        <f t="shared" si="221"/>
        <v>112.59200000027334</v>
      </c>
      <c r="F495" s="311"/>
      <c r="G495" s="311">
        <f t="shared" ref="G495:J495" si="222">SUM(G485:G493)</f>
        <v>79.428999998846152</v>
      </c>
      <c r="H495" s="311">
        <f t="shared" si="222"/>
        <v>13.701999999850146</v>
      </c>
      <c r="I495" s="311">
        <f t="shared" si="222"/>
        <v>38.643999997452255</v>
      </c>
      <c r="J495" s="311">
        <f t="shared" si="222"/>
        <v>131.77499999614858</v>
      </c>
      <c r="K495" s="311"/>
      <c r="L495" s="311">
        <f t="shared" ref="L495:O495" si="223">SUM(L485:L493)</f>
        <v>98.723999998632848</v>
      </c>
      <c r="M495" s="311">
        <f t="shared" si="223"/>
        <v>18.316999999676678</v>
      </c>
      <c r="N495" s="311">
        <f t="shared" si="223"/>
        <v>51.046999993959318</v>
      </c>
      <c r="O495" s="311">
        <f t="shared" si="223"/>
        <v>168.08799999226883</v>
      </c>
    </row>
    <row r="496" spans="1:15" s="236" customFormat="1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40"/>
    </row>
    <row r="497" spans="1:15" s="236" customFormat="1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40"/>
      <c r="O497" s="251" t="s">
        <v>35</v>
      </c>
    </row>
    <row r="498" spans="1:15" s="236" customFormat="1" x14ac:dyDescent="0.2">
      <c r="A498" s="242"/>
      <c r="B498" s="242"/>
      <c r="C498" s="242"/>
      <c r="D498" s="242"/>
      <c r="E498" s="242"/>
      <c r="F498" s="242"/>
      <c r="G498" s="242"/>
      <c r="H498" s="242"/>
      <c r="I498" s="242"/>
      <c r="J498" s="242"/>
      <c r="K498" s="242"/>
      <c r="L498" s="242"/>
      <c r="M498" s="242"/>
      <c r="N498" s="242"/>
      <c r="O498" s="242"/>
    </row>
    <row r="499" spans="1:15" s="236" customFormat="1" x14ac:dyDescent="0.2">
      <c r="A499" s="241" t="str">
        <f>name!A32</f>
        <v>Civil engineering</v>
      </c>
      <c r="B499" s="374">
        <f>$B$6</f>
        <v>2015</v>
      </c>
      <c r="C499" s="374"/>
      <c r="D499" s="374"/>
      <c r="E499" s="374"/>
      <c r="F499" s="263"/>
      <c r="G499" s="374">
        <f>$G$6</f>
        <v>2020</v>
      </c>
      <c r="H499" s="374"/>
      <c r="I499" s="374"/>
      <c r="J499" s="374"/>
      <c r="K499" s="263"/>
      <c r="L499" s="374">
        <f>$L$6</f>
        <v>2035</v>
      </c>
      <c r="M499" s="374"/>
      <c r="N499" s="374"/>
      <c r="O499" s="374"/>
    </row>
    <row r="500" spans="1:15" s="236" customFormat="1" x14ac:dyDescent="0.2">
      <c r="A500" s="254"/>
      <c r="B500" s="268" t="str">
        <f>$B$7</f>
        <v>FT</v>
      </c>
      <c r="C500" s="268" t="str">
        <f>$C$7</f>
        <v>PT</v>
      </c>
      <c r="D500" s="268" t="str">
        <f>$D$7</f>
        <v>SE</v>
      </c>
      <c r="E500" s="268" t="str">
        <f>$E$7</f>
        <v>Total</v>
      </c>
      <c r="F500" s="268"/>
      <c r="G500" s="268" t="str">
        <f>$G$7</f>
        <v>FT</v>
      </c>
      <c r="H500" s="268" t="str">
        <f>$H$7</f>
        <v>PT</v>
      </c>
      <c r="I500" s="268" t="str">
        <f>$I$7</f>
        <v>SE</v>
      </c>
      <c r="J500" s="268" t="str">
        <f>$J$7</f>
        <v>Total</v>
      </c>
      <c r="K500" s="268"/>
      <c r="L500" s="268" t="str">
        <f>$L$7</f>
        <v>FT</v>
      </c>
      <c r="M500" s="268" t="str">
        <f>$M$7</f>
        <v>PT</v>
      </c>
      <c r="N500" s="268" t="str">
        <f>$N$7</f>
        <v>SE</v>
      </c>
      <c r="O500" s="268" t="str">
        <f>$O$7</f>
        <v>Total</v>
      </c>
    </row>
    <row r="501" spans="1:15" s="236" customFormat="1" x14ac:dyDescent="0.2">
      <c r="A501" s="258"/>
      <c r="B501" s="239"/>
      <c r="C501" s="239"/>
      <c r="D501" s="239"/>
      <c r="E501" s="239"/>
      <c r="F501" s="239"/>
      <c r="G501" s="239"/>
      <c r="H501" s="239"/>
      <c r="I501" s="239"/>
      <c r="J501" s="239"/>
      <c r="K501" s="239"/>
      <c r="L501" s="239"/>
      <c r="M501" s="239"/>
      <c r="N501" s="239"/>
      <c r="O501" s="239"/>
    </row>
    <row r="502" spans="1:15" s="236" customFormat="1" x14ac:dyDescent="0.2">
      <c r="A502" s="237" t="str">
        <f>name!E$4</f>
        <v>Managers, directors and senior officials</v>
      </c>
      <c r="B502" s="302">
        <v>2.7756083621706811</v>
      </c>
      <c r="C502" s="302">
        <v>0.10358019063619033</v>
      </c>
      <c r="D502" s="302">
        <v>1.0334615361803898</v>
      </c>
      <c r="E502" s="302">
        <f>SUM(B502:D502)</f>
        <v>3.9126500889872613</v>
      </c>
      <c r="F502" s="303"/>
      <c r="G502" s="302">
        <v>2.8192561550521402</v>
      </c>
      <c r="H502" s="302">
        <v>0.22255747352812266</v>
      </c>
      <c r="I502" s="302">
        <v>0.71231669409832454</v>
      </c>
      <c r="J502" s="302">
        <f>SUM(G502:I502)</f>
        <v>3.7541303226785874</v>
      </c>
      <c r="K502" s="303"/>
      <c r="L502" s="302">
        <v>3.5022535906448646</v>
      </c>
      <c r="M502" s="302">
        <v>0.29460990233403761</v>
      </c>
      <c r="N502" s="302">
        <v>0.92806934343978742</v>
      </c>
      <c r="O502" s="302">
        <f>SUM(L502:N502)</f>
        <v>4.7249328364186898</v>
      </c>
    </row>
    <row r="503" spans="1:15" s="236" customFormat="1" x14ac:dyDescent="0.2">
      <c r="A503" s="237" t="str">
        <f>name!E$5</f>
        <v>Professional occupations</v>
      </c>
      <c r="B503" s="302">
        <v>4.0518517049517762</v>
      </c>
      <c r="C503" s="302">
        <v>9.3533365984182618E-2</v>
      </c>
      <c r="D503" s="302">
        <v>0.56701821809910724</v>
      </c>
      <c r="E503" s="302">
        <f t="shared" ref="E503:E510" si="224">SUM(B503:D503)</f>
        <v>4.7124032890350662</v>
      </c>
      <c r="F503" s="303"/>
      <c r="G503" s="302">
        <v>4.6139056693038363</v>
      </c>
      <c r="H503" s="302">
        <v>0.17890490060410905</v>
      </c>
      <c r="I503" s="302">
        <v>0.32880661251666438</v>
      </c>
      <c r="J503" s="302">
        <f t="shared" ref="J503:J505" si="225">SUM(G503:I503)</f>
        <v>5.1216171824246093</v>
      </c>
      <c r="K503" s="303"/>
      <c r="L503" s="302">
        <v>7.1435619813499853</v>
      </c>
      <c r="M503" s="302">
        <v>0.2473135222702226</v>
      </c>
      <c r="N503" s="302">
        <v>0.2932918006786806</v>
      </c>
      <c r="O503" s="302">
        <f t="shared" ref="O503:O510" si="226">SUM(L503:N503)</f>
        <v>7.6841673042988887</v>
      </c>
    </row>
    <row r="504" spans="1:15" s="236" customFormat="1" x14ac:dyDescent="0.2">
      <c r="A504" s="237" t="str">
        <f>name!E$6</f>
        <v>Associate professional occupations</v>
      </c>
      <c r="B504" s="302">
        <v>2.1040614481746189</v>
      </c>
      <c r="C504" s="302">
        <v>9.5335823048830148E-2</v>
      </c>
      <c r="D504" s="302">
        <v>0.26433147151270031</v>
      </c>
      <c r="E504" s="302">
        <f t="shared" si="224"/>
        <v>2.4637287427361496</v>
      </c>
      <c r="F504" s="303"/>
      <c r="G504" s="302">
        <v>2.2682047540696222</v>
      </c>
      <c r="H504" s="302">
        <v>0.15854376239946105</v>
      </c>
      <c r="I504" s="302">
        <v>0.13638431360253292</v>
      </c>
      <c r="J504" s="302">
        <f t="shared" si="225"/>
        <v>2.5631328300716163</v>
      </c>
      <c r="K504" s="303"/>
      <c r="L504" s="302">
        <v>2.7734159672709073</v>
      </c>
      <c r="M504" s="302">
        <v>0.17780784558798332</v>
      </c>
      <c r="N504" s="302">
        <v>0.14882883877866293</v>
      </c>
      <c r="O504" s="302">
        <f t="shared" si="226"/>
        <v>3.1000526516375535</v>
      </c>
    </row>
    <row r="505" spans="1:15" s="236" customFormat="1" x14ac:dyDescent="0.2">
      <c r="A505" s="237" t="str">
        <f>name!E$7</f>
        <v>Administrative and secretarial occupations</v>
      </c>
      <c r="B505" s="302">
        <v>1.043626353994719</v>
      </c>
      <c r="C505" s="302">
        <v>0.56563108263481954</v>
      </c>
      <c r="D505" s="302">
        <v>0.22027432473527686</v>
      </c>
      <c r="E505" s="302">
        <f t="shared" si="224"/>
        <v>1.8295317613648154</v>
      </c>
      <c r="F505" s="303"/>
      <c r="G505" s="302">
        <v>0.89731330500082995</v>
      </c>
      <c r="H505" s="302">
        <v>0.62280947761009442</v>
      </c>
      <c r="I505" s="302">
        <v>6.0253183146936354E-2</v>
      </c>
      <c r="J505" s="302">
        <f t="shared" si="225"/>
        <v>1.5803759657578607</v>
      </c>
      <c r="K505" s="303"/>
      <c r="L505" s="302">
        <v>0.7885821764035188</v>
      </c>
      <c r="M505" s="302">
        <v>0.78906467001564284</v>
      </c>
      <c r="N505" s="302">
        <v>6.5994133644764696E-2</v>
      </c>
      <c r="O505" s="302">
        <f t="shared" si="226"/>
        <v>1.6436409800639262</v>
      </c>
    </row>
    <row r="506" spans="1:15" s="236" customFormat="1" x14ac:dyDescent="0.2">
      <c r="A506" s="237" t="str">
        <f>name!E$8</f>
        <v>Skilled trades occupations</v>
      </c>
      <c r="B506" s="302">
        <v>9.9325850833118245</v>
      </c>
      <c r="C506" s="302">
        <v>0.29987868628633185</v>
      </c>
      <c r="D506" s="302">
        <v>23.698857471612918</v>
      </c>
      <c r="E506" s="302">
        <f t="shared" si="224"/>
        <v>33.931321241211073</v>
      </c>
      <c r="F506" s="303"/>
      <c r="G506" s="302">
        <v>7.3844587418507102</v>
      </c>
      <c r="H506" s="302">
        <v>0.28697871932668306</v>
      </c>
      <c r="I506" s="302">
        <v>9.2400022755514932</v>
      </c>
      <c r="J506" s="302">
        <f>SUM(G506:I506)</f>
        <v>16.911439736728887</v>
      </c>
      <c r="K506" s="303"/>
      <c r="L506" s="302">
        <v>8.0994834721064066</v>
      </c>
      <c r="M506" s="302">
        <v>0.55061141347910458</v>
      </c>
      <c r="N506" s="302">
        <v>12.145096239164101</v>
      </c>
      <c r="O506" s="302">
        <f t="shared" si="226"/>
        <v>20.795191124749614</v>
      </c>
    </row>
    <row r="507" spans="1:15" s="236" customFormat="1" x14ac:dyDescent="0.2">
      <c r="A507" s="237" t="str">
        <f>name!E$9</f>
        <v>Caring, leisure and other service occupations</v>
      </c>
      <c r="B507" s="302">
        <v>0.12854800930665256</v>
      </c>
      <c r="C507" s="302">
        <v>1.4156985961142416E-2</v>
      </c>
      <c r="D507" s="302">
        <v>1.0246970004939269E-2</v>
      </c>
      <c r="E507" s="302">
        <f t="shared" si="224"/>
        <v>0.15295196527273425</v>
      </c>
      <c r="F507" s="303"/>
      <c r="G507" s="302">
        <v>0.13069673169874435</v>
      </c>
      <c r="H507" s="302">
        <v>2.3761018442148285E-2</v>
      </c>
      <c r="I507" s="302">
        <v>4.5945986449654171E-3</v>
      </c>
      <c r="J507" s="302">
        <f t="shared" ref="J507:J510" si="227">SUM(G507:I507)</f>
        <v>0.15905234878585806</v>
      </c>
      <c r="K507" s="303"/>
      <c r="L507" s="302">
        <v>0.15944956018932549</v>
      </c>
      <c r="M507" s="302">
        <v>2.0772664344942935E-2</v>
      </c>
      <c r="N507" s="302">
        <v>9.0518565874802455E-3</v>
      </c>
      <c r="O507" s="302">
        <f t="shared" si="226"/>
        <v>0.18927408112174868</v>
      </c>
    </row>
    <row r="508" spans="1:15" s="236" customFormat="1" x14ac:dyDescent="0.2">
      <c r="A508" s="237" t="str">
        <f>name!E$10</f>
        <v>Sales and customer service occupations</v>
      </c>
      <c r="B508" s="302">
        <v>0.27222543325259801</v>
      </c>
      <c r="C508" s="302">
        <v>6.2037568252955706E-2</v>
      </c>
      <c r="D508" s="302">
        <v>7.4827688249234206E-2</v>
      </c>
      <c r="E508" s="302">
        <f t="shared" si="224"/>
        <v>0.40909068975478791</v>
      </c>
      <c r="F508" s="303"/>
      <c r="G508" s="302">
        <v>0.24420527945972287</v>
      </c>
      <c r="H508" s="302">
        <v>8.240942211657562E-2</v>
      </c>
      <c r="I508" s="302">
        <v>3.4345097189866933E-2</v>
      </c>
      <c r="J508" s="302">
        <f t="shared" si="227"/>
        <v>0.36095979876616541</v>
      </c>
      <c r="K508" s="303"/>
      <c r="L508" s="302">
        <v>0.33583951901961495</v>
      </c>
      <c r="M508" s="302">
        <v>0.11125456194023557</v>
      </c>
      <c r="N508" s="302">
        <v>4.2167945675387494E-2</v>
      </c>
      <c r="O508" s="302">
        <f t="shared" si="226"/>
        <v>0.48926202663523805</v>
      </c>
    </row>
    <row r="509" spans="1:15" s="236" customFormat="1" x14ac:dyDescent="0.2">
      <c r="A509" s="237" t="str">
        <f>name!E$11</f>
        <v>Process, plant and machine operatives</v>
      </c>
      <c r="B509" s="302">
        <v>1.9297468261368831</v>
      </c>
      <c r="C509" s="302">
        <v>4.8116314243761449E-2</v>
      </c>
      <c r="D509" s="302">
        <v>1.0406231041129754</v>
      </c>
      <c r="E509" s="302">
        <f t="shared" si="224"/>
        <v>3.0184862444936202</v>
      </c>
      <c r="F509" s="303"/>
      <c r="G509" s="302">
        <v>1.4811935042584861</v>
      </c>
      <c r="H509" s="302">
        <v>8.4786518183972467E-2</v>
      </c>
      <c r="I509" s="302">
        <v>0.55808929868631241</v>
      </c>
      <c r="J509" s="302">
        <f t="shared" si="227"/>
        <v>2.1240693211287711</v>
      </c>
      <c r="K509" s="303"/>
      <c r="L509" s="302">
        <v>1.8389232192530127</v>
      </c>
      <c r="M509" s="302">
        <v>0.11185287868515714</v>
      </c>
      <c r="N509" s="302">
        <v>0.94965175615570219</v>
      </c>
      <c r="O509" s="302">
        <f t="shared" si="226"/>
        <v>2.9004278540938722</v>
      </c>
    </row>
    <row r="510" spans="1:15" s="236" customFormat="1" x14ac:dyDescent="0.2">
      <c r="A510" s="237" t="str">
        <f>name!E$12</f>
        <v>Elementary occupations</v>
      </c>
      <c r="B510" s="302">
        <v>1.0787467790581557</v>
      </c>
      <c r="C510" s="302">
        <v>0.15972998297865207</v>
      </c>
      <c r="D510" s="302">
        <v>1.0193592151921669</v>
      </c>
      <c r="E510" s="302">
        <f t="shared" si="224"/>
        <v>2.2578359772289747</v>
      </c>
      <c r="F510" s="303"/>
      <c r="G510" s="302">
        <v>0.78376585897304174</v>
      </c>
      <c r="H510" s="302">
        <v>0.18524870776885818</v>
      </c>
      <c r="I510" s="302">
        <v>0.46520792576753367</v>
      </c>
      <c r="J510" s="302">
        <f t="shared" si="227"/>
        <v>1.4342224925094336</v>
      </c>
      <c r="K510" s="303"/>
      <c r="L510" s="302">
        <v>0.74249051333567084</v>
      </c>
      <c r="M510" s="302">
        <v>0.16371254129965598</v>
      </c>
      <c r="N510" s="302">
        <v>0.75184808394829428</v>
      </c>
      <c r="O510" s="302">
        <f t="shared" si="226"/>
        <v>1.658051138583621</v>
      </c>
    </row>
    <row r="511" spans="1:15" s="236" customFormat="1" x14ac:dyDescent="0.2">
      <c r="A511" s="237"/>
      <c r="B511" s="302"/>
      <c r="C511" s="302"/>
      <c r="D511" s="302"/>
      <c r="E511" s="302"/>
      <c r="F511" s="303"/>
      <c r="G511" s="302"/>
      <c r="H511" s="302"/>
      <c r="I511" s="302"/>
      <c r="J511" s="302"/>
      <c r="K511" s="303"/>
      <c r="L511" s="302"/>
      <c r="M511" s="302"/>
      <c r="N511" s="302"/>
      <c r="O511" s="302"/>
    </row>
    <row r="512" spans="1:15" s="236" customFormat="1" x14ac:dyDescent="0.2">
      <c r="A512" s="244" t="s">
        <v>32</v>
      </c>
      <c r="B512" s="311">
        <f>SUM(B502:B510)</f>
        <v>23.317000000357908</v>
      </c>
      <c r="C512" s="311">
        <f t="shared" ref="C512:E512" si="228">SUM(C502:C510)</f>
        <v>1.442000000026866</v>
      </c>
      <c r="D512" s="311">
        <f t="shared" si="228"/>
        <v>27.928999999699705</v>
      </c>
      <c r="E512" s="311">
        <f t="shared" si="228"/>
        <v>52.688000000084486</v>
      </c>
      <c r="F512" s="311"/>
      <c r="G512" s="311">
        <f t="shared" ref="G512:J512" si="229">SUM(G502:G510)</f>
        <v>20.622999999667133</v>
      </c>
      <c r="H512" s="311">
        <f t="shared" si="229"/>
        <v>1.845999999980025</v>
      </c>
      <c r="I512" s="311">
        <f t="shared" si="229"/>
        <v>11.53999999920463</v>
      </c>
      <c r="J512" s="311">
        <f t="shared" si="229"/>
        <v>34.008999998851792</v>
      </c>
      <c r="K512" s="311"/>
      <c r="L512" s="311">
        <f t="shared" ref="L512:O512" si="230">SUM(L502:L510)</f>
        <v>25.383999999573305</v>
      </c>
      <c r="M512" s="311">
        <f t="shared" si="230"/>
        <v>2.4669999999569825</v>
      </c>
      <c r="N512" s="311">
        <f t="shared" si="230"/>
        <v>15.33399999807286</v>
      </c>
      <c r="O512" s="311">
        <f t="shared" si="230"/>
        <v>43.18499999760315</v>
      </c>
    </row>
    <row r="513" spans="1:15" s="236" customFormat="1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40"/>
    </row>
    <row r="514" spans="1:15" s="236" customFormat="1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40"/>
      <c r="O514" s="251" t="s">
        <v>35</v>
      </c>
    </row>
    <row r="515" spans="1:15" s="236" customFormat="1" x14ac:dyDescent="0.2">
      <c r="A515" s="242"/>
      <c r="B515" s="242"/>
      <c r="C515" s="242"/>
      <c r="D515" s="242"/>
      <c r="E515" s="242"/>
      <c r="F515" s="242"/>
      <c r="G515" s="242"/>
      <c r="H515" s="242"/>
      <c r="I515" s="242"/>
      <c r="J515" s="242"/>
      <c r="K515" s="242"/>
      <c r="L515" s="242"/>
      <c r="M515" s="242"/>
      <c r="N515" s="242"/>
      <c r="O515" s="242"/>
    </row>
    <row r="516" spans="1:15" s="236" customFormat="1" x14ac:dyDescent="0.2">
      <c r="A516" s="241" t="str">
        <f>name!A33</f>
        <v>Specialised construction</v>
      </c>
      <c r="B516" s="374">
        <f>$B$6</f>
        <v>2015</v>
      </c>
      <c r="C516" s="374"/>
      <c r="D516" s="374"/>
      <c r="E516" s="374"/>
      <c r="F516" s="263"/>
      <c r="G516" s="374">
        <f>$G$6</f>
        <v>2020</v>
      </c>
      <c r="H516" s="374"/>
      <c r="I516" s="374"/>
      <c r="J516" s="374"/>
      <c r="K516" s="263"/>
      <c r="L516" s="374">
        <f>$L$6</f>
        <v>2035</v>
      </c>
      <c r="M516" s="374"/>
      <c r="N516" s="374"/>
      <c r="O516" s="374"/>
    </row>
    <row r="517" spans="1:15" s="236" customFormat="1" x14ac:dyDescent="0.2">
      <c r="A517" s="254"/>
      <c r="B517" s="268" t="str">
        <f>$B$7</f>
        <v>FT</v>
      </c>
      <c r="C517" s="268" t="str">
        <f>$C$7</f>
        <v>PT</v>
      </c>
      <c r="D517" s="268" t="str">
        <f>$D$7</f>
        <v>SE</v>
      </c>
      <c r="E517" s="268" t="str">
        <f>$E$7</f>
        <v>Total</v>
      </c>
      <c r="F517" s="268"/>
      <c r="G517" s="268" t="str">
        <f>$G$7</f>
        <v>FT</v>
      </c>
      <c r="H517" s="268" t="str">
        <f>$H$7</f>
        <v>PT</v>
      </c>
      <c r="I517" s="268" t="str">
        <f>$I$7</f>
        <v>SE</v>
      </c>
      <c r="J517" s="268" t="str">
        <f>$J$7</f>
        <v>Total</v>
      </c>
      <c r="K517" s="268"/>
      <c r="L517" s="268" t="str">
        <f>$L$7</f>
        <v>FT</v>
      </c>
      <c r="M517" s="268" t="str">
        <f>$M$7</f>
        <v>PT</v>
      </c>
      <c r="N517" s="268" t="str">
        <f>$N$7</f>
        <v>SE</v>
      </c>
      <c r="O517" s="268" t="str">
        <f>$O$7</f>
        <v>Total</v>
      </c>
    </row>
    <row r="518" spans="1:15" s="236" customFormat="1" x14ac:dyDescent="0.2">
      <c r="A518" s="258"/>
      <c r="B518" s="239"/>
      <c r="C518" s="239"/>
      <c r="D518" s="239"/>
      <c r="E518" s="239"/>
      <c r="F518" s="239"/>
      <c r="G518" s="239"/>
      <c r="H518" s="239"/>
      <c r="I518" s="239"/>
      <c r="J518" s="239"/>
      <c r="K518" s="239"/>
      <c r="L518" s="239"/>
      <c r="M518" s="239"/>
      <c r="N518" s="239"/>
      <c r="O518" s="239"/>
    </row>
    <row r="519" spans="1:15" s="236" customFormat="1" x14ac:dyDescent="0.2">
      <c r="A519" s="237" t="str">
        <f>name!E$4</f>
        <v>Managers, directors and senior officials</v>
      </c>
      <c r="B519" s="302">
        <v>6.1120050661066347</v>
      </c>
      <c r="C519" s="302">
        <v>0.59511219956296113</v>
      </c>
      <c r="D519" s="302">
        <v>2.4246846031474618</v>
      </c>
      <c r="E519" s="302">
        <f>SUM(B519:D519)</f>
        <v>9.1318018688170568</v>
      </c>
      <c r="F519" s="303"/>
      <c r="G519" s="302">
        <v>9.8723714550900219</v>
      </c>
      <c r="H519" s="302">
        <v>1.9435962112331659</v>
      </c>
      <c r="I519" s="302">
        <v>2.699328608722011</v>
      </c>
      <c r="J519" s="302">
        <f>SUM(G519:I519)</f>
        <v>14.515296275045198</v>
      </c>
      <c r="K519" s="303"/>
      <c r="L519" s="302">
        <v>12.382006496945955</v>
      </c>
      <c r="M519" s="302">
        <v>2.5736252911252562</v>
      </c>
      <c r="N519" s="302">
        <v>3.4697029638597816</v>
      </c>
      <c r="O519" s="302">
        <f>SUM(L519:N519)</f>
        <v>18.425334751930993</v>
      </c>
    </row>
    <row r="520" spans="1:15" s="236" customFormat="1" x14ac:dyDescent="0.2">
      <c r="A520" s="237" t="str">
        <f>name!E$5</f>
        <v>Professional occupations</v>
      </c>
      <c r="B520" s="302">
        <v>9.1050271382226722</v>
      </c>
      <c r="C520" s="302">
        <v>0.53698912238699958</v>
      </c>
      <c r="D520" s="302">
        <v>1.3273439835482495</v>
      </c>
      <c r="E520" s="302">
        <f t="shared" ref="E520:E527" si="231">SUM(B520:D520)</f>
        <v>10.969360244157922</v>
      </c>
      <c r="F520" s="303"/>
      <c r="G520" s="302">
        <v>16.48155011828662</v>
      </c>
      <c r="H520" s="302">
        <v>1.5609981433657107</v>
      </c>
      <c r="I520" s="302">
        <v>1.2481365404515878</v>
      </c>
      <c r="J520" s="302">
        <f t="shared" ref="J520:J522" si="232">SUM(G520:I520)</f>
        <v>19.290684802103918</v>
      </c>
      <c r="K520" s="303"/>
      <c r="L520" s="302">
        <v>25.569096490827857</v>
      </c>
      <c r="M520" s="302">
        <v>2.1563438177713814</v>
      </c>
      <c r="N520" s="302">
        <v>1.1124188656829401</v>
      </c>
      <c r="O520" s="302">
        <f t="shared" ref="O520:O527" si="233">SUM(L520:N520)</f>
        <v>28.83785917428218</v>
      </c>
    </row>
    <row r="521" spans="1:15" s="236" customFormat="1" x14ac:dyDescent="0.2">
      <c r="A521" s="237" t="str">
        <f>name!E$6</f>
        <v>Associate professional occupations</v>
      </c>
      <c r="B521" s="302">
        <v>4.8242131427974275</v>
      </c>
      <c r="C521" s="302">
        <v>0.54947907364639026</v>
      </c>
      <c r="D521" s="302">
        <v>0.64114627079059494</v>
      </c>
      <c r="E521" s="302">
        <f t="shared" si="231"/>
        <v>6.0148384872344129</v>
      </c>
      <c r="F521" s="303"/>
      <c r="G521" s="302">
        <v>8.2608843286476166</v>
      </c>
      <c r="H521" s="302">
        <v>1.386157355314203</v>
      </c>
      <c r="I521" s="302">
        <v>0.5333913173408138</v>
      </c>
      <c r="J521" s="302">
        <f t="shared" si="232"/>
        <v>10.180433001302633</v>
      </c>
      <c r="K521" s="303"/>
      <c r="L521" s="302">
        <v>10.209723387352708</v>
      </c>
      <c r="M521" s="302">
        <v>1.5570790292061805</v>
      </c>
      <c r="N521" s="302">
        <v>0.57757669915272025</v>
      </c>
      <c r="O521" s="302">
        <f t="shared" si="233"/>
        <v>12.344379115711609</v>
      </c>
    </row>
    <row r="522" spans="1:15" s="236" customFormat="1" x14ac:dyDescent="0.2">
      <c r="A522" s="237" t="str">
        <f>name!E$7</f>
        <v>Administrative and secretarial occupations</v>
      </c>
      <c r="B522" s="302">
        <v>3.2376501345915423</v>
      </c>
      <c r="C522" s="302">
        <v>3.2878317979898881</v>
      </c>
      <c r="D522" s="302">
        <v>0.64981505284947705</v>
      </c>
      <c r="E522" s="302">
        <f t="shared" si="231"/>
        <v>7.175296985430907</v>
      </c>
      <c r="F522" s="303"/>
      <c r="G522" s="302">
        <v>4.3393271736102976</v>
      </c>
      <c r="H522" s="302">
        <v>5.5106161840053609</v>
      </c>
      <c r="I522" s="302">
        <v>0.33860365901833528</v>
      </c>
      <c r="J522" s="302">
        <f t="shared" si="232"/>
        <v>10.188547016633994</v>
      </c>
      <c r="K522" s="303"/>
      <c r="L522" s="302">
        <v>3.6378907690614546</v>
      </c>
      <c r="M522" s="302">
        <v>6.9877733356271401</v>
      </c>
      <c r="N522" s="302">
        <v>0.27167164062125765</v>
      </c>
      <c r="O522" s="302">
        <f t="shared" si="233"/>
        <v>10.897335745309851</v>
      </c>
    </row>
    <row r="523" spans="1:15" s="236" customFormat="1" x14ac:dyDescent="0.2">
      <c r="A523" s="237" t="str">
        <f>name!E$8</f>
        <v>Skilled trades occupations</v>
      </c>
      <c r="B523" s="302">
        <v>20.991672660883285</v>
      </c>
      <c r="C523" s="302">
        <v>1.6982878019166838</v>
      </c>
      <c r="D523" s="302">
        <v>54.276104219497874</v>
      </c>
      <c r="E523" s="302">
        <f t="shared" si="231"/>
        <v>76.966064682297841</v>
      </c>
      <c r="F523" s="303"/>
      <c r="G523" s="302">
        <v>24.907438183666304</v>
      </c>
      <c r="H523" s="302">
        <v>2.4834625220389066</v>
      </c>
      <c r="I523" s="302">
        <v>34.205286749365264</v>
      </c>
      <c r="J523" s="302">
        <f>SUM(G523:I523)</f>
        <v>61.596187455070478</v>
      </c>
      <c r="K523" s="303"/>
      <c r="L523" s="302">
        <v>27.667992504390629</v>
      </c>
      <c r="M523" s="302">
        <v>4.7660558670533035</v>
      </c>
      <c r="N523" s="302">
        <v>44.85096310808175</v>
      </c>
      <c r="O523" s="302">
        <f t="shared" si="233"/>
        <v>77.285011479525679</v>
      </c>
    </row>
    <row r="524" spans="1:15" s="236" customFormat="1" x14ac:dyDescent="0.2">
      <c r="A524" s="237" t="str">
        <f>name!E$9</f>
        <v>Caring, leisure and other service occupations</v>
      </c>
      <c r="B524" s="302">
        <v>0.28852802715443704</v>
      </c>
      <c r="C524" s="302">
        <v>8.0673457190593142E-2</v>
      </c>
      <c r="D524" s="302">
        <v>2.7666732351109537E-2</v>
      </c>
      <c r="E524" s="302">
        <f t="shared" si="231"/>
        <v>0.39686821669613975</v>
      </c>
      <c r="F524" s="303"/>
      <c r="G524" s="302">
        <v>0.45993340579861003</v>
      </c>
      <c r="H524" s="302">
        <v>0.20575601366556129</v>
      </c>
      <c r="I524" s="302">
        <v>2.1475799139262834E-2</v>
      </c>
      <c r="J524" s="302">
        <f t="shared" ref="J524:J527" si="234">SUM(G524:I524)</f>
        <v>0.68716521860343416</v>
      </c>
      <c r="K524" s="303"/>
      <c r="L524" s="302">
        <v>0.55926326140969518</v>
      </c>
      <c r="M524" s="302">
        <v>0.17998183338503385</v>
      </c>
      <c r="N524" s="302">
        <v>3.6559526904202673E-2</v>
      </c>
      <c r="O524" s="302">
        <f t="shared" si="233"/>
        <v>0.77580462169893172</v>
      </c>
    </row>
    <row r="525" spans="1:15" s="236" customFormat="1" x14ac:dyDescent="0.2">
      <c r="A525" s="237" t="str">
        <f>name!E$10</f>
        <v>Sales and customer service occupations</v>
      </c>
      <c r="B525" s="302">
        <v>0.70098656002719284</v>
      </c>
      <c r="C525" s="302">
        <v>0.35870619772358375</v>
      </c>
      <c r="D525" s="302">
        <v>0.17963870094191728</v>
      </c>
      <c r="E525" s="302">
        <f t="shared" si="231"/>
        <v>1.239331458692694</v>
      </c>
      <c r="F525" s="303"/>
      <c r="G525" s="302">
        <v>0.98880398601120145</v>
      </c>
      <c r="H525" s="302">
        <v>0.72484423975470036</v>
      </c>
      <c r="I525" s="302">
        <v>0.13280773738446069</v>
      </c>
      <c r="J525" s="302">
        <f t="shared" si="234"/>
        <v>1.8464559631503625</v>
      </c>
      <c r="K525" s="303"/>
      <c r="L525" s="302">
        <v>1.3487486051426598</v>
      </c>
      <c r="M525" s="302">
        <v>0.97905742543145668</v>
      </c>
      <c r="N525" s="302">
        <v>0.16049192533618423</v>
      </c>
      <c r="O525" s="302">
        <f t="shared" si="233"/>
        <v>2.4882979559103005</v>
      </c>
    </row>
    <row r="526" spans="1:15" s="236" customFormat="1" x14ac:dyDescent="0.2">
      <c r="A526" s="237" t="str">
        <f>name!E$11</f>
        <v>Process, plant and machine operatives</v>
      </c>
      <c r="B526" s="302">
        <v>4.0849198112363307</v>
      </c>
      <c r="C526" s="302">
        <v>0.27274407103240189</v>
      </c>
      <c r="D526" s="302">
        <v>2.3790946938540798</v>
      </c>
      <c r="E526" s="302">
        <f t="shared" si="231"/>
        <v>6.7367585761228117</v>
      </c>
      <c r="F526" s="303"/>
      <c r="G526" s="302">
        <v>4.9756577419011903</v>
      </c>
      <c r="H526" s="302">
        <v>0.73189471116970006</v>
      </c>
      <c r="I526" s="302">
        <v>2.0584022735313576</v>
      </c>
      <c r="J526" s="302">
        <f t="shared" si="234"/>
        <v>7.7659547266022484</v>
      </c>
      <c r="K526" s="303"/>
      <c r="L526" s="302">
        <v>6.1802843177204707</v>
      </c>
      <c r="M526" s="302">
        <v>0.96634595517801747</v>
      </c>
      <c r="N526" s="302">
        <v>3.4993974807760377</v>
      </c>
      <c r="O526" s="302">
        <f t="shared" si="233"/>
        <v>10.646027753674526</v>
      </c>
    </row>
    <row r="527" spans="1:15" s="236" customFormat="1" x14ac:dyDescent="0.2">
      <c r="A527" s="237" t="str">
        <f>name!E$12</f>
        <v>Elementary occupations</v>
      </c>
      <c r="B527" s="302">
        <v>2.2719974597138308</v>
      </c>
      <c r="C527" s="302">
        <v>0.91217627870445239</v>
      </c>
      <c r="D527" s="302">
        <v>2.3395057423520362</v>
      </c>
      <c r="E527" s="302">
        <f t="shared" si="231"/>
        <v>5.5236794807703191</v>
      </c>
      <c r="F527" s="303"/>
      <c r="G527" s="302">
        <v>2.622033605851382</v>
      </c>
      <c r="H527" s="302">
        <v>1.6086746192785559</v>
      </c>
      <c r="I527" s="302">
        <v>1.7175673121098745</v>
      </c>
      <c r="J527" s="302">
        <f t="shared" si="234"/>
        <v>5.9482755372398124</v>
      </c>
      <c r="K527" s="303"/>
      <c r="L527" s="302">
        <v>2.4839941657263047</v>
      </c>
      <c r="M527" s="302">
        <v>1.4217374448475602</v>
      </c>
      <c r="N527" s="302">
        <v>2.76321778249936</v>
      </c>
      <c r="O527" s="302">
        <f t="shared" si="233"/>
        <v>6.6689493930732251</v>
      </c>
    </row>
    <row r="528" spans="1:15" s="236" customFormat="1" x14ac:dyDescent="0.2">
      <c r="A528" s="237"/>
      <c r="B528" s="302"/>
      <c r="C528" s="302"/>
      <c r="D528" s="302"/>
      <c r="E528" s="302"/>
      <c r="F528" s="303"/>
      <c r="G528" s="302"/>
      <c r="H528" s="302"/>
      <c r="I528" s="302"/>
      <c r="J528" s="302"/>
      <c r="K528" s="303"/>
      <c r="L528" s="302"/>
      <c r="M528" s="302"/>
      <c r="N528" s="302"/>
      <c r="O528" s="302"/>
    </row>
    <row r="529" spans="1:15" s="236" customFormat="1" x14ac:dyDescent="0.2">
      <c r="A529" s="244" t="s">
        <v>32</v>
      </c>
      <c r="B529" s="311">
        <f>SUM(B519:B527)</f>
        <v>51.617000000733348</v>
      </c>
      <c r="C529" s="311">
        <f t="shared" ref="C529:E529" si="235">SUM(C519:C527)</f>
        <v>8.2920000001539531</v>
      </c>
      <c r="D529" s="311">
        <f t="shared" si="235"/>
        <v>64.244999999332791</v>
      </c>
      <c r="E529" s="311">
        <f t="shared" si="235"/>
        <v>124.15400000022009</v>
      </c>
      <c r="F529" s="311"/>
      <c r="G529" s="311">
        <f t="shared" ref="G529:J529" si="236">SUM(G519:G527)</f>
        <v>72.907999998863247</v>
      </c>
      <c r="H529" s="311">
        <f t="shared" si="236"/>
        <v>16.155999999825863</v>
      </c>
      <c r="I529" s="311">
        <f t="shared" si="236"/>
        <v>42.954999997062963</v>
      </c>
      <c r="J529" s="311">
        <f t="shared" si="236"/>
        <v>132.01899999575207</v>
      </c>
      <c r="K529" s="311"/>
      <c r="L529" s="311">
        <f t="shared" ref="L529:O529" si="237">SUM(L519:L527)</f>
        <v>90.038999998577737</v>
      </c>
      <c r="M529" s="311">
        <f t="shared" si="237"/>
        <v>21.587999999625332</v>
      </c>
      <c r="N529" s="311">
        <f t="shared" si="237"/>
        <v>56.741999992914238</v>
      </c>
      <c r="O529" s="311">
        <f t="shared" si="237"/>
        <v>168.36899999111731</v>
      </c>
    </row>
    <row r="530" spans="1:15" s="236" customFormat="1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40"/>
    </row>
    <row r="531" spans="1:15" s="236" customFormat="1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40"/>
      <c r="O531" s="251" t="s">
        <v>35</v>
      </c>
    </row>
    <row r="532" spans="1:15" s="236" customFormat="1" x14ac:dyDescent="0.2">
      <c r="A532" s="242"/>
      <c r="B532" s="242"/>
      <c r="C532" s="242"/>
      <c r="D532" s="242"/>
      <c r="E532" s="242"/>
      <c r="F532" s="242"/>
      <c r="G532" s="242"/>
      <c r="H532" s="242"/>
      <c r="I532" s="242"/>
      <c r="J532" s="242"/>
      <c r="K532" s="242"/>
      <c r="L532" s="242"/>
      <c r="M532" s="242"/>
      <c r="N532" s="242"/>
      <c r="O532" s="242"/>
    </row>
    <row r="533" spans="1:15" s="236" customFormat="1" x14ac:dyDescent="0.2">
      <c r="A533" s="241" t="str">
        <f>name!A34</f>
        <v>Motor vehicle trade</v>
      </c>
      <c r="B533" s="374">
        <f>$B$6</f>
        <v>2015</v>
      </c>
      <c r="C533" s="374"/>
      <c r="D533" s="374"/>
      <c r="E533" s="374"/>
      <c r="F533" s="263"/>
      <c r="G533" s="374">
        <f>$G$6</f>
        <v>2020</v>
      </c>
      <c r="H533" s="374"/>
      <c r="I533" s="374"/>
      <c r="J533" s="374"/>
      <c r="K533" s="263"/>
      <c r="L533" s="374">
        <f>$L$6</f>
        <v>2035</v>
      </c>
      <c r="M533" s="374"/>
      <c r="N533" s="374"/>
      <c r="O533" s="374"/>
    </row>
    <row r="534" spans="1:15" s="236" customFormat="1" x14ac:dyDescent="0.2">
      <c r="A534" s="254"/>
      <c r="B534" s="268" t="str">
        <f>$B$7</f>
        <v>FT</v>
      </c>
      <c r="C534" s="268" t="str">
        <f>$C$7</f>
        <v>PT</v>
      </c>
      <c r="D534" s="268" t="str">
        <f>$D$7</f>
        <v>SE</v>
      </c>
      <c r="E534" s="268" t="str">
        <f>$E$7</f>
        <v>Total</v>
      </c>
      <c r="F534" s="268"/>
      <c r="G534" s="268" t="str">
        <f>$G$7</f>
        <v>FT</v>
      </c>
      <c r="H534" s="268" t="str">
        <f>$H$7</f>
        <v>PT</v>
      </c>
      <c r="I534" s="268" t="str">
        <f>$I$7</f>
        <v>SE</v>
      </c>
      <c r="J534" s="268" t="str">
        <f>$J$7</f>
        <v>Total</v>
      </c>
      <c r="K534" s="268"/>
      <c r="L534" s="268" t="str">
        <f>$L$7</f>
        <v>FT</v>
      </c>
      <c r="M534" s="268" t="str">
        <f>$M$7</f>
        <v>PT</v>
      </c>
      <c r="N534" s="268" t="str">
        <f>$N$7</f>
        <v>SE</v>
      </c>
      <c r="O534" s="268" t="str">
        <f>$O$7</f>
        <v>Total</v>
      </c>
    </row>
    <row r="535" spans="1:15" s="236" customFormat="1" x14ac:dyDescent="0.2">
      <c r="A535" s="258"/>
      <c r="B535" s="239"/>
      <c r="C535" s="239"/>
      <c r="D535" s="239"/>
      <c r="E535" s="239"/>
      <c r="F535" s="239"/>
      <c r="G535" s="239"/>
      <c r="H535" s="239"/>
      <c r="I535" s="239"/>
      <c r="J535" s="239"/>
      <c r="K535" s="239"/>
      <c r="L535" s="239"/>
      <c r="M535" s="239"/>
      <c r="N535" s="239"/>
      <c r="O535" s="239"/>
    </row>
    <row r="536" spans="1:15" s="236" customFormat="1" x14ac:dyDescent="0.2">
      <c r="A536" s="237" t="str">
        <f>name!E$4</f>
        <v>Managers, directors and senior officials</v>
      </c>
      <c r="B536" s="302">
        <v>3.8452473195927395</v>
      </c>
      <c r="C536" s="302">
        <v>0.30776451589813647</v>
      </c>
      <c r="D536" s="302">
        <v>1.0828960221806487</v>
      </c>
      <c r="E536" s="302">
        <f>SUM(B536:D536)</f>
        <v>5.2359078576715241</v>
      </c>
      <c r="F536" s="303"/>
      <c r="G536" s="302">
        <v>5.457337275070242</v>
      </c>
      <c r="H536" s="302">
        <v>0.69353389994596615</v>
      </c>
      <c r="I536" s="302">
        <v>0.60036481547242293</v>
      </c>
      <c r="J536" s="302">
        <f>SUM(G536:I536)</f>
        <v>6.751235990488631</v>
      </c>
      <c r="K536" s="303"/>
      <c r="L536" s="302">
        <v>6.1169465490226997</v>
      </c>
      <c r="M536" s="302">
        <v>0.70236899972094402</v>
      </c>
      <c r="N536" s="302">
        <v>0.67157886945205447</v>
      </c>
      <c r="O536" s="302">
        <f>SUM(L536:N536)</f>
        <v>7.4908944181956985</v>
      </c>
    </row>
    <row r="537" spans="1:15" s="236" customFormat="1" x14ac:dyDescent="0.2">
      <c r="A537" s="237" t="str">
        <f>name!E$5</f>
        <v>Professional occupations</v>
      </c>
      <c r="B537" s="302">
        <v>2.2084491680952407</v>
      </c>
      <c r="C537" s="302">
        <v>0.18733924515504599</v>
      </c>
      <c r="D537" s="302">
        <v>0.15598938989768391</v>
      </c>
      <c r="E537" s="302">
        <f t="shared" ref="E537:E544" si="238">SUM(B537:D537)</f>
        <v>2.5517778031479708</v>
      </c>
      <c r="F537" s="303"/>
      <c r="G537" s="302">
        <v>3.5712457314763215</v>
      </c>
      <c r="H537" s="302">
        <v>0.43253356061744946</v>
      </c>
      <c r="I537" s="302">
        <v>9.9012987590700055E-2</v>
      </c>
      <c r="J537" s="302">
        <f t="shared" ref="J537:J539" si="239">SUM(G537:I537)</f>
        <v>4.1027922796844711</v>
      </c>
      <c r="K537" s="303"/>
      <c r="L537" s="302">
        <v>4.520550695014224</v>
      </c>
      <c r="M537" s="302">
        <v>0.47404030846366174</v>
      </c>
      <c r="N537" s="302">
        <v>6.5864206709110709E-2</v>
      </c>
      <c r="O537" s="302">
        <f t="shared" ref="O537:O544" si="240">SUM(L537:N537)</f>
        <v>5.0604552101869968</v>
      </c>
    </row>
    <row r="538" spans="1:15" s="236" customFormat="1" x14ac:dyDescent="0.2">
      <c r="A538" s="237" t="str">
        <f>name!E$6</f>
        <v>Associate professional occupations</v>
      </c>
      <c r="B538" s="302">
        <v>3.0167140280537006</v>
      </c>
      <c r="C538" s="302">
        <v>0.32133222541003065</v>
      </c>
      <c r="D538" s="302">
        <v>0.13749198422959122</v>
      </c>
      <c r="E538" s="302">
        <f t="shared" si="238"/>
        <v>3.4755382376933226</v>
      </c>
      <c r="F538" s="303"/>
      <c r="G538" s="302">
        <v>4.2341879751051428</v>
      </c>
      <c r="H538" s="302">
        <v>0.57110766468627316</v>
      </c>
      <c r="I538" s="302">
        <v>9.4574387632651621E-2</v>
      </c>
      <c r="J538" s="302">
        <f t="shared" si="239"/>
        <v>4.8998700274240674</v>
      </c>
      <c r="K538" s="303"/>
      <c r="L538" s="302">
        <v>4.4044846782042226</v>
      </c>
      <c r="M538" s="302">
        <v>0.51076129499540379</v>
      </c>
      <c r="N538" s="302">
        <v>7.056466334191154E-2</v>
      </c>
      <c r="O538" s="302">
        <f t="shared" si="240"/>
        <v>4.9858106365415376</v>
      </c>
    </row>
    <row r="539" spans="1:15" s="236" customFormat="1" x14ac:dyDescent="0.2">
      <c r="A539" s="237" t="str">
        <f>name!E$7</f>
        <v>Administrative and secretarial occupations</v>
      </c>
      <c r="B539" s="302">
        <v>3.0692425217220145</v>
      </c>
      <c r="C539" s="302">
        <v>1.2116456815416501</v>
      </c>
      <c r="D539" s="302">
        <v>9.9628431515483215E-2</v>
      </c>
      <c r="E539" s="302">
        <f t="shared" si="238"/>
        <v>4.3805166347791475</v>
      </c>
      <c r="F539" s="303"/>
      <c r="G539" s="302">
        <v>3.6700911257738822</v>
      </c>
      <c r="H539" s="302">
        <v>1.7945782830888022</v>
      </c>
      <c r="I539" s="302">
        <v>0.10784601733283901</v>
      </c>
      <c r="J539" s="302">
        <f t="shared" si="239"/>
        <v>5.5725154261955234</v>
      </c>
      <c r="K539" s="303"/>
      <c r="L539" s="302">
        <v>3.4787224927339264</v>
      </c>
      <c r="M539" s="302">
        <v>1.2328784876160694</v>
      </c>
      <c r="N539" s="302">
        <v>6.3959267494041225E-2</v>
      </c>
      <c r="O539" s="302">
        <f t="shared" si="240"/>
        <v>4.7755602478440364</v>
      </c>
    </row>
    <row r="540" spans="1:15" s="236" customFormat="1" x14ac:dyDescent="0.2">
      <c r="A540" s="237" t="str">
        <f>name!E$8</f>
        <v>Skilled trades occupations</v>
      </c>
      <c r="B540" s="302">
        <v>9.3210375722169694</v>
      </c>
      <c r="C540" s="302">
        <v>1.5741131669080795</v>
      </c>
      <c r="D540" s="302">
        <v>1.8107780627568664</v>
      </c>
      <c r="E540" s="302">
        <f t="shared" si="238"/>
        <v>12.705928801881914</v>
      </c>
      <c r="F540" s="303"/>
      <c r="G540" s="302">
        <v>9.8291513427131108</v>
      </c>
      <c r="H540" s="302">
        <v>1.6692486568273857</v>
      </c>
      <c r="I540" s="302">
        <v>0.78961675917623253</v>
      </c>
      <c r="J540" s="302">
        <f>SUM(G540:I540)</f>
        <v>12.288016758716727</v>
      </c>
      <c r="K540" s="303"/>
      <c r="L540" s="302">
        <v>8.4942504177188809</v>
      </c>
      <c r="M540" s="302">
        <v>1.7226369191839443</v>
      </c>
      <c r="N540" s="302">
        <v>0.68867964965167838</v>
      </c>
      <c r="O540" s="302">
        <f t="shared" si="240"/>
        <v>10.905566986554504</v>
      </c>
    </row>
    <row r="541" spans="1:15" s="236" customFormat="1" x14ac:dyDescent="0.2">
      <c r="A541" s="237" t="str">
        <f>name!E$9</f>
        <v>Caring, leisure and other service occupations</v>
      </c>
      <c r="B541" s="302">
        <v>1.3065650778075155</v>
      </c>
      <c r="C541" s="302">
        <v>6.7809506496638541E-2</v>
      </c>
      <c r="D541" s="302">
        <v>4.8605414195473047E-2</v>
      </c>
      <c r="E541" s="302">
        <f t="shared" si="238"/>
        <v>1.4229799984996272</v>
      </c>
      <c r="F541" s="303"/>
      <c r="G541" s="302">
        <v>1.5170140528950655</v>
      </c>
      <c r="H541" s="302">
        <v>9.2313537527409756E-2</v>
      </c>
      <c r="I541" s="302">
        <v>5.7973000392932038E-2</v>
      </c>
      <c r="J541" s="302">
        <f t="shared" ref="J541:J544" si="241">SUM(G541:I541)</f>
        <v>1.6673005908154073</v>
      </c>
      <c r="K541" s="303"/>
      <c r="L541" s="302">
        <v>1.9734647292279146</v>
      </c>
      <c r="M541" s="302">
        <v>6.7463820997785695E-2</v>
      </c>
      <c r="N541" s="302">
        <v>6.9964887455827823E-2</v>
      </c>
      <c r="O541" s="302">
        <f t="shared" si="240"/>
        <v>2.1108934376815278</v>
      </c>
    </row>
    <row r="542" spans="1:15" s="236" customFormat="1" x14ac:dyDescent="0.2">
      <c r="A542" s="237" t="str">
        <f>name!E$10</f>
        <v>Sales and customer service occupations</v>
      </c>
      <c r="B542" s="302">
        <v>5.2447668656182795</v>
      </c>
      <c r="C542" s="302">
        <v>3.0921336125084165</v>
      </c>
      <c r="D542" s="302">
        <v>0.801780808662233</v>
      </c>
      <c r="E542" s="302">
        <f t="shared" si="238"/>
        <v>9.1386812867889287</v>
      </c>
      <c r="F542" s="303"/>
      <c r="G542" s="302">
        <v>5.978046749784343</v>
      </c>
      <c r="H542" s="302">
        <v>4.1796401368197884</v>
      </c>
      <c r="I542" s="302">
        <v>0.31727465379691572</v>
      </c>
      <c r="J542" s="302">
        <f t="shared" si="241"/>
        <v>10.474961540401049</v>
      </c>
      <c r="K542" s="303"/>
      <c r="L542" s="302">
        <v>5.5105795225721597</v>
      </c>
      <c r="M542" s="302">
        <v>3.8049436664976723</v>
      </c>
      <c r="N542" s="302">
        <v>0.26512385775435898</v>
      </c>
      <c r="O542" s="302">
        <f t="shared" si="240"/>
        <v>9.5806470468241915</v>
      </c>
    </row>
    <row r="543" spans="1:15" s="236" customFormat="1" x14ac:dyDescent="0.2">
      <c r="A543" s="237" t="str">
        <f>name!E$11</f>
        <v>Process, plant and machine operatives</v>
      </c>
      <c r="B543" s="302">
        <v>1.4666920445131146</v>
      </c>
      <c r="C543" s="302">
        <v>0.55567848971669143</v>
      </c>
      <c r="D543" s="302">
        <v>0.33410105352273273</v>
      </c>
      <c r="E543" s="302">
        <f t="shared" si="238"/>
        <v>2.3564715877525391</v>
      </c>
      <c r="F543" s="303"/>
      <c r="G543" s="302">
        <v>1.5387319678272966</v>
      </c>
      <c r="H543" s="302">
        <v>0.73711952244045209</v>
      </c>
      <c r="I543" s="302">
        <v>0.15657008973627684</v>
      </c>
      <c r="J543" s="302">
        <f t="shared" si="241"/>
        <v>2.4324215800040254</v>
      </c>
      <c r="K543" s="303"/>
      <c r="L543" s="302">
        <v>1.6434452978336991</v>
      </c>
      <c r="M543" s="302">
        <v>0.86711188896648628</v>
      </c>
      <c r="N543" s="302">
        <v>0.2795709336820939</v>
      </c>
      <c r="O543" s="302">
        <f t="shared" si="240"/>
        <v>2.7901281204822794</v>
      </c>
    </row>
    <row r="544" spans="1:15" s="236" customFormat="1" x14ac:dyDescent="0.2">
      <c r="A544" s="237" t="str">
        <f>name!E$12</f>
        <v>Elementary occupations</v>
      </c>
      <c r="B544" s="302">
        <v>1.0532854029673697</v>
      </c>
      <c r="C544" s="302">
        <v>1.0481835566956477</v>
      </c>
      <c r="D544" s="302">
        <v>0.2587288331781028</v>
      </c>
      <c r="E544" s="302">
        <f t="shared" si="238"/>
        <v>2.3601977928411202</v>
      </c>
      <c r="F544" s="303"/>
      <c r="G544" s="302">
        <v>1.1461937787101157</v>
      </c>
      <c r="H544" s="302">
        <v>1.1699247379367872</v>
      </c>
      <c r="I544" s="302">
        <v>0.11976728880977798</v>
      </c>
      <c r="J544" s="302">
        <f t="shared" si="241"/>
        <v>2.4358858054566808</v>
      </c>
      <c r="K544" s="303"/>
      <c r="L544" s="302">
        <v>0.99855561721002284</v>
      </c>
      <c r="M544" s="302">
        <v>0.75079461338143871</v>
      </c>
      <c r="N544" s="302">
        <v>0.12369366439920457</v>
      </c>
      <c r="O544" s="302">
        <f t="shared" si="240"/>
        <v>1.8730438949906663</v>
      </c>
    </row>
    <row r="545" spans="1:15" s="236" customFormat="1" x14ac:dyDescent="0.2">
      <c r="A545" s="237"/>
      <c r="B545" s="302"/>
      <c r="C545" s="302"/>
      <c r="D545" s="302"/>
      <c r="E545" s="302"/>
      <c r="F545" s="303"/>
      <c r="G545" s="302"/>
      <c r="H545" s="302"/>
      <c r="I545" s="302"/>
      <c r="J545" s="302"/>
      <c r="K545" s="303"/>
      <c r="L545" s="302"/>
      <c r="M545" s="302"/>
      <c r="N545" s="302"/>
      <c r="O545" s="302"/>
    </row>
    <row r="546" spans="1:15" s="236" customFormat="1" x14ac:dyDescent="0.2">
      <c r="A546" s="244" t="s">
        <v>32</v>
      </c>
      <c r="B546" s="311">
        <f>SUM(B536:B544)</f>
        <v>30.532000000586944</v>
      </c>
      <c r="C546" s="311">
        <f t="shared" ref="C546:E546" si="242">SUM(C536:C544)</f>
        <v>8.3660000003303381</v>
      </c>
      <c r="D546" s="311">
        <f t="shared" si="242"/>
        <v>4.7300000001388147</v>
      </c>
      <c r="E546" s="311">
        <f t="shared" si="242"/>
        <v>43.628000001056094</v>
      </c>
      <c r="F546" s="311"/>
      <c r="G546" s="311">
        <f t="shared" ref="G546:J546" si="243">SUM(G536:G544)</f>
        <v>36.941999999355517</v>
      </c>
      <c r="H546" s="311">
        <f t="shared" si="243"/>
        <v>11.339999999890315</v>
      </c>
      <c r="I546" s="311">
        <f t="shared" si="243"/>
        <v>2.3429999999407487</v>
      </c>
      <c r="J546" s="311">
        <f t="shared" si="243"/>
        <v>50.624999999186578</v>
      </c>
      <c r="K546" s="311"/>
      <c r="L546" s="311">
        <f t="shared" ref="L546:O546" si="244">SUM(L536:L544)</f>
        <v>37.140999999537748</v>
      </c>
      <c r="M546" s="311">
        <f t="shared" si="244"/>
        <v>10.132999999823406</v>
      </c>
      <c r="N546" s="311">
        <f t="shared" si="244"/>
        <v>2.2989999999402815</v>
      </c>
      <c r="O546" s="311">
        <f t="shared" si="244"/>
        <v>49.57299999930143</v>
      </c>
    </row>
    <row r="547" spans="1:15" s="236" customFormat="1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40"/>
    </row>
    <row r="548" spans="1:15" s="236" customFormat="1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40"/>
      <c r="O548" s="251" t="s">
        <v>35</v>
      </c>
    </row>
    <row r="549" spans="1:15" s="236" customFormat="1" x14ac:dyDescent="0.2">
      <c r="A549" s="242"/>
      <c r="B549" s="242"/>
      <c r="C549" s="242"/>
      <c r="D549" s="242"/>
      <c r="E549" s="242"/>
      <c r="F549" s="242"/>
      <c r="G549" s="242"/>
      <c r="H549" s="242"/>
      <c r="I549" s="242"/>
      <c r="J549" s="242"/>
      <c r="K549" s="242"/>
      <c r="L549" s="242"/>
      <c r="M549" s="242"/>
      <c r="N549" s="242"/>
      <c r="O549" s="242"/>
    </row>
    <row r="550" spans="1:15" s="236" customFormat="1" x14ac:dyDescent="0.2">
      <c r="A550" s="241" t="str">
        <f>name!A35</f>
        <v>Wholesale trade</v>
      </c>
      <c r="B550" s="374">
        <f>$B$6</f>
        <v>2015</v>
      </c>
      <c r="C550" s="374"/>
      <c r="D550" s="374"/>
      <c r="E550" s="374"/>
      <c r="F550" s="263"/>
      <c r="G550" s="374">
        <f>$G$6</f>
        <v>2020</v>
      </c>
      <c r="H550" s="374"/>
      <c r="I550" s="374"/>
      <c r="J550" s="374"/>
      <c r="K550" s="263"/>
      <c r="L550" s="374">
        <f>$L$6</f>
        <v>2035</v>
      </c>
      <c r="M550" s="374"/>
      <c r="N550" s="374"/>
      <c r="O550" s="374"/>
    </row>
    <row r="551" spans="1:15" s="236" customFormat="1" x14ac:dyDescent="0.2">
      <c r="A551" s="254"/>
      <c r="B551" s="268" t="str">
        <f>$B$7</f>
        <v>FT</v>
      </c>
      <c r="C551" s="268" t="str">
        <f>$C$7</f>
        <v>PT</v>
      </c>
      <c r="D551" s="268" t="str">
        <f>$D$7</f>
        <v>SE</v>
      </c>
      <c r="E551" s="268" t="str">
        <f>$E$7</f>
        <v>Total</v>
      </c>
      <c r="F551" s="268"/>
      <c r="G551" s="268" t="str">
        <f>$G$7</f>
        <v>FT</v>
      </c>
      <c r="H551" s="268" t="str">
        <f>$H$7</f>
        <v>PT</v>
      </c>
      <c r="I551" s="268" t="str">
        <f>$I$7</f>
        <v>SE</v>
      </c>
      <c r="J551" s="268" t="str">
        <f>$J$7</f>
        <v>Total</v>
      </c>
      <c r="K551" s="268"/>
      <c r="L551" s="268" t="str">
        <f>$L$7</f>
        <v>FT</v>
      </c>
      <c r="M551" s="268" t="str">
        <f>$M$7</f>
        <v>PT</v>
      </c>
      <c r="N551" s="268" t="str">
        <f>$N$7</f>
        <v>SE</v>
      </c>
      <c r="O551" s="268" t="str">
        <f>$O$7</f>
        <v>Total</v>
      </c>
    </row>
    <row r="552" spans="1:15" s="236" customFormat="1" x14ac:dyDescent="0.2">
      <c r="A552" s="258"/>
      <c r="B552" s="239"/>
      <c r="C552" s="239"/>
      <c r="D552" s="239"/>
      <c r="E552" s="239"/>
      <c r="F552" s="239"/>
      <c r="G552" s="239"/>
      <c r="H552" s="239"/>
      <c r="I552" s="239"/>
      <c r="J552" s="239"/>
      <c r="K552" s="239"/>
      <c r="L552" s="239"/>
      <c r="M552" s="239"/>
      <c r="N552" s="239"/>
      <c r="O552" s="239"/>
    </row>
    <row r="553" spans="1:15" s="236" customFormat="1" x14ac:dyDescent="0.2">
      <c r="A553" s="237" t="str">
        <f>name!E$4</f>
        <v>Managers, directors and senior officials</v>
      </c>
      <c r="B553" s="302">
        <v>24.325889814609322</v>
      </c>
      <c r="C553" s="302">
        <v>1.6819659060109107</v>
      </c>
      <c r="D553" s="302">
        <v>3.324249322077343</v>
      </c>
      <c r="E553" s="302">
        <f>SUM(B553:D553)</f>
        <v>29.332105042697577</v>
      </c>
      <c r="F553" s="303"/>
      <c r="G553" s="302">
        <v>31.150402097829989</v>
      </c>
      <c r="H553" s="302">
        <v>2.5993231998697275</v>
      </c>
      <c r="I553" s="302">
        <v>2.0457786495498893</v>
      </c>
      <c r="J553" s="302">
        <f>SUM(G553:I553)</f>
        <v>35.795503947249607</v>
      </c>
      <c r="K553" s="303"/>
      <c r="L553" s="302">
        <v>32.596533530957821</v>
      </c>
      <c r="M553" s="302">
        <v>2.48064180424702</v>
      </c>
      <c r="N553" s="302">
        <v>1.8572726346667368</v>
      </c>
      <c r="O553" s="302">
        <f>SUM(L553:N553)</f>
        <v>36.934447969871577</v>
      </c>
    </row>
    <row r="554" spans="1:15" s="236" customFormat="1" x14ac:dyDescent="0.2">
      <c r="A554" s="237" t="str">
        <f>name!E$5</f>
        <v>Professional occupations</v>
      </c>
      <c r="B554" s="302">
        <v>15.831725587821611</v>
      </c>
      <c r="C554" s="302">
        <v>1.3614256946166914</v>
      </c>
      <c r="D554" s="302">
        <v>0.90687827038032254</v>
      </c>
      <c r="E554" s="302">
        <f t="shared" ref="E554:E561" si="245">SUM(B554:D554)</f>
        <v>18.100029552818622</v>
      </c>
      <c r="F554" s="303"/>
      <c r="G554" s="302">
        <v>23.767332296573425</v>
      </c>
      <c r="H554" s="302">
        <v>1.9781520766678617</v>
      </c>
      <c r="I554" s="302">
        <v>0.46837320452199527</v>
      </c>
      <c r="J554" s="302">
        <f t="shared" ref="J554:J556" si="246">SUM(G554:I554)</f>
        <v>26.213857577763282</v>
      </c>
      <c r="K554" s="303"/>
      <c r="L554" s="302">
        <v>29.610845667218339</v>
      </c>
      <c r="M554" s="302">
        <v>2.0212653974935697</v>
      </c>
      <c r="N554" s="302">
        <v>0.33890873894651502</v>
      </c>
      <c r="O554" s="302">
        <f t="shared" ref="O554:O561" si="247">SUM(L554:N554)</f>
        <v>31.971019803658422</v>
      </c>
    </row>
    <row r="555" spans="1:15" s="236" customFormat="1" x14ac:dyDescent="0.2">
      <c r="A555" s="237" t="str">
        <f>name!E$6</f>
        <v>Associate professional occupations</v>
      </c>
      <c r="B555" s="302">
        <v>21.294385564417894</v>
      </c>
      <c r="C555" s="302">
        <v>3.5057737549643195</v>
      </c>
      <c r="D555" s="302">
        <v>1.1578608130285504</v>
      </c>
      <c r="E555" s="302">
        <f t="shared" si="245"/>
        <v>25.958020132410763</v>
      </c>
      <c r="F555" s="303"/>
      <c r="G555" s="302">
        <v>27.430888778335913</v>
      </c>
      <c r="H555" s="302">
        <v>4.1436860577244481</v>
      </c>
      <c r="I555" s="302">
        <v>0.57165361185420194</v>
      </c>
      <c r="J555" s="302">
        <f t="shared" si="246"/>
        <v>32.146228447914559</v>
      </c>
      <c r="K555" s="303"/>
      <c r="L555" s="302">
        <v>27.675076121121926</v>
      </c>
      <c r="M555" s="302">
        <v>3.7543937760309447</v>
      </c>
      <c r="N555" s="302">
        <v>0.4009812726813527</v>
      </c>
      <c r="O555" s="302">
        <f t="shared" si="247"/>
        <v>31.830451169834223</v>
      </c>
    </row>
    <row r="556" spans="1:15" s="236" customFormat="1" x14ac:dyDescent="0.2">
      <c r="A556" s="237" t="str">
        <f>name!E$7</f>
        <v>Administrative and secretarial occupations</v>
      </c>
      <c r="B556" s="302">
        <v>16.159481689301259</v>
      </c>
      <c r="C556" s="302">
        <v>6.3599751606782204</v>
      </c>
      <c r="D556" s="302">
        <v>0.34338721760695917</v>
      </c>
      <c r="E556" s="302">
        <f t="shared" si="245"/>
        <v>22.86284406758644</v>
      </c>
      <c r="F556" s="303"/>
      <c r="G556" s="302">
        <v>18.096021951165042</v>
      </c>
      <c r="H556" s="302">
        <v>6.4117210340936417</v>
      </c>
      <c r="I556" s="302">
        <v>0.19650194120117329</v>
      </c>
      <c r="J556" s="302">
        <f t="shared" si="246"/>
        <v>24.704244926459857</v>
      </c>
      <c r="K556" s="303"/>
      <c r="L556" s="302">
        <v>15.403261173626138</v>
      </c>
      <c r="M556" s="302">
        <v>4.2387862006369552</v>
      </c>
      <c r="N556" s="302">
        <v>0.16675769786761516</v>
      </c>
      <c r="O556" s="302">
        <f t="shared" si="247"/>
        <v>19.80880507213071</v>
      </c>
    </row>
    <row r="557" spans="1:15" s="236" customFormat="1" x14ac:dyDescent="0.2">
      <c r="A557" s="237" t="str">
        <f>name!E$8</f>
        <v>Skilled trades occupations</v>
      </c>
      <c r="B557" s="302">
        <v>5.5880325138940705</v>
      </c>
      <c r="C557" s="302">
        <v>0.68034489717167779</v>
      </c>
      <c r="D557" s="302">
        <v>1.1425479522142141</v>
      </c>
      <c r="E557" s="302">
        <f t="shared" si="245"/>
        <v>7.4109253632799632</v>
      </c>
      <c r="F557" s="303"/>
      <c r="G557" s="302">
        <v>5.0411675981464343</v>
      </c>
      <c r="H557" s="302">
        <v>0.47260309297102743</v>
      </c>
      <c r="I557" s="302">
        <v>0.52474855977645218</v>
      </c>
      <c r="J557" s="302">
        <f>SUM(G557:I557)</f>
        <v>6.0385192508939145</v>
      </c>
      <c r="K557" s="303"/>
      <c r="L557" s="302">
        <v>4.5471073741929473</v>
      </c>
      <c r="M557" s="302">
        <v>0.5053346892444841</v>
      </c>
      <c r="N557" s="302">
        <v>0.5144973404871358</v>
      </c>
      <c r="O557" s="302">
        <f t="shared" si="247"/>
        <v>5.5669394039245672</v>
      </c>
    </row>
    <row r="558" spans="1:15" s="236" customFormat="1" x14ac:dyDescent="0.2">
      <c r="A558" s="237" t="str">
        <f>name!E$9</f>
        <v>Caring, leisure and other service occupations</v>
      </c>
      <c r="B558" s="302">
        <v>0.55029730810188626</v>
      </c>
      <c r="C558" s="302">
        <v>0.23029009941165532</v>
      </c>
      <c r="D558" s="302">
        <v>8.1446548636512822E-2</v>
      </c>
      <c r="E558" s="302">
        <f t="shared" si="245"/>
        <v>0.8620339561500544</v>
      </c>
      <c r="F558" s="303"/>
      <c r="G558" s="302">
        <v>0.58656909434095728</v>
      </c>
      <c r="H558" s="302">
        <v>0.20685491678820692</v>
      </c>
      <c r="I558" s="302">
        <v>5.7401391366186071E-2</v>
      </c>
      <c r="J558" s="302">
        <f t="shared" ref="J558:J561" si="248">SUM(G558:I558)</f>
        <v>0.85082540249535021</v>
      </c>
      <c r="K558" s="303"/>
      <c r="L558" s="302">
        <v>0.67511310692356641</v>
      </c>
      <c r="M558" s="302">
        <v>0.14368871753821066</v>
      </c>
      <c r="N558" s="302">
        <v>7.5437937791465154E-2</v>
      </c>
      <c r="O558" s="302">
        <f t="shared" si="247"/>
        <v>0.8942397622532422</v>
      </c>
    </row>
    <row r="559" spans="1:15" s="236" customFormat="1" x14ac:dyDescent="0.2">
      <c r="A559" s="237" t="str">
        <f>name!E$10</f>
        <v>Sales and customer service occupations</v>
      </c>
      <c r="B559" s="302">
        <v>11.457398542287812</v>
      </c>
      <c r="C559" s="302">
        <v>6.0816321979570178</v>
      </c>
      <c r="D559" s="302">
        <v>0.87537057806706609</v>
      </c>
      <c r="E559" s="302">
        <f t="shared" si="245"/>
        <v>18.414401318311896</v>
      </c>
      <c r="F559" s="303"/>
      <c r="G559" s="302">
        <v>11.806381085940769</v>
      </c>
      <c r="H559" s="302">
        <v>5.6281998997325848</v>
      </c>
      <c r="I559" s="302">
        <v>0.34070842813225743</v>
      </c>
      <c r="J559" s="302">
        <f t="shared" si="248"/>
        <v>17.775289413805609</v>
      </c>
      <c r="K559" s="303"/>
      <c r="L559" s="302">
        <v>10.542928598841229</v>
      </c>
      <c r="M559" s="302">
        <v>5.0168909295276958</v>
      </c>
      <c r="N559" s="302">
        <v>0.29587715866471992</v>
      </c>
      <c r="O559" s="302">
        <f t="shared" si="247"/>
        <v>15.855696687033644</v>
      </c>
    </row>
    <row r="560" spans="1:15" s="236" customFormat="1" x14ac:dyDescent="0.2">
      <c r="A560" s="237" t="str">
        <f>name!E$11</f>
        <v>Process, plant and machine operatives</v>
      </c>
      <c r="B560" s="302">
        <v>11.99482234302493</v>
      </c>
      <c r="C560" s="302">
        <v>1.9930190638474987</v>
      </c>
      <c r="D560" s="302">
        <v>1.2118680268945792</v>
      </c>
      <c r="E560" s="302">
        <f t="shared" si="245"/>
        <v>15.199709433767008</v>
      </c>
      <c r="F560" s="303"/>
      <c r="G560" s="302">
        <v>11.198851342883433</v>
      </c>
      <c r="H560" s="302">
        <v>1.8358083174297395</v>
      </c>
      <c r="I560" s="302">
        <v>0.58341579012233069</v>
      </c>
      <c r="J560" s="302">
        <f t="shared" si="248"/>
        <v>13.618075450435503</v>
      </c>
      <c r="K560" s="303"/>
      <c r="L560" s="302">
        <v>10.905698754183057</v>
      </c>
      <c r="M560" s="302">
        <v>3.0399442449025149</v>
      </c>
      <c r="N560" s="302">
        <v>1.0334357385683968</v>
      </c>
      <c r="O560" s="302">
        <f t="shared" si="247"/>
        <v>14.979078737653968</v>
      </c>
    </row>
    <row r="561" spans="1:15" s="236" customFormat="1" x14ac:dyDescent="0.2">
      <c r="A561" s="237" t="str">
        <f>name!E$12</f>
        <v>Elementary occupations</v>
      </c>
      <c r="B561" s="302">
        <v>8.4469666381424506</v>
      </c>
      <c r="C561" s="302">
        <v>5.7865732262979304</v>
      </c>
      <c r="D561" s="302">
        <v>0.5173912713776162</v>
      </c>
      <c r="E561" s="302">
        <f t="shared" si="245"/>
        <v>14.750931135817996</v>
      </c>
      <c r="F561" s="303"/>
      <c r="G561" s="302">
        <v>7.2853857524240793</v>
      </c>
      <c r="H561" s="302">
        <v>4.7836514045530416</v>
      </c>
      <c r="I561" s="302">
        <v>0.17841842342536876</v>
      </c>
      <c r="J561" s="302">
        <f t="shared" si="248"/>
        <v>12.247455580402489</v>
      </c>
      <c r="K561" s="303"/>
      <c r="L561" s="302">
        <v>4.5554356714292821</v>
      </c>
      <c r="M561" s="302">
        <v>3.5620542400756339</v>
      </c>
      <c r="N561" s="302">
        <v>0.19183148030968869</v>
      </c>
      <c r="O561" s="302">
        <f t="shared" si="247"/>
        <v>8.3093213918146045</v>
      </c>
    </row>
    <row r="562" spans="1:15" s="236" customFormat="1" x14ac:dyDescent="0.2">
      <c r="A562" s="237"/>
      <c r="B562" s="302"/>
      <c r="C562" s="302"/>
      <c r="D562" s="302"/>
      <c r="E562" s="302"/>
      <c r="F562" s="303"/>
      <c r="G562" s="302"/>
      <c r="H562" s="302"/>
      <c r="I562" s="302"/>
      <c r="J562" s="302"/>
      <c r="K562" s="303"/>
      <c r="L562" s="302"/>
      <c r="M562" s="302"/>
      <c r="N562" s="302"/>
      <c r="O562" s="302"/>
    </row>
    <row r="563" spans="1:15" s="236" customFormat="1" x14ac:dyDescent="0.2">
      <c r="A563" s="244" t="s">
        <v>32</v>
      </c>
      <c r="B563" s="311">
        <f>SUM(B553:B561)</f>
        <v>115.64900000160124</v>
      </c>
      <c r="C563" s="311">
        <f t="shared" ref="C563:E563" si="249">SUM(C553:C561)</f>
        <v>27.681000000955919</v>
      </c>
      <c r="D563" s="311">
        <f t="shared" si="249"/>
        <v>9.5610000002831637</v>
      </c>
      <c r="E563" s="311">
        <f t="shared" si="249"/>
        <v>152.89100000284031</v>
      </c>
      <c r="F563" s="311"/>
      <c r="G563" s="311">
        <f t="shared" ref="G563:J563" si="250">SUM(G553:G561)</f>
        <v>136.36299999764003</v>
      </c>
      <c r="H563" s="311">
        <f t="shared" si="250"/>
        <v>28.059999999830275</v>
      </c>
      <c r="I563" s="311">
        <f t="shared" si="250"/>
        <v>4.9669999999498549</v>
      </c>
      <c r="J563" s="311">
        <f t="shared" si="250"/>
        <v>169.38999999742018</v>
      </c>
      <c r="K563" s="311"/>
      <c r="L563" s="311">
        <f t="shared" ref="L563:O563" si="251">SUM(L553:L561)</f>
        <v>136.5119999984943</v>
      </c>
      <c r="M563" s="311">
        <f t="shared" si="251"/>
        <v>24.76299999969703</v>
      </c>
      <c r="N563" s="311">
        <f t="shared" si="251"/>
        <v>4.8749999999836264</v>
      </c>
      <c r="O563" s="311">
        <f t="shared" si="251"/>
        <v>166.14999999817493</v>
      </c>
    </row>
    <row r="564" spans="1:15" s="236" customFormat="1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40"/>
    </row>
    <row r="565" spans="1:15" s="236" customFormat="1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40"/>
      <c r="O565" s="251" t="s">
        <v>35</v>
      </c>
    </row>
    <row r="566" spans="1:15" s="236" customFormat="1" x14ac:dyDescent="0.2">
      <c r="A566" s="242"/>
      <c r="B566" s="242"/>
      <c r="C566" s="242"/>
      <c r="D566" s="242"/>
      <c r="E566" s="242"/>
      <c r="F566" s="242"/>
      <c r="G566" s="242"/>
      <c r="H566" s="242"/>
      <c r="I566" s="242"/>
      <c r="J566" s="242"/>
      <c r="K566" s="242"/>
      <c r="L566" s="242"/>
      <c r="M566" s="242"/>
      <c r="N566" s="242"/>
      <c r="O566" s="242"/>
    </row>
    <row r="567" spans="1:15" s="236" customFormat="1" x14ac:dyDescent="0.2">
      <c r="A567" s="241" t="str">
        <f>name!A36</f>
        <v>Retail trade</v>
      </c>
      <c r="B567" s="374">
        <f>$B$6</f>
        <v>2015</v>
      </c>
      <c r="C567" s="374"/>
      <c r="D567" s="374"/>
      <c r="E567" s="374"/>
      <c r="F567" s="263"/>
      <c r="G567" s="374">
        <f>$G$6</f>
        <v>2020</v>
      </c>
      <c r="H567" s="374"/>
      <c r="I567" s="374"/>
      <c r="J567" s="374"/>
      <c r="K567" s="263"/>
      <c r="L567" s="374">
        <f>$L$6</f>
        <v>2035</v>
      </c>
      <c r="M567" s="374"/>
      <c r="N567" s="374"/>
      <c r="O567" s="374"/>
    </row>
    <row r="568" spans="1:15" s="236" customFormat="1" x14ac:dyDescent="0.2">
      <c r="A568" s="254"/>
      <c r="B568" s="268" t="str">
        <f>$B$7</f>
        <v>FT</v>
      </c>
      <c r="C568" s="268" t="str">
        <f>$C$7</f>
        <v>PT</v>
      </c>
      <c r="D568" s="268" t="str">
        <f>$D$7</f>
        <v>SE</v>
      </c>
      <c r="E568" s="268" t="str">
        <f>$E$7</f>
        <v>Total</v>
      </c>
      <c r="F568" s="268"/>
      <c r="G568" s="268" t="str">
        <f>$G$7</f>
        <v>FT</v>
      </c>
      <c r="H568" s="268" t="str">
        <f>$H$7</f>
        <v>PT</v>
      </c>
      <c r="I568" s="268" t="str">
        <f>$I$7</f>
        <v>SE</v>
      </c>
      <c r="J568" s="268" t="str">
        <f>$J$7</f>
        <v>Total</v>
      </c>
      <c r="K568" s="268"/>
      <c r="L568" s="268" t="str">
        <f>$L$7</f>
        <v>FT</v>
      </c>
      <c r="M568" s="268" t="str">
        <f>$M$7</f>
        <v>PT</v>
      </c>
      <c r="N568" s="268" t="str">
        <f>$N$7</f>
        <v>SE</v>
      </c>
      <c r="O568" s="268" t="str">
        <f>$O$7</f>
        <v>Total</v>
      </c>
    </row>
    <row r="569" spans="1:15" s="236" customFormat="1" x14ac:dyDescent="0.2">
      <c r="A569" s="258"/>
      <c r="B569" s="239"/>
      <c r="C569" s="239"/>
      <c r="D569" s="239"/>
      <c r="E569" s="239"/>
      <c r="F569" s="239"/>
      <c r="G569" s="239"/>
      <c r="H569" s="239"/>
      <c r="I569" s="239"/>
      <c r="J569" s="239"/>
      <c r="K569" s="239"/>
      <c r="L569" s="239"/>
      <c r="M569" s="239"/>
      <c r="N569" s="239"/>
      <c r="O569" s="239"/>
    </row>
    <row r="570" spans="1:15" s="236" customFormat="1" x14ac:dyDescent="0.2">
      <c r="A570" s="237" t="str">
        <f>name!E$4</f>
        <v>Managers, directors and senior officials</v>
      </c>
      <c r="B570" s="302">
        <v>42.49018090233735</v>
      </c>
      <c r="C570" s="302">
        <v>3.4236760778120479</v>
      </c>
      <c r="D570" s="302">
        <v>12.494619584733123</v>
      </c>
      <c r="E570" s="302">
        <f>SUM(B570:D570)</f>
        <v>58.40847656488252</v>
      </c>
      <c r="F570" s="303"/>
      <c r="G570" s="302">
        <v>46.472735401834733</v>
      </c>
      <c r="H570" s="302">
        <v>4.9578753020182811</v>
      </c>
      <c r="I570" s="302">
        <v>6.8844017823154058</v>
      </c>
      <c r="J570" s="302">
        <f>SUM(G570:I570)</f>
        <v>58.31501248616842</v>
      </c>
      <c r="K570" s="303"/>
      <c r="L570" s="302">
        <v>55.594050368509485</v>
      </c>
      <c r="M570" s="302">
        <v>5.2869027433281426</v>
      </c>
      <c r="N570" s="302">
        <v>8.5055351618122508</v>
      </c>
      <c r="O570" s="302">
        <f>SUM(L570:N570)</f>
        <v>69.386488273649874</v>
      </c>
    </row>
    <row r="571" spans="1:15" s="236" customFormat="1" x14ac:dyDescent="0.2">
      <c r="A571" s="237" t="str">
        <f>name!E$5</f>
        <v>Professional occupations</v>
      </c>
      <c r="B571" s="302">
        <v>37.070322510135746</v>
      </c>
      <c r="C571" s="302">
        <v>5.7784252400715248</v>
      </c>
      <c r="D571" s="302">
        <v>2.8958224516752087</v>
      </c>
      <c r="E571" s="302">
        <f t="shared" ref="E571:E578" si="252">SUM(B571:D571)</f>
        <v>45.744570201882482</v>
      </c>
      <c r="F571" s="303"/>
      <c r="G571" s="302">
        <v>43.686662328173988</v>
      </c>
      <c r="H571" s="302">
        <v>7.1458894020301207</v>
      </c>
      <c r="I571" s="302">
        <v>1.8557925679848868</v>
      </c>
      <c r="J571" s="302">
        <f t="shared" ref="J571:J573" si="253">SUM(G571:I571)</f>
        <v>52.688344298188994</v>
      </c>
      <c r="K571" s="303"/>
      <c r="L571" s="302">
        <v>55.995069041426454</v>
      </c>
      <c r="M571" s="302">
        <v>8.1565646971695216</v>
      </c>
      <c r="N571" s="302">
        <v>1.2537751087629179</v>
      </c>
      <c r="O571" s="302">
        <f t="shared" ref="O571:O578" si="254">SUM(L571:N571)</f>
        <v>65.405408847358899</v>
      </c>
    </row>
    <row r="572" spans="1:15" s="236" customFormat="1" x14ac:dyDescent="0.2">
      <c r="A572" s="237" t="str">
        <f>name!E$6</f>
        <v>Associate professional occupations</v>
      </c>
      <c r="B572" s="302">
        <v>27.770542404744841</v>
      </c>
      <c r="C572" s="302">
        <v>8.8476479187914023</v>
      </c>
      <c r="D572" s="302">
        <v>2.3978563975723977</v>
      </c>
      <c r="E572" s="302">
        <f t="shared" si="252"/>
        <v>39.016046721108637</v>
      </c>
      <c r="F572" s="303"/>
      <c r="G572" s="302">
        <v>30.7793298348858</v>
      </c>
      <c r="H572" s="302">
        <v>9.323765771809402</v>
      </c>
      <c r="I572" s="302">
        <v>1.2550168043863779</v>
      </c>
      <c r="J572" s="302">
        <f t="shared" si="253"/>
        <v>41.358112411081585</v>
      </c>
      <c r="K572" s="303"/>
      <c r="L572" s="302">
        <v>34.182093939598516</v>
      </c>
      <c r="M572" s="302">
        <v>9.0948340779223287</v>
      </c>
      <c r="N572" s="302">
        <v>1.042692589125773</v>
      </c>
      <c r="O572" s="302">
        <f t="shared" si="254"/>
        <v>44.319620606646616</v>
      </c>
    </row>
    <row r="573" spans="1:15" s="236" customFormat="1" x14ac:dyDescent="0.2">
      <c r="A573" s="237" t="str">
        <f>name!E$7</f>
        <v>Administrative and secretarial occupations</v>
      </c>
      <c r="B573" s="302">
        <v>19.683396411734115</v>
      </c>
      <c r="C573" s="302">
        <v>9.0188660940642524</v>
      </c>
      <c r="D573" s="302">
        <v>0.58653498652206348</v>
      </c>
      <c r="E573" s="302">
        <f t="shared" si="252"/>
        <v>29.28879749232043</v>
      </c>
      <c r="F573" s="303"/>
      <c r="G573" s="302">
        <v>18.523446281239323</v>
      </c>
      <c r="H573" s="302">
        <v>8.8404000067079771</v>
      </c>
      <c r="I573" s="302">
        <v>0.34297441649308075</v>
      </c>
      <c r="J573" s="302">
        <f t="shared" si="253"/>
        <v>27.706820704440382</v>
      </c>
      <c r="K573" s="303"/>
      <c r="L573" s="302">
        <v>16.599235703459627</v>
      </c>
      <c r="M573" s="302">
        <v>8.0485216474980135</v>
      </c>
      <c r="N573" s="302">
        <v>0.28808357413063207</v>
      </c>
      <c r="O573" s="302">
        <f t="shared" si="254"/>
        <v>24.935840925088272</v>
      </c>
    </row>
    <row r="574" spans="1:15" s="236" customFormat="1" x14ac:dyDescent="0.2">
      <c r="A574" s="237" t="str">
        <f>name!E$8</f>
        <v>Skilled trades occupations</v>
      </c>
      <c r="B574" s="302">
        <v>14.068606076378371</v>
      </c>
      <c r="C574" s="302">
        <v>2.9852593281961557</v>
      </c>
      <c r="D574" s="302">
        <v>5.7027862411761872</v>
      </c>
      <c r="E574" s="302">
        <f t="shared" si="252"/>
        <v>22.756651645750715</v>
      </c>
      <c r="F574" s="303"/>
      <c r="G574" s="302">
        <v>10.70287010101914</v>
      </c>
      <c r="H574" s="302">
        <v>2.1220120155431079</v>
      </c>
      <c r="I574" s="302">
        <v>2.3614779880268952</v>
      </c>
      <c r="J574" s="302">
        <f>SUM(G574:I574)</f>
        <v>15.186360104589143</v>
      </c>
      <c r="K574" s="303"/>
      <c r="L574" s="302">
        <v>12.815640094999829</v>
      </c>
      <c r="M574" s="302">
        <v>2.0059518844127484</v>
      </c>
      <c r="N574" s="302">
        <v>2.7411917130636776</v>
      </c>
      <c r="O574" s="302">
        <f t="shared" si="254"/>
        <v>17.562783692476255</v>
      </c>
    </row>
    <row r="575" spans="1:15" s="236" customFormat="1" x14ac:dyDescent="0.2">
      <c r="A575" s="237" t="str">
        <f>name!E$9</f>
        <v>Caring, leisure and other service occupations</v>
      </c>
      <c r="B575" s="302">
        <v>1.893540523480548</v>
      </c>
      <c r="C575" s="302">
        <v>1.3718757748821084</v>
      </c>
      <c r="D575" s="302">
        <v>0.41499728487282866</v>
      </c>
      <c r="E575" s="302">
        <f t="shared" si="252"/>
        <v>3.680413583235485</v>
      </c>
      <c r="F575" s="303"/>
      <c r="G575" s="302">
        <v>1.6316571029495819</v>
      </c>
      <c r="H575" s="302">
        <v>1.0672750738634345</v>
      </c>
      <c r="I575" s="302">
        <v>0.32069021033273043</v>
      </c>
      <c r="J575" s="302">
        <f t="shared" ref="J575:J578" si="255">SUM(G575:I575)</f>
        <v>3.0196223871457466</v>
      </c>
      <c r="K575" s="303"/>
      <c r="L575" s="302">
        <v>1.9989641531513043</v>
      </c>
      <c r="M575" s="302">
        <v>0.85661882851860072</v>
      </c>
      <c r="N575" s="302">
        <v>0.62658326364748895</v>
      </c>
      <c r="O575" s="302">
        <f t="shared" si="254"/>
        <v>3.4821662453173938</v>
      </c>
    </row>
    <row r="576" spans="1:15" s="236" customFormat="1" x14ac:dyDescent="0.2">
      <c r="A576" s="237" t="str">
        <f>name!E$10</f>
        <v>Sales and customer service occupations</v>
      </c>
      <c r="B576" s="302">
        <v>41.035871095683973</v>
      </c>
      <c r="C576" s="302">
        <v>158.83252480190501</v>
      </c>
      <c r="D576" s="302">
        <v>7.5974530338979749</v>
      </c>
      <c r="E576" s="302">
        <f t="shared" si="252"/>
        <v>207.46584893148696</v>
      </c>
      <c r="F576" s="303"/>
      <c r="G576" s="302">
        <v>35.673855000328764</v>
      </c>
      <c r="H576" s="302">
        <v>132.93046302027597</v>
      </c>
      <c r="I576" s="302">
        <v>2.4241224303867703</v>
      </c>
      <c r="J576" s="302">
        <f t="shared" si="255"/>
        <v>171.0284404509915</v>
      </c>
      <c r="K576" s="303"/>
      <c r="L576" s="302">
        <v>24.383223427855722</v>
      </c>
      <c r="M576" s="302">
        <v>121.51801193970428</v>
      </c>
      <c r="N576" s="302">
        <v>1.8027830773438491</v>
      </c>
      <c r="O576" s="302">
        <f t="shared" si="254"/>
        <v>147.70401844490385</v>
      </c>
    </row>
    <row r="577" spans="1:15" s="236" customFormat="1" x14ac:dyDescent="0.2">
      <c r="A577" s="237" t="str">
        <f>name!E$11</f>
        <v>Process, plant and machine operatives</v>
      </c>
      <c r="B577" s="302">
        <v>9.2627711986297303</v>
      </c>
      <c r="C577" s="302">
        <v>2.7610165768484562</v>
      </c>
      <c r="D577" s="302">
        <v>0.40254838050624903</v>
      </c>
      <c r="E577" s="302">
        <f t="shared" si="252"/>
        <v>12.426336155984435</v>
      </c>
      <c r="F577" s="303"/>
      <c r="G577" s="302">
        <v>7.7730654965717649</v>
      </c>
      <c r="H577" s="302">
        <v>2.6374204988553442</v>
      </c>
      <c r="I577" s="302">
        <v>0.25409275629525818</v>
      </c>
      <c r="J577" s="302">
        <f t="shared" si="255"/>
        <v>10.664578751722367</v>
      </c>
      <c r="K577" s="303"/>
      <c r="L577" s="302">
        <v>6.5433785482978095</v>
      </c>
      <c r="M577" s="302">
        <v>3.7114251980340534</v>
      </c>
      <c r="N577" s="302">
        <v>0.30795173331486614</v>
      </c>
      <c r="O577" s="302">
        <f t="shared" si="254"/>
        <v>10.562755479646729</v>
      </c>
    </row>
    <row r="578" spans="1:15" s="236" customFormat="1" x14ac:dyDescent="0.2">
      <c r="A578" s="237" t="str">
        <f>name!E$12</f>
        <v>Elementary occupations</v>
      </c>
      <c r="B578" s="302">
        <v>21.525768879875748</v>
      </c>
      <c r="C578" s="302">
        <v>28.928708199060157</v>
      </c>
      <c r="D578" s="302">
        <v>0.18538164000287286</v>
      </c>
      <c r="E578" s="302">
        <f t="shared" si="252"/>
        <v>50.639858718938783</v>
      </c>
      <c r="F578" s="303"/>
      <c r="G578" s="302">
        <v>18.106378449201021</v>
      </c>
      <c r="H578" s="302">
        <v>20.544898909859015</v>
      </c>
      <c r="I578" s="302">
        <v>5.743104360589487E-2</v>
      </c>
      <c r="J578" s="302">
        <f t="shared" si="255"/>
        <v>38.708708402665927</v>
      </c>
      <c r="K578" s="303"/>
      <c r="L578" s="302">
        <v>18.049344719884918</v>
      </c>
      <c r="M578" s="302">
        <v>14.840168981569358</v>
      </c>
      <c r="N578" s="302">
        <v>5.3403778778134681E-2</v>
      </c>
      <c r="O578" s="302">
        <f t="shared" si="254"/>
        <v>32.94291748023241</v>
      </c>
    </row>
    <row r="579" spans="1:15" s="236" customFormat="1" x14ac:dyDescent="0.2">
      <c r="A579" s="237"/>
      <c r="B579" s="302"/>
      <c r="C579" s="302"/>
      <c r="D579" s="302"/>
      <c r="E579" s="302"/>
      <c r="F579" s="303"/>
      <c r="G579" s="302"/>
      <c r="H579" s="302"/>
      <c r="I579" s="302"/>
      <c r="J579" s="302"/>
      <c r="K579" s="303"/>
      <c r="L579" s="302"/>
      <c r="M579" s="302"/>
      <c r="N579" s="302"/>
      <c r="O579" s="302"/>
    </row>
    <row r="580" spans="1:15" s="236" customFormat="1" x14ac:dyDescent="0.2">
      <c r="A580" s="244" t="s">
        <v>32</v>
      </c>
      <c r="B580" s="311">
        <f>SUM(B570:B578)</f>
        <v>214.80100000300041</v>
      </c>
      <c r="C580" s="311">
        <f t="shared" ref="C580:E580" si="256">SUM(C570:C578)</f>
        <v>221.94800001163111</v>
      </c>
      <c r="D580" s="311">
        <f t="shared" si="256"/>
        <v>32.678000000958903</v>
      </c>
      <c r="E580" s="311">
        <f t="shared" si="256"/>
        <v>469.42700001559047</v>
      </c>
      <c r="F580" s="311"/>
      <c r="G580" s="311">
        <f t="shared" ref="G580:J580" si="257">SUM(G570:G578)</f>
        <v>213.34999999620413</v>
      </c>
      <c r="H580" s="311">
        <f t="shared" si="257"/>
        <v>189.57000000096264</v>
      </c>
      <c r="I580" s="311">
        <f t="shared" si="257"/>
        <v>15.755999999827297</v>
      </c>
      <c r="J580" s="311">
        <f t="shared" si="257"/>
        <v>418.67599999699405</v>
      </c>
      <c r="K580" s="311"/>
      <c r="L580" s="311">
        <f t="shared" ref="L580:O580" si="258">SUM(L570:L578)</f>
        <v>226.16099999718358</v>
      </c>
      <c r="M580" s="311">
        <f t="shared" si="258"/>
        <v>173.51899999815703</v>
      </c>
      <c r="N580" s="311">
        <f t="shared" si="258"/>
        <v>16.62199999997959</v>
      </c>
      <c r="O580" s="311">
        <f t="shared" si="258"/>
        <v>416.30199999532033</v>
      </c>
    </row>
    <row r="581" spans="1:15" s="236" customFormat="1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40"/>
    </row>
    <row r="582" spans="1:15" s="236" customFormat="1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40"/>
      <c r="O582" s="251" t="s">
        <v>35</v>
      </c>
    </row>
    <row r="583" spans="1:15" s="236" customFormat="1" x14ac:dyDescent="0.2">
      <c r="A583" s="242"/>
      <c r="B583" s="242"/>
      <c r="C583" s="242"/>
      <c r="D583" s="242"/>
      <c r="E583" s="242"/>
      <c r="F583" s="242"/>
      <c r="G583" s="242"/>
      <c r="H583" s="242"/>
      <c r="I583" s="242"/>
      <c r="J583" s="242"/>
      <c r="K583" s="242"/>
      <c r="L583" s="242"/>
      <c r="M583" s="242"/>
      <c r="N583" s="242"/>
      <c r="O583" s="242"/>
    </row>
    <row r="584" spans="1:15" s="236" customFormat="1" x14ac:dyDescent="0.2">
      <c r="A584" s="241" t="str">
        <f>name!A37</f>
        <v>Land transport, etc</v>
      </c>
      <c r="B584" s="374">
        <f>$B$6</f>
        <v>2015</v>
      </c>
      <c r="C584" s="374"/>
      <c r="D584" s="374"/>
      <c r="E584" s="374"/>
      <c r="F584" s="263"/>
      <c r="G584" s="374">
        <f>$G$6</f>
        <v>2020</v>
      </c>
      <c r="H584" s="374"/>
      <c r="I584" s="374"/>
      <c r="J584" s="374"/>
      <c r="K584" s="263"/>
      <c r="L584" s="374">
        <f>$L$6</f>
        <v>2035</v>
      </c>
      <c r="M584" s="374"/>
      <c r="N584" s="374"/>
      <c r="O584" s="374"/>
    </row>
    <row r="585" spans="1:15" s="236" customFormat="1" x14ac:dyDescent="0.2">
      <c r="A585" s="254"/>
      <c r="B585" s="268" t="str">
        <f>$B$7</f>
        <v>FT</v>
      </c>
      <c r="C585" s="268" t="str">
        <f>$C$7</f>
        <v>PT</v>
      </c>
      <c r="D585" s="268" t="str">
        <f>$D$7</f>
        <v>SE</v>
      </c>
      <c r="E585" s="268" t="str">
        <f>$E$7</f>
        <v>Total</v>
      </c>
      <c r="F585" s="268"/>
      <c r="G585" s="268" t="str">
        <f>$G$7</f>
        <v>FT</v>
      </c>
      <c r="H585" s="268" t="str">
        <f>$H$7</f>
        <v>PT</v>
      </c>
      <c r="I585" s="268" t="str">
        <f>$I$7</f>
        <v>SE</v>
      </c>
      <c r="J585" s="268" t="str">
        <f>$J$7</f>
        <v>Total</v>
      </c>
      <c r="K585" s="268"/>
      <c r="L585" s="268" t="str">
        <f>$L$7</f>
        <v>FT</v>
      </c>
      <c r="M585" s="268" t="str">
        <f>$M$7</f>
        <v>PT</v>
      </c>
      <c r="N585" s="268" t="str">
        <f>$N$7</f>
        <v>SE</v>
      </c>
      <c r="O585" s="268" t="str">
        <f>$O$7</f>
        <v>Total</v>
      </c>
    </row>
    <row r="586" spans="1:15" s="236" customFormat="1" x14ac:dyDescent="0.2">
      <c r="A586" s="258"/>
      <c r="B586" s="239"/>
      <c r="C586" s="239"/>
      <c r="D586" s="239"/>
      <c r="E586" s="239"/>
      <c r="F586" s="239"/>
      <c r="G586" s="239"/>
      <c r="H586" s="239"/>
      <c r="I586" s="239"/>
      <c r="J586" s="239"/>
      <c r="K586" s="239"/>
      <c r="L586" s="239"/>
      <c r="M586" s="239"/>
      <c r="N586" s="239"/>
      <c r="O586" s="239"/>
    </row>
    <row r="587" spans="1:15" s="236" customFormat="1" x14ac:dyDescent="0.2">
      <c r="A587" s="237" t="str">
        <f>name!E$4</f>
        <v>Managers, directors and senior officials</v>
      </c>
      <c r="B587" s="302">
        <v>6.0434675326146667</v>
      </c>
      <c r="C587" s="302">
        <v>0.19947277500440025</v>
      </c>
      <c r="D587" s="302">
        <v>3.117665720828366</v>
      </c>
      <c r="E587" s="302">
        <f>SUM(B587:D587)</f>
        <v>9.3606060284474335</v>
      </c>
      <c r="F587" s="303"/>
      <c r="G587" s="302">
        <v>7.8320773703162114</v>
      </c>
      <c r="H587" s="302">
        <v>0.78234378631708135</v>
      </c>
      <c r="I587" s="302">
        <v>2.432282814184894</v>
      </c>
      <c r="J587" s="302">
        <f>SUM(G587:I587)</f>
        <v>11.046703970818188</v>
      </c>
      <c r="K587" s="303"/>
      <c r="L587" s="302">
        <v>9.6298466065527268</v>
      </c>
      <c r="M587" s="302">
        <v>1.084834167541247</v>
      </c>
      <c r="N587" s="302">
        <v>3.289317552525227</v>
      </c>
      <c r="O587" s="302">
        <f>SUM(L587:N587)</f>
        <v>14.0039983266192</v>
      </c>
    </row>
    <row r="588" spans="1:15" s="236" customFormat="1" x14ac:dyDescent="0.2">
      <c r="A588" s="237" t="str">
        <f>name!E$5</f>
        <v>Professional occupations</v>
      </c>
      <c r="B588" s="302">
        <v>7.5486944295099381</v>
      </c>
      <c r="C588" s="302">
        <v>0.23721379616736743</v>
      </c>
      <c r="D588" s="302">
        <v>0.88030342249322968</v>
      </c>
      <c r="E588" s="302">
        <f t="shared" ref="E588:E595" si="259">SUM(B588:D588)</f>
        <v>8.6662116481705347</v>
      </c>
      <c r="F588" s="303"/>
      <c r="G588" s="302">
        <v>12.281661359776809</v>
      </c>
      <c r="H588" s="302">
        <v>0.9524174392291419</v>
      </c>
      <c r="I588" s="302">
        <v>0.70843773718524583</v>
      </c>
      <c r="J588" s="302">
        <f t="shared" ref="J588:J590" si="260">SUM(G588:I588)</f>
        <v>13.942516536191198</v>
      </c>
      <c r="K588" s="303"/>
      <c r="L588" s="302">
        <v>20.351885885301847</v>
      </c>
      <c r="M588" s="302">
        <v>1.6525775766963744</v>
      </c>
      <c r="N588" s="302">
        <v>0.68881314354899781</v>
      </c>
      <c r="O588" s="302">
        <f t="shared" ref="O588:O595" si="261">SUM(L588:N588)</f>
        <v>22.693276605547219</v>
      </c>
    </row>
    <row r="589" spans="1:15" s="236" customFormat="1" x14ac:dyDescent="0.2">
      <c r="A589" s="237" t="str">
        <f>name!E$6</f>
        <v>Associate professional occupations</v>
      </c>
      <c r="B589" s="302">
        <v>8.8372563001663949</v>
      </c>
      <c r="C589" s="302">
        <v>0.25777832914461835</v>
      </c>
      <c r="D589" s="302">
        <v>0.51474762538626284</v>
      </c>
      <c r="E589" s="302">
        <f t="shared" si="259"/>
        <v>9.6097822546972775</v>
      </c>
      <c r="F589" s="303"/>
      <c r="G589" s="302">
        <v>13.083357246339608</v>
      </c>
      <c r="H589" s="302">
        <v>0.85262449429084608</v>
      </c>
      <c r="I589" s="302">
        <v>0.42807259051044511</v>
      </c>
      <c r="J589" s="302">
        <f t="shared" si="260"/>
        <v>14.364054331140897</v>
      </c>
      <c r="K589" s="303"/>
      <c r="L589" s="302">
        <v>17.889373982276403</v>
      </c>
      <c r="M589" s="302">
        <v>1.0665657018934831</v>
      </c>
      <c r="N589" s="302">
        <v>0.4748702443797081</v>
      </c>
      <c r="O589" s="302">
        <f t="shared" si="261"/>
        <v>19.430809928549596</v>
      </c>
    </row>
    <row r="590" spans="1:15" s="236" customFormat="1" x14ac:dyDescent="0.2">
      <c r="A590" s="237" t="str">
        <f>name!E$7</f>
        <v>Administrative and secretarial occupations</v>
      </c>
      <c r="B590" s="302">
        <v>8.2131688550454847</v>
      </c>
      <c r="C590" s="302">
        <v>1.0174589602593562</v>
      </c>
      <c r="D590" s="302">
        <v>0.47038271420258249</v>
      </c>
      <c r="E590" s="302">
        <f t="shared" si="259"/>
        <v>9.7010105295074229</v>
      </c>
      <c r="F590" s="303"/>
      <c r="G590" s="302">
        <v>9.2778282495342896</v>
      </c>
      <c r="H590" s="302">
        <v>2.8038355412231146</v>
      </c>
      <c r="I590" s="302">
        <v>0.44679068095114294</v>
      </c>
      <c r="J590" s="302">
        <f t="shared" si="260"/>
        <v>12.528454471708546</v>
      </c>
      <c r="K590" s="303"/>
      <c r="L590" s="302">
        <v>8.5920176479305788</v>
      </c>
      <c r="M590" s="302">
        <v>2.3501652590842852</v>
      </c>
      <c r="N590" s="302">
        <v>0.44323109485878798</v>
      </c>
      <c r="O590" s="302">
        <f t="shared" si="261"/>
        <v>11.385414001873652</v>
      </c>
    </row>
    <row r="591" spans="1:15" s="236" customFormat="1" x14ac:dyDescent="0.2">
      <c r="A591" s="237" t="str">
        <f>name!E$8</f>
        <v>Skilled trades occupations</v>
      </c>
      <c r="B591" s="302">
        <v>6.129073654540484</v>
      </c>
      <c r="C591" s="302">
        <v>0.20853709778460666</v>
      </c>
      <c r="D591" s="302">
        <v>3.7600908049696082</v>
      </c>
      <c r="E591" s="302">
        <f t="shared" si="259"/>
        <v>10.097701557294698</v>
      </c>
      <c r="F591" s="303"/>
      <c r="G591" s="302">
        <v>5.7930533369263308</v>
      </c>
      <c r="H591" s="302">
        <v>0.312369257692512</v>
      </c>
      <c r="I591" s="302">
        <v>1.7763205760772611</v>
      </c>
      <c r="J591" s="302">
        <f>SUM(G591:I591)</f>
        <v>7.8817431706961045</v>
      </c>
      <c r="K591" s="303"/>
      <c r="L591" s="302">
        <v>5.8912452203838193</v>
      </c>
      <c r="M591" s="302">
        <v>0.45322486414280877</v>
      </c>
      <c r="N591" s="302">
        <v>2.0484192554244474</v>
      </c>
      <c r="O591" s="302">
        <f t="shared" si="261"/>
        <v>8.3928893399510756</v>
      </c>
    </row>
    <row r="592" spans="1:15" s="236" customFormat="1" x14ac:dyDescent="0.2">
      <c r="A592" s="237" t="str">
        <f>name!E$9</f>
        <v>Caring, leisure and other service occupations</v>
      </c>
      <c r="B592" s="302">
        <v>5.6869368613319873</v>
      </c>
      <c r="C592" s="302">
        <v>1.1840938493721196</v>
      </c>
      <c r="D592" s="302">
        <v>0.40518539302708451</v>
      </c>
      <c r="E592" s="302">
        <f t="shared" si="259"/>
        <v>7.2762161037311905</v>
      </c>
      <c r="F592" s="303"/>
      <c r="G592" s="302">
        <v>7.3705440320393611</v>
      </c>
      <c r="H592" s="302">
        <v>2.891554778302206</v>
      </c>
      <c r="I592" s="302">
        <v>0.30516475052251119</v>
      </c>
      <c r="J592" s="302">
        <f t="shared" ref="J592:J595" si="262">SUM(G592:I592)</f>
        <v>10.567263560864077</v>
      </c>
      <c r="K592" s="303"/>
      <c r="L592" s="302">
        <v>11.114531712127995</v>
      </c>
      <c r="M592" s="302">
        <v>3.3397552756687849</v>
      </c>
      <c r="N592" s="302">
        <v>0.53600267393069068</v>
      </c>
      <c r="O592" s="302">
        <f t="shared" si="261"/>
        <v>14.990289661727472</v>
      </c>
    </row>
    <row r="593" spans="1:15" s="236" customFormat="1" x14ac:dyDescent="0.2">
      <c r="A593" s="237" t="str">
        <f>name!E$10</f>
        <v>Sales and customer service occupations</v>
      </c>
      <c r="B593" s="302">
        <v>1.9916541418623384</v>
      </c>
      <c r="C593" s="302">
        <v>0.20961537346862591</v>
      </c>
      <c r="D593" s="302">
        <v>0.55462338994382798</v>
      </c>
      <c r="E593" s="302">
        <f t="shared" si="259"/>
        <v>2.7558929052747922</v>
      </c>
      <c r="F593" s="303"/>
      <c r="G593" s="302">
        <v>2.5313791650771025</v>
      </c>
      <c r="H593" s="302">
        <v>0.57262251727194879</v>
      </c>
      <c r="I593" s="302">
        <v>0.3385938588490221</v>
      </c>
      <c r="J593" s="302">
        <f t="shared" si="262"/>
        <v>3.4425955411980733</v>
      </c>
      <c r="K593" s="303"/>
      <c r="L593" s="302">
        <v>4.1746991847735035</v>
      </c>
      <c r="M593" s="302">
        <v>0.876499554065306</v>
      </c>
      <c r="N593" s="302">
        <v>0.38998637180004081</v>
      </c>
      <c r="O593" s="302">
        <f t="shared" si="261"/>
        <v>5.4411851106388509</v>
      </c>
    </row>
    <row r="594" spans="1:15" s="236" customFormat="1" x14ac:dyDescent="0.2">
      <c r="A594" s="237" t="str">
        <f>name!E$11</f>
        <v>Process, plant and machine operatives</v>
      </c>
      <c r="B594" s="302">
        <v>38.239797747817747</v>
      </c>
      <c r="C594" s="302">
        <v>4.2668281741947682</v>
      </c>
      <c r="D594" s="302">
        <v>36.710575391460594</v>
      </c>
      <c r="E594" s="302">
        <f t="shared" si="259"/>
        <v>79.217201313473112</v>
      </c>
      <c r="F594" s="303"/>
      <c r="G594" s="302">
        <v>33.867953120384954</v>
      </c>
      <c r="H594" s="302">
        <v>10.551784272348705</v>
      </c>
      <c r="I594" s="302">
        <v>29.587012542622219</v>
      </c>
      <c r="J594" s="302">
        <f t="shared" si="262"/>
        <v>74.006749935355884</v>
      </c>
      <c r="K594" s="303"/>
      <c r="L594" s="302">
        <v>29.328014155965139</v>
      </c>
      <c r="M594" s="302">
        <v>15.062453747751924</v>
      </c>
      <c r="N594" s="302">
        <v>39.137866973573509</v>
      </c>
      <c r="O594" s="302">
        <f t="shared" si="261"/>
        <v>83.528334877290575</v>
      </c>
    </row>
    <row r="595" spans="1:15" s="236" customFormat="1" x14ac:dyDescent="0.2">
      <c r="A595" s="237" t="str">
        <f>name!E$12</f>
        <v>Elementary occupations</v>
      </c>
      <c r="B595" s="302">
        <v>3.8499504789109702</v>
      </c>
      <c r="C595" s="302">
        <v>1.0740016449293395</v>
      </c>
      <c r="D595" s="302">
        <v>1.0894255393923959</v>
      </c>
      <c r="E595" s="302">
        <f t="shared" si="259"/>
        <v>6.0133776632327054</v>
      </c>
      <c r="F595" s="303"/>
      <c r="G595" s="302">
        <v>3.4621461178489623</v>
      </c>
      <c r="H595" s="302">
        <v>2.1234479128809389</v>
      </c>
      <c r="I595" s="302">
        <v>0.58332444899704672</v>
      </c>
      <c r="J595" s="302">
        <f t="shared" si="262"/>
        <v>6.1689184797269476</v>
      </c>
      <c r="K595" s="303"/>
      <c r="L595" s="302">
        <v>2.7033856030083672</v>
      </c>
      <c r="M595" s="302">
        <v>1.927923852519843</v>
      </c>
      <c r="N595" s="302">
        <v>0.75249269109920192</v>
      </c>
      <c r="O595" s="302">
        <f t="shared" si="261"/>
        <v>5.3838021466274126</v>
      </c>
    </row>
    <row r="596" spans="1:15" s="236" customFormat="1" x14ac:dyDescent="0.2">
      <c r="A596" s="237"/>
      <c r="B596" s="302"/>
      <c r="C596" s="302"/>
      <c r="D596" s="302"/>
      <c r="E596" s="302"/>
      <c r="F596" s="303"/>
      <c r="G596" s="302"/>
      <c r="H596" s="302"/>
      <c r="I596" s="302"/>
      <c r="J596" s="302"/>
      <c r="K596" s="303"/>
      <c r="L596" s="302"/>
      <c r="M596" s="302"/>
      <c r="N596" s="302"/>
      <c r="O596" s="302"/>
    </row>
    <row r="597" spans="1:15" s="236" customFormat="1" x14ac:dyDescent="0.2">
      <c r="A597" s="244" t="s">
        <v>32</v>
      </c>
      <c r="B597" s="311">
        <f>SUM(B587:B595)</f>
        <v>86.54000000180001</v>
      </c>
      <c r="C597" s="311">
        <f t="shared" ref="C597:E597" si="263">SUM(C587:C595)</f>
        <v>8.6550000003252023</v>
      </c>
      <c r="D597" s="311">
        <f t="shared" si="263"/>
        <v>47.503000001703953</v>
      </c>
      <c r="E597" s="311">
        <f t="shared" si="263"/>
        <v>142.69800000382918</v>
      </c>
      <c r="F597" s="311"/>
      <c r="G597" s="311">
        <f t="shared" ref="G597:J597" si="264">SUM(G587:G595)</f>
        <v>95.499999998243624</v>
      </c>
      <c r="H597" s="311">
        <f t="shared" si="264"/>
        <v>21.842999999556493</v>
      </c>
      <c r="I597" s="311">
        <f t="shared" si="264"/>
        <v>36.605999999899787</v>
      </c>
      <c r="J597" s="311">
        <f t="shared" si="264"/>
        <v>153.94899999769993</v>
      </c>
      <c r="K597" s="311"/>
      <c r="L597" s="311">
        <f t="shared" ref="L597:O597" si="265">SUM(L587:L595)</f>
        <v>109.67499999832039</v>
      </c>
      <c r="M597" s="311">
        <f t="shared" si="265"/>
        <v>27.813999999364057</v>
      </c>
      <c r="N597" s="311">
        <f t="shared" si="265"/>
        <v>47.761000001140609</v>
      </c>
      <c r="O597" s="311">
        <f t="shared" si="265"/>
        <v>185.24999999882505</v>
      </c>
    </row>
    <row r="598" spans="1:15" s="236" customFormat="1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40"/>
    </row>
    <row r="599" spans="1:15" s="236" customFormat="1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40"/>
      <c r="O599" s="251" t="s">
        <v>35</v>
      </c>
    </row>
    <row r="600" spans="1:15" s="236" customFormat="1" x14ac:dyDescent="0.2">
      <c r="A600" s="242"/>
      <c r="B600" s="242"/>
      <c r="C600" s="242"/>
      <c r="D600" s="242"/>
      <c r="E600" s="242"/>
      <c r="F600" s="242"/>
      <c r="G600" s="242"/>
      <c r="H600" s="242"/>
      <c r="I600" s="242"/>
      <c r="J600" s="242"/>
      <c r="K600" s="242"/>
      <c r="L600" s="242"/>
      <c r="M600" s="242"/>
      <c r="N600" s="242"/>
      <c r="O600" s="242"/>
    </row>
    <row r="601" spans="1:15" s="236" customFormat="1" x14ac:dyDescent="0.2">
      <c r="A601" s="241" t="str">
        <f>name!A38</f>
        <v>Water transport</v>
      </c>
      <c r="B601" s="374">
        <f>$B$6</f>
        <v>2015</v>
      </c>
      <c r="C601" s="374"/>
      <c r="D601" s="374"/>
      <c r="E601" s="374"/>
      <c r="F601" s="263"/>
      <c r="G601" s="374">
        <f>$G$6</f>
        <v>2020</v>
      </c>
      <c r="H601" s="374"/>
      <c r="I601" s="374"/>
      <c r="J601" s="374"/>
      <c r="K601" s="263"/>
      <c r="L601" s="374">
        <f>$L$6</f>
        <v>2035</v>
      </c>
      <c r="M601" s="374"/>
      <c r="N601" s="374"/>
      <c r="O601" s="374"/>
    </row>
    <row r="602" spans="1:15" s="236" customFormat="1" x14ac:dyDescent="0.2">
      <c r="A602" s="254"/>
      <c r="B602" s="268" t="str">
        <f>$B$7</f>
        <v>FT</v>
      </c>
      <c r="C602" s="268" t="str">
        <f>$C$7</f>
        <v>PT</v>
      </c>
      <c r="D602" s="268" t="str">
        <f>$D$7</f>
        <v>SE</v>
      </c>
      <c r="E602" s="268" t="str">
        <f>$E$7</f>
        <v>Total</v>
      </c>
      <c r="F602" s="268"/>
      <c r="G602" s="268" t="str">
        <f>$G$7</f>
        <v>FT</v>
      </c>
      <c r="H602" s="268" t="str">
        <f>$H$7</f>
        <v>PT</v>
      </c>
      <c r="I602" s="268" t="str">
        <f>$I$7</f>
        <v>SE</v>
      </c>
      <c r="J602" s="268" t="str">
        <f>$J$7</f>
        <v>Total</v>
      </c>
      <c r="K602" s="268"/>
      <c r="L602" s="268" t="str">
        <f>$L$7</f>
        <v>FT</v>
      </c>
      <c r="M602" s="268" t="str">
        <f>$M$7</f>
        <v>PT</v>
      </c>
      <c r="N602" s="268" t="str">
        <f>$N$7</f>
        <v>SE</v>
      </c>
      <c r="O602" s="268" t="str">
        <f>$O$7</f>
        <v>Total</v>
      </c>
    </row>
    <row r="603" spans="1:15" s="236" customFormat="1" x14ac:dyDescent="0.2">
      <c r="A603" s="258"/>
      <c r="B603" s="239"/>
      <c r="C603" s="239"/>
      <c r="D603" s="239"/>
      <c r="E603" s="239"/>
      <c r="F603" s="239"/>
      <c r="G603" s="239"/>
      <c r="H603" s="239"/>
      <c r="I603" s="239"/>
      <c r="J603" s="239"/>
      <c r="K603" s="239"/>
      <c r="L603" s="239"/>
      <c r="M603" s="239"/>
      <c r="N603" s="239"/>
      <c r="O603" s="239"/>
    </row>
    <row r="604" spans="1:15" s="236" customFormat="1" x14ac:dyDescent="0.2">
      <c r="A604" s="237" t="str">
        <f>name!E$4</f>
        <v>Managers, directors and senior officials</v>
      </c>
      <c r="B604" s="302">
        <v>0.62142558609673437</v>
      </c>
      <c r="C604" s="302">
        <v>1.9384234268856763E-2</v>
      </c>
      <c r="D604" s="302">
        <v>4.0559995655187801E-2</v>
      </c>
      <c r="E604" s="302">
        <f>SUM(B604:D604)</f>
        <v>0.68136981602077884</v>
      </c>
      <c r="F604" s="303"/>
      <c r="G604" s="302">
        <v>0.37933738047076732</v>
      </c>
      <c r="H604" s="302">
        <v>6.666540298986641E-2</v>
      </c>
      <c r="I604" s="302">
        <v>0.3807515611821673</v>
      </c>
      <c r="J604" s="302">
        <f>SUM(G604:I604)</f>
        <v>0.82675434464280095</v>
      </c>
      <c r="K604" s="303"/>
      <c r="L604" s="302">
        <v>0.32654359325708537</v>
      </c>
      <c r="M604" s="302">
        <v>6.2518800807422545E-2</v>
      </c>
      <c r="N604" s="302">
        <v>0.29225995594551313</v>
      </c>
      <c r="O604" s="302">
        <f>SUM(L604:N604)</f>
        <v>0.68132235001002106</v>
      </c>
    </row>
    <row r="605" spans="1:15" s="236" customFormat="1" x14ac:dyDescent="0.2">
      <c r="A605" s="237" t="str">
        <f>name!E$5</f>
        <v>Professional occupations</v>
      </c>
      <c r="B605" s="302">
        <v>1.0971889306496969</v>
      </c>
      <c r="C605" s="302">
        <v>1.4663074719944791E-2</v>
      </c>
      <c r="D605" s="302">
        <v>3.6514968037954156E-2</v>
      </c>
      <c r="E605" s="302">
        <f t="shared" ref="E605:E612" si="266">SUM(B605:D605)</f>
        <v>1.1483669734075959</v>
      </c>
      <c r="F605" s="303"/>
      <c r="G605" s="302">
        <v>0.76579829048984716</v>
      </c>
      <c r="H605" s="302">
        <v>5.8757731904619151E-2</v>
      </c>
      <c r="I605" s="302">
        <v>0.23793738670025577</v>
      </c>
      <c r="J605" s="302">
        <f t="shared" ref="J605:J607" si="267">SUM(G605:I605)</f>
        <v>1.062493409094722</v>
      </c>
      <c r="K605" s="303"/>
      <c r="L605" s="302">
        <v>0.76161691294860678</v>
      </c>
      <c r="M605" s="302">
        <v>6.4652366807828404E-2</v>
      </c>
      <c r="N605" s="302">
        <v>0.17514263362117277</v>
      </c>
      <c r="O605" s="302">
        <f t="shared" ref="O605:O612" si="268">SUM(L605:N605)</f>
        <v>1.0014119133776078</v>
      </c>
    </row>
    <row r="606" spans="1:15" s="236" customFormat="1" x14ac:dyDescent="0.2">
      <c r="A606" s="237" t="str">
        <f>name!E$6</f>
        <v>Associate professional occupations</v>
      </c>
      <c r="B606" s="302">
        <v>1.375585394952106</v>
      </c>
      <c r="C606" s="302">
        <v>1.2409345912435499E-2</v>
      </c>
      <c r="D606" s="302">
        <v>5.325052758495695E-2</v>
      </c>
      <c r="E606" s="302">
        <f t="shared" si="266"/>
        <v>1.4412452684494983</v>
      </c>
      <c r="F606" s="303"/>
      <c r="G606" s="302">
        <v>0.84224636361132732</v>
      </c>
      <c r="H606" s="302">
        <v>4.1001295227109838E-2</v>
      </c>
      <c r="I606" s="302">
        <v>0.33679573028846826</v>
      </c>
      <c r="J606" s="302">
        <f t="shared" si="267"/>
        <v>1.2200433891269054</v>
      </c>
      <c r="K606" s="303"/>
      <c r="L606" s="302">
        <v>0.65834226938884433</v>
      </c>
      <c r="M606" s="302">
        <v>3.5627694866202222E-2</v>
      </c>
      <c r="N606" s="302">
        <v>0.25182123479350904</v>
      </c>
      <c r="O606" s="302">
        <f t="shared" si="268"/>
        <v>0.94579119904855558</v>
      </c>
    </row>
    <row r="607" spans="1:15" s="236" customFormat="1" x14ac:dyDescent="0.2">
      <c r="A607" s="237" t="str">
        <f>name!E$7</f>
        <v>Administrative and secretarial occupations</v>
      </c>
      <c r="B607" s="302">
        <v>1.1902208347575745</v>
      </c>
      <c r="C607" s="302">
        <v>3.9191486175245024E-2</v>
      </c>
      <c r="D607" s="302">
        <v>2.2546529263029448E-2</v>
      </c>
      <c r="E607" s="302">
        <f t="shared" si="266"/>
        <v>1.2519588501958487</v>
      </c>
      <c r="F607" s="303"/>
      <c r="G607" s="302">
        <v>0.60724515979904636</v>
      </c>
      <c r="H607" s="302">
        <v>0.11437730614779915</v>
      </c>
      <c r="I607" s="302">
        <v>5.1235289870982678E-2</v>
      </c>
      <c r="J607" s="302">
        <f t="shared" si="267"/>
        <v>0.77285775581782823</v>
      </c>
      <c r="K607" s="303"/>
      <c r="L607" s="302">
        <v>0.44711752677416844</v>
      </c>
      <c r="M607" s="302">
        <v>6.4015459432464589E-2</v>
      </c>
      <c r="N607" s="302">
        <v>4.257735821288585E-2</v>
      </c>
      <c r="O607" s="302">
        <f t="shared" si="268"/>
        <v>0.55371034441951894</v>
      </c>
    </row>
    <row r="608" spans="1:15" s="236" customFormat="1" x14ac:dyDescent="0.2">
      <c r="A608" s="237" t="str">
        <f>name!E$8</f>
        <v>Skilled trades occupations</v>
      </c>
      <c r="B608" s="302">
        <v>0.10096486193664192</v>
      </c>
      <c r="C608" s="302">
        <v>5.7095073141459115E-3</v>
      </c>
      <c r="D608" s="302">
        <v>1.4826904423658237E-2</v>
      </c>
      <c r="E608" s="302">
        <f t="shared" si="266"/>
        <v>0.12150127367444606</v>
      </c>
      <c r="F608" s="303"/>
      <c r="G608" s="302">
        <v>4.4831104322083988E-2</v>
      </c>
      <c r="H608" s="302">
        <v>9.4158620791750993E-3</v>
      </c>
      <c r="I608" s="302">
        <v>5.9266437170532441E-2</v>
      </c>
      <c r="J608" s="302">
        <f>SUM(G608:I608)</f>
        <v>0.11351340357179153</v>
      </c>
      <c r="K608" s="303"/>
      <c r="L608" s="302">
        <v>2.8549639779366091E-2</v>
      </c>
      <c r="M608" s="302">
        <v>6.7941941020025912E-3</v>
      </c>
      <c r="N608" s="302">
        <v>2.543158580085245E-2</v>
      </c>
      <c r="O608" s="302">
        <f t="shared" si="268"/>
        <v>6.0775419682221138E-2</v>
      </c>
    </row>
    <row r="609" spans="1:15" s="236" customFormat="1" x14ac:dyDescent="0.2">
      <c r="A609" s="237" t="str">
        <f>name!E$9</f>
        <v>Caring, leisure and other service occupations</v>
      </c>
      <c r="B609" s="302">
        <v>0.39267864272199016</v>
      </c>
      <c r="C609" s="302">
        <v>2.0842623009464847E-2</v>
      </c>
      <c r="D609" s="302">
        <v>1.0153557037330618E-2</v>
      </c>
      <c r="E609" s="302">
        <f t="shared" si="266"/>
        <v>0.4236748227687856</v>
      </c>
      <c r="F609" s="303"/>
      <c r="G609" s="302">
        <v>0.16626925713333071</v>
      </c>
      <c r="H609" s="302">
        <v>5.117245714335588E-2</v>
      </c>
      <c r="I609" s="302">
        <v>1.969405175575634E-2</v>
      </c>
      <c r="J609" s="302">
        <f t="shared" ref="J609:J612" si="269">SUM(G609:I609)</f>
        <v>0.23713576603244294</v>
      </c>
      <c r="K609" s="303"/>
      <c r="L609" s="302">
        <v>0.13297974648766586</v>
      </c>
      <c r="M609" s="302">
        <v>3.7149032119828757E-2</v>
      </c>
      <c r="N609" s="302">
        <v>2.2413323522520297E-2</v>
      </c>
      <c r="O609" s="302">
        <f t="shared" si="268"/>
        <v>0.19254210213001491</v>
      </c>
    </row>
    <row r="610" spans="1:15" s="236" customFormat="1" x14ac:dyDescent="0.2">
      <c r="A610" s="237" t="str">
        <f>name!E$10</f>
        <v>Sales and customer service occupations</v>
      </c>
      <c r="B610" s="302">
        <v>0.30825118383973688</v>
      </c>
      <c r="C610" s="302">
        <v>8.6106560327059486E-3</v>
      </c>
      <c r="D610" s="302">
        <v>6.0549938991116756E-3</v>
      </c>
      <c r="E610" s="302">
        <f t="shared" si="266"/>
        <v>0.3229168337715545</v>
      </c>
      <c r="F610" s="303"/>
      <c r="G610" s="302">
        <v>0.15171118910917478</v>
      </c>
      <c r="H610" s="302">
        <v>2.6079283997471201E-2</v>
      </c>
      <c r="I610" s="302">
        <v>2.8050103146899055E-2</v>
      </c>
      <c r="J610" s="302">
        <f t="shared" si="269"/>
        <v>0.20584057625354502</v>
      </c>
      <c r="K610" s="303"/>
      <c r="L610" s="302">
        <v>0.13291186006867461</v>
      </c>
      <c r="M610" s="302">
        <v>2.340205030571425E-2</v>
      </c>
      <c r="N610" s="302">
        <v>2.3002517560112502E-2</v>
      </c>
      <c r="O610" s="302">
        <f t="shared" si="268"/>
        <v>0.17931642793450137</v>
      </c>
    </row>
    <row r="611" spans="1:15" s="236" customFormat="1" x14ac:dyDescent="0.2">
      <c r="A611" s="237" t="str">
        <f>name!E$11</f>
        <v>Process, plant and machine operatives</v>
      </c>
      <c r="B611" s="302">
        <v>0.15034877708035399</v>
      </c>
      <c r="C611" s="302">
        <v>7.2897379107881785E-3</v>
      </c>
      <c r="D611" s="302">
        <v>1.2860624629100818E-2</v>
      </c>
      <c r="E611" s="302">
        <f t="shared" si="266"/>
        <v>0.17049913962024299</v>
      </c>
      <c r="F611" s="303"/>
      <c r="G611" s="302">
        <v>6.7745455143766162E-2</v>
      </c>
      <c r="H611" s="302">
        <v>1.5882089899883739E-2</v>
      </c>
      <c r="I611" s="302">
        <v>6.144049317400551E-2</v>
      </c>
      <c r="J611" s="302">
        <f t="shared" si="269"/>
        <v>0.1450680382176554</v>
      </c>
      <c r="K611" s="303"/>
      <c r="L611" s="302">
        <v>1.1929293209401629E-2</v>
      </c>
      <c r="M611" s="302">
        <v>1.6004671580168644E-2</v>
      </c>
      <c r="N611" s="302">
        <v>2.8883317316961168E-2</v>
      </c>
      <c r="O611" s="302">
        <f t="shared" si="268"/>
        <v>5.681728210653144E-2</v>
      </c>
    </row>
    <row r="612" spans="1:15" s="236" customFormat="1" x14ac:dyDescent="0.2">
      <c r="A612" s="237" t="str">
        <f>name!E$12</f>
        <v>Elementary occupations</v>
      </c>
      <c r="B612" s="302">
        <v>0.33333578799287705</v>
      </c>
      <c r="C612" s="302">
        <v>8.8993346589432386E-3</v>
      </c>
      <c r="D612" s="302">
        <v>1.1231899474491623E-2</v>
      </c>
      <c r="E612" s="302">
        <f t="shared" si="266"/>
        <v>0.35346702212631187</v>
      </c>
      <c r="F612" s="303"/>
      <c r="G612" s="302">
        <v>0.145815799897513</v>
      </c>
      <c r="H612" s="302">
        <v>1.8648570606779179E-2</v>
      </c>
      <c r="I612" s="302">
        <v>6.182894672074845E-2</v>
      </c>
      <c r="J612" s="302">
        <f t="shared" si="269"/>
        <v>0.22629331722504065</v>
      </c>
      <c r="K612" s="303"/>
      <c r="L612" s="302">
        <v>9.0009158078803067E-2</v>
      </c>
      <c r="M612" s="302">
        <v>9.8357299756197912E-3</v>
      </c>
      <c r="N612" s="302">
        <v>3.8468073246080176E-2</v>
      </c>
      <c r="O612" s="302">
        <f t="shared" si="268"/>
        <v>0.13831296130050302</v>
      </c>
    </row>
    <row r="613" spans="1:15" s="236" customFormat="1" x14ac:dyDescent="0.2">
      <c r="A613" s="237"/>
      <c r="B613" s="302"/>
      <c r="C613" s="302"/>
      <c r="D613" s="302"/>
      <c r="E613" s="302"/>
      <c r="F613" s="303"/>
      <c r="G613" s="302"/>
      <c r="H613" s="302"/>
      <c r="I613" s="302"/>
      <c r="J613" s="302"/>
      <c r="K613" s="303"/>
      <c r="L613" s="302"/>
      <c r="M613" s="302"/>
      <c r="N613" s="302"/>
      <c r="O613" s="302"/>
    </row>
    <row r="614" spans="1:15" s="236" customFormat="1" x14ac:dyDescent="0.2">
      <c r="A614" s="244" t="s">
        <v>32</v>
      </c>
      <c r="B614" s="311">
        <f>SUM(B604:B612)</f>
        <v>5.5700000000277123</v>
      </c>
      <c r="C614" s="311">
        <f t="shared" ref="C614:E614" si="270">SUM(C604:C612)</f>
        <v>0.13700000000253021</v>
      </c>
      <c r="D614" s="311">
        <f t="shared" si="270"/>
        <v>0.20800000000482133</v>
      </c>
      <c r="E614" s="311">
        <f t="shared" si="270"/>
        <v>5.9150000000350627</v>
      </c>
      <c r="F614" s="311"/>
      <c r="G614" s="311">
        <f t="shared" ref="G614:J614" si="271">SUM(G604:G612)</f>
        <v>3.170999999976857</v>
      </c>
      <c r="H614" s="311">
        <f t="shared" si="271"/>
        <v>0.40199999999605962</v>
      </c>
      <c r="I614" s="311">
        <f t="shared" si="271"/>
        <v>1.2370000000098162</v>
      </c>
      <c r="J614" s="311">
        <f t="shared" si="271"/>
        <v>4.8099999999827316</v>
      </c>
      <c r="K614" s="311"/>
      <c r="L614" s="311">
        <f t="shared" ref="L614:O614" si="272">SUM(L604:L612)</f>
        <v>2.589999999992616</v>
      </c>
      <c r="M614" s="311">
        <f t="shared" si="272"/>
        <v>0.31999999999725176</v>
      </c>
      <c r="N614" s="311">
        <f t="shared" si="272"/>
        <v>0.90000000001960745</v>
      </c>
      <c r="O614" s="311">
        <f t="shared" si="272"/>
        <v>3.8100000000094756</v>
      </c>
    </row>
    <row r="615" spans="1:15" s="236" customFormat="1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40"/>
    </row>
    <row r="616" spans="1:15" s="236" customFormat="1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40"/>
      <c r="O616" s="251" t="s">
        <v>35</v>
      </c>
    </row>
    <row r="617" spans="1:15" s="236" customFormat="1" x14ac:dyDescent="0.2">
      <c r="A617" s="242"/>
      <c r="B617" s="242"/>
      <c r="C617" s="242"/>
      <c r="D617" s="242"/>
      <c r="E617" s="242"/>
      <c r="F617" s="242"/>
      <c r="G617" s="242"/>
      <c r="H617" s="242"/>
      <c r="I617" s="242"/>
      <c r="J617" s="242"/>
      <c r="K617" s="242"/>
      <c r="L617" s="242"/>
      <c r="M617" s="242"/>
      <c r="N617" s="242"/>
      <c r="O617" s="242"/>
    </row>
    <row r="618" spans="1:15" s="236" customFormat="1" x14ac:dyDescent="0.2">
      <c r="A618" s="241" t="str">
        <f>name!A39</f>
        <v>Air transport</v>
      </c>
      <c r="B618" s="374">
        <f>$B$6</f>
        <v>2015</v>
      </c>
      <c r="C618" s="374"/>
      <c r="D618" s="374"/>
      <c r="E618" s="374"/>
      <c r="F618" s="263"/>
      <c r="G618" s="374">
        <f>$G$6</f>
        <v>2020</v>
      </c>
      <c r="H618" s="374"/>
      <c r="I618" s="374"/>
      <c r="J618" s="374"/>
      <c r="K618" s="263"/>
      <c r="L618" s="374">
        <f>$L$6</f>
        <v>2035</v>
      </c>
      <c r="M618" s="374"/>
      <c r="N618" s="374"/>
      <c r="O618" s="374"/>
    </row>
    <row r="619" spans="1:15" s="236" customFormat="1" x14ac:dyDescent="0.2">
      <c r="A619" s="254"/>
      <c r="B619" s="268" t="str">
        <f>$B$7</f>
        <v>FT</v>
      </c>
      <c r="C619" s="268" t="str">
        <f>$C$7</f>
        <v>PT</v>
      </c>
      <c r="D619" s="268" t="str">
        <f>$D$7</f>
        <v>SE</v>
      </c>
      <c r="E619" s="268" t="str">
        <f>$E$7</f>
        <v>Total</v>
      </c>
      <c r="F619" s="268"/>
      <c r="G619" s="268" t="str">
        <f>$G$7</f>
        <v>FT</v>
      </c>
      <c r="H619" s="268" t="str">
        <f>$H$7</f>
        <v>PT</v>
      </c>
      <c r="I619" s="268" t="str">
        <f>$I$7</f>
        <v>SE</v>
      </c>
      <c r="J619" s="268" t="str">
        <f>$J$7</f>
        <v>Total</v>
      </c>
      <c r="K619" s="268"/>
      <c r="L619" s="268" t="str">
        <f>$L$7</f>
        <v>FT</v>
      </c>
      <c r="M619" s="268" t="str">
        <f>$M$7</f>
        <v>PT</v>
      </c>
      <c r="N619" s="268" t="str">
        <f>$N$7</f>
        <v>SE</v>
      </c>
      <c r="O619" s="268" t="str">
        <f>$O$7</f>
        <v>Total</v>
      </c>
    </row>
    <row r="620" spans="1:15" s="236" customFormat="1" x14ac:dyDescent="0.2">
      <c r="A620" s="258"/>
      <c r="B620" s="239"/>
      <c r="C620" s="239"/>
      <c r="D620" s="239"/>
      <c r="E620" s="239"/>
      <c r="F620" s="239"/>
      <c r="G620" s="239"/>
      <c r="H620" s="239"/>
      <c r="I620" s="239"/>
      <c r="J620" s="239"/>
      <c r="K620" s="239"/>
      <c r="L620" s="239"/>
      <c r="M620" s="239"/>
      <c r="N620" s="239"/>
      <c r="O620" s="239"/>
    </row>
    <row r="621" spans="1:15" s="236" customFormat="1" x14ac:dyDescent="0.2">
      <c r="A621" s="237" t="str">
        <f>name!E$4</f>
        <v>Managers, directors and senior officials</v>
      </c>
      <c r="B621" s="302">
        <v>1.7967319821550973</v>
      </c>
      <c r="C621" s="302">
        <v>0.34362830406986067</v>
      </c>
      <c r="D621" s="302">
        <v>3.2030495021682821E-2</v>
      </c>
      <c r="E621" s="302">
        <f>SUM(B621:D621)</f>
        <v>2.1723907812466408</v>
      </c>
      <c r="F621" s="303"/>
      <c r="G621" s="302">
        <v>2.0777009206533501</v>
      </c>
      <c r="H621" s="302">
        <v>0.30311090130833734</v>
      </c>
      <c r="I621" s="302">
        <v>0.27748539726104049</v>
      </c>
      <c r="J621" s="302">
        <f>SUM(G621:I621)</f>
        <v>2.6582972192227281</v>
      </c>
      <c r="K621" s="303"/>
      <c r="L621" s="302">
        <v>1.816365823481243</v>
      </c>
      <c r="M621" s="302">
        <v>0.31359220320788567</v>
      </c>
      <c r="N621" s="302">
        <v>0.2481350477495563</v>
      </c>
      <c r="O621" s="302">
        <f>SUM(L621:N621)</f>
        <v>2.3780930744386848</v>
      </c>
    </row>
    <row r="622" spans="1:15" s="236" customFormat="1" x14ac:dyDescent="0.2">
      <c r="A622" s="237" t="str">
        <f>name!E$5</f>
        <v>Professional occupations</v>
      </c>
      <c r="B622" s="302">
        <v>3.876239504368586</v>
      </c>
      <c r="C622" s="302">
        <v>0.7753186677585675</v>
      </c>
      <c r="D622" s="302">
        <v>3.3958628674684861E-2</v>
      </c>
      <c r="E622" s="302">
        <f t="shared" ref="E622:E629" si="273">SUM(B622:D622)</f>
        <v>4.685516800801838</v>
      </c>
      <c r="F622" s="303"/>
      <c r="G622" s="302">
        <v>5.0479863754340011</v>
      </c>
      <c r="H622" s="302">
        <v>0.86351364413733323</v>
      </c>
      <c r="I622" s="302">
        <v>0.28053912747326648</v>
      </c>
      <c r="J622" s="302">
        <f t="shared" ref="J622:J624" si="274">SUM(G622:I622)</f>
        <v>6.1920391470446008</v>
      </c>
      <c r="K622" s="303"/>
      <c r="L622" s="302">
        <v>5.0429732523841677</v>
      </c>
      <c r="M622" s="302">
        <v>1.0251908853665073</v>
      </c>
      <c r="N622" s="302">
        <v>0.21254910906829758</v>
      </c>
      <c r="O622" s="302">
        <f t="shared" ref="O622:O629" si="275">SUM(L622:N622)</f>
        <v>6.2807132468189728</v>
      </c>
    </row>
    <row r="623" spans="1:15" s="236" customFormat="1" x14ac:dyDescent="0.2">
      <c r="A623" s="237" t="str">
        <f>name!E$6</f>
        <v>Associate professional occupations</v>
      </c>
      <c r="B623" s="302">
        <v>5.9307709702206672</v>
      </c>
      <c r="C623" s="302">
        <v>2.6633432948288456</v>
      </c>
      <c r="D623" s="302">
        <v>2.6978109441180443E-2</v>
      </c>
      <c r="E623" s="302">
        <f t="shared" si="273"/>
        <v>8.6210923744906935</v>
      </c>
      <c r="F623" s="303"/>
      <c r="G623" s="302">
        <v>6.8500929408042746</v>
      </c>
      <c r="H623" s="302">
        <v>2.160184066036714</v>
      </c>
      <c r="I623" s="302">
        <v>0.17593282779564867</v>
      </c>
      <c r="J623" s="302">
        <f t="shared" si="274"/>
        <v>9.186209834636637</v>
      </c>
      <c r="K623" s="303"/>
      <c r="L623" s="302">
        <v>5.4774463168370096</v>
      </c>
      <c r="M623" s="302">
        <v>2.055447599959717</v>
      </c>
      <c r="N623" s="302">
        <v>0.13029783824112937</v>
      </c>
      <c r="O623" s="302">
        <f t="shared" si="275"/>
        <v>7.6631917550378565</v>
      </c>
    </row>
    <row r="624" spans="1:15" s="236" customFormat="1" x14ac:dyDescent="0.2">
      <c r="A624" s="237" t="str">
        <f>name!E$7</f>
        <v>Administrative and secretarial occupations</v>
      </c>
      <c r="B624" s="302">
        <v>1.7097587732350874</v>
      </c>
      <c r="C624" s="302">
        <v>1.2864979772614908</v>
      </c>
      <c r="D624" s="302">
        <v>6.3402593773452445E-3</v>
      </c>
      <c r="E624" s="302">
        <f t="shared" si="273"/>
        <v>3.0025970098739236</v>
      </c>
      <c r="F624" s="303"/>
      <c r="G624" s="302">
        <v>1.7960212237657369</v>
      </c>
      <c r="H624" s="302">
        <v>1.1606424730697131</v>
      </c>
      <c r="I624" s="302">
        <v>2.5011394308251073E-2</v>
      </c>
      <c r="J624" s="302">
        <f t="shared" si="274"/>
        <v>2.9816750911437011</v>
      </c>
      <c r="K624" s="303"/>
      <c r="L624" s="302">
        <v>1.4899245873855267</v>
      </c>
      <c r="M624" s="302">
        <v>0.88156912347484195</v>
      </c>
      <c r="N624" s="302">
        <v>2.3662033934313816E-2</v>
      </c>
      <c r="O624" s="302">
        <f t="shared" si="275"/>
        <v>2.3951557447946827</v>
      </c>
    </row>
    <row r="625" spans="1:15" s="236" customFormat="1" x14ac:dyDescent="0.2">
      <c r="A625" s="237" t="str">
        <f>name!E$8</f>
        <v>Skilled trades occupations</v>
      </c>
      <c r="B625" s="302">
        <v>1.4433387529864408</v>
      </c>
      <c r="C625" s="302">
        <v>0.77596866366139194</v>
      </c>
      <c r="D625" s="302">
        <v>9.5699082998179683E-2</v>
      </c>
      <c r="E625" s="302">
        <f t="shared" si="273"/>
        <v>2.3150064996460125</v>
      </c>
      <c r="F625" s="303"/>
      <c r="G625" s="302">
        <v>1.1699878085939222</v>
      </c>
      <c r="H625" s="302">
        <v>0.2552408392365958</v>
      </c>
      <c r="I625" s="302">
        <v>0.7327273631936746</v>
      </c>
      <c r="J625" s="302">
        <f>SUM(G625:I625)</f>
        <v>2.1579560110241927</v>
      </c>
      <c r="K625" s="303"/>
      <c r="L625" s="302">
        <v>0.75437378996727766</v>
      </c>
      <c r="M625" s="302">
        <v>0.26108976659626576</v>
      </c>
      <c r="N625" s="302">
        <v>0.64420489108581946</v>
      </c>
      <c r="O625" s="302">
        <f t="shared" si="275"/>
        <v>1.6596684476493628</v>
      </c>
    </row>
    <row r="626" spans="1:15" s="236" customFormat="1" x14ac:dyDescent="0.2">
      <c r="A626" s="237" t="str">
        <f>name!E$9</f>
        <v>Caring, leisure and other service occupations</v>
      </c>
      <c r="B626" s="302">
        <v>5.4296652625819384</v>
      </c>
      <c r="C626" s="302">
        <v>7.1012021981159243</v>
      </c>
      <c r="D626" s="302">
        <v>1.3537351282135467E-2</v>
      </c>
      <c r="E626" s="302">
        <f t="shared" si="273"/>
        <v>12.544404811979998</v>
      </c>
      <c r="F626" s="303"/>
      <c r="G626" s="302">
        <v>4.3088040154218881</v>
      </c>
      <c r="H626" s="302">
        <v>5.3045323318460618</v>
      </c>
      <c r="I626" s="302">
        <v>4.5725217750853628E-2</v>
      </c>
      <c r="J626" s="302">
        <f t="shared" ref="J626:J629" si="276">SUM(G626:I626)</f>
        <v>9.6590615650188028</v>
      </c>
      <c r="K626" s="303"/>
      <c r="L626" s="302">
        <v>3.407794549298143</v>
      </c>
      <c r="M626" s="302">
        <v>4.8442234720498289</v>
      </c>
      <c r="N626" s="302">
        <v>4.6215008502637586E-2</v>
      </c>
      <c r="O626" s="302">
        <f t="shared" si="275"/>
        <v>8.2982330298506088</v>
      </c>
    </row>
    <row r="627" spans="1:15" s="236" customFormat="1" x14ac:dyDescent="0.2">
      <c r="A627" s="237" t="str">
        <f>name!E$10</f>
        <v>Sales and customer service occupations</v>
      </c>
      <c r="B627" s="302">
        <v>0.63055182638888052</v>
      </c>
      <c r="C627" s="302">
        <v>1.1046358224753503</v>
      </c>
      <c r="D627" s="302">
        <v>1.0799139656580095E-2</v>
      </c>
      <c r="E627" s="302">
        <f t="shared" si="273"/>
        <v>1.7459867885208109</v>
      </c>
      <c r="F627" s="303"/>
      <c r="G627" s="302">
        <v>0.61805619515604393</v>
      </c>
      <c r="H627" s="302">
        <v>0.95592563294634081</v>
      </c>
      <c r="I627" s="302">
        <v>6.1794194707643559E-2</v>
      </c>
      <c r="J627" s="302">
        <f t="shared" si="276"/>
        <v>1.6357760228100282</v>
      </c>
      <c r="K627" s="303"/>
      <c r="L627" s="302">
        <v>0.57771373409431659</v>
      </c>
      <c r="M627" s="302">
        <v>1.1749724043116834</v>
      </c>
      <c r="N627" s="302">
        <v>4.4804259404472982E-2</v>
      </c>
      <c r="O627" s="302">
        <f t="shared" si="275"/>
        <v>1.797490397810473</v>
      </c>
    </row>
    <row r="628" spans="1:15" s="236" customFormat="1" x14ac:dyDescent="0.2">
      <c r="A628" s="237" t="str">
        <f>name!E$11</f>
        <v>Process, plant and machine operatives</v>
      </c>
      <c r="B628" s="302">
        <v>1.8009417911970373</v>
      </c>
      <c r="C628" s="302">
        <v>0.92073911085882199</v>
      </c>
      <c r="D628" s="302">
        <v>1.5288788804565587E-2</v>
      </c>
      <c r="E628" s="302">
        <f t="shared" si="273"/>
        <v>2.7369696908604251</v>
      </c>
      <c r="F628" s="303"/>
      <c r="G628" s="302">
        <v>1.5176896160490916</v>
      </c>
      <c r="H628" s="302">
        <v>0.5300535272651038</v>
      </c>
      <c r="I628" s="302">
        <v>0.17831297727193623</v>
      </c>
      <c r="J628" s="302">
        <f t="shared" si="276"/>
        <v>2.2260561205861316</v>
      </c>
      <c r="K628" s="303"/>
      <c r="L628" s="302">
        <v>1.115852842273533</v>
      </c>
      <c r="M628" s="302">
        <v>0.55390196598509511</v>
      </c>
      <c r="N628" s="302">
        <v>0.18705627628709959</v>
      </c>
      <c r="O628" s="302">
        <f t="shared" si="275"/>
        <v>1.8568110845457277</v>
      </c>
    </row>
    <row r="629" spans="1:15" s="236" customFormat="1" x14ac:dyDescent="0.2">
      <c r="A629" s="237" t="str">
        <f>name!E$12</f>
        <v>Elementary occupations</v>
      </c>
      <c r="B629" s="302">
        <v>0.77000113701476214</v>
      </c>
      <c r="C629" s="302">
        <v>0.84966596128983418</v>
      </c>
      <c r="D629" s="302">
        <v>1.8368144747604058E-2</v>
      </c>
      <c r="E629" s="302">
        <f t="shared" si="273"/>
        <v>1.6380352430522003</v>
      </c>
      <c r="F629" s="303"/>
      <c r="G629" s="302">
        <v>0.64266090395069519</v>
      </c>
      <c r="H629" s="302">
        <v>0.45579658409439883</v>
      </c>
      <c r="I629" s="302">
        <v>8.8471500205661607E-2</v>
      </c>
      <c r="J629" s="302">
        <f t="shared" si="276"/>
        <v>1.1869289882507554</v>
      </c>
      <c r="K629" s="303"/>
      <c r="L629" s="302">
        <v>0.39255510423801016</v>
      </c>
      <c r="M629" s="302">
        <v>0.32201257892587193</v>
      </c>
      <c r="N629" s="302">
        <v>9.3075535681169067E-2</v>
      </c>
      <c r="O629" s="302">
        <f t="shared" si="275"/>
        <v>0.80764321884505119</v>
      </c>
    </row>
    <row r="630" spans="1:15" s="236" customFormat="1" x14ac:dyDescent="0.2">
      <c r="A630" s="237"/>
      <c r="B630" s="302"/>
      <c r="C630" s="302"/>
      <c r="D630" s="302"/>
      <c r="E630" s="302"/>
      <c r="F630" s="303"/>
      <c r="G630" s="302"/>
      <c r="H630" s="302"/>
      <c r="I630" s="302"/>
      <c r="J630" s="302"/>
      <c r="K630" s="303"/>
      <c r="L630" s="302"/>
      <c r="M630" s="302"/>
      <c r="N630" s="302"/>
      <c r="O630" s="302"/>
    </row>
    <row r="631" spans="1:15" s="236" customFormat="1" x14ac:dyDescent="0.2">
      <c r="A631" s="244" t="s">
        <v>32</v>
      </c>
      <c r="B631" s="311">
        <f>SUM(B621:B629)</f>
        <v>23.388000000148494</v>
      </c>
      <c r="C631" s="311">
        <f t="shared" ref="C631:E631" si="277">SUM(C621:C629)</f>
        <v>15.821000000320087</v>
      </c>
      <c r="D631" s="311">
        <f t="shared" si="277"/>
        <v>0.25300000000395823</v>
      </c>
      <c r="E631" s="311">
        <f t="shared" si="277"/>
        <v>39.46200000047255</v>
      </c>
      <c r="F631" s="311"/>
      <c r="G631" s="311">
        <f t="shared" ref="G631:J631" si="278">SUM(G621:G629)</f>
        <v>24.028999999829001</v>
      </c>
      <c r="H631" s="311">
        <f t="shared" si="278"/>
        <v>11.988999999940599</v>
      </c>
      <c r="I631" s="311">
        <f t="shared" si="278"/>
        <v>1.8659999999679762</v>
      </c>
      <c r="J631" s="311">
        <f t="shared" si="278"/>
        <v>37.883999999737568</v>
      </c>
      <c r="K631" s="311"/>
      <c r="L631" s="311">
        <f t="shared" ref="L631:O631" si="279">SUM(L621:L629)</f>
        <v>20.074999999959228</v>
      </c>
      <c r="M631" s="311">
        <f t="shared" si="279"/>
        <v>11.431999999877695</v>
      </c>
      <c r="N631" s="311">
        <f t="shared" si="279"/>
        <v>1.6299999999544956</v>
      </c>
      <c r="O631" s="311">
        <f t="shared" si="279"/>
        <v>33.136999999791421</v>
      </c>
    </row>
    <row r="632" spans="1:15" s="236" customFormat="1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40"/>
    </row>
    <row r="633" spans="1:15" s="236" customFormat="1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40"/>
      <c r="O633" s="251" t="s">
        <v>35</v>
      </c>
    </row>
    <row r="634" spans="1:15" s="236" customFormat="1" x14ac:dyDescent="0.2">
      <c r="A634" s="242"/>
      <c r="B634" s="242"/>
      <c r="C634" s="242"/>
      <c r="D634" s="242"/>
      <c r="E634" s="242"/>
      <c r="F634" s="242"/>
      <c r="G634" s="242"/>
      <c r="H634" s="242"/>
      <c r="I634" s="242"/>
      <c r="J634" s="242"/>
      <c r="K634" s="242"/>
      <c r="L634" s="242"/>
      <c r="M634" s="242"/>
      <c r="N634" s="242"/>
      <c r="O634" s="242"/>
    </row>
    <row r="635" spans="1:15" s="236" customFormat="1" x14ac:dyDescent="0.2">
      <c r="A635" s="241" t="str">
        <f>name!A40</f>
        <v>Warehousing, etc</v>
      </c>
      <c r="B635" s="374">
        <f>$B$6</f>
        <v>2015</v>
      </c>
      <c r="C635" s="374"/>
      <c r="D635" s="374"/>
      <c r="E635" s="374"/>
      <c r="F635" s="263"/>
      <c r="G635" s="374">
        <f>$G$6</f>
        <v>2020</v>
      </c>
      <c r="H635" s="374"/>
      <c r="I635" s="374"/>
      <c r="J635" s="374"/>
      <c r="K635" s="263"/>
      <c r="L635" s="374">
        <f>$L$6</f>
        <v>2035</v>
      </c>
      <c r="M635" s="374"/>
      <c r="N635" s="374"/>
      <c r="O635" s="374"/>
    </row>
    <row r="636" spans="1:15" s="236" customFormat="1" x14ac:dyDescent="0.2">
      <c r="A636" s="254"/>
      <c r="B636" s="268" t="str">
        <f>$B$7</f>
        <v>FT</v>
      </c>
      <c r="C636" s="268" t="str">
        <f>$C$7</f>
        <v>PT</v>
      </c>
      <c r="D636" s="268" t="str">
        <f>$D$7</f>
        <v>SE</v>
      </c>
      <c r="E636" s="268" t="str">
        <f>$E$7</f>
        <v>Total</v>
      </c>
      <c r="F636" s="268"/>
      <c r="G636" s="268" t="str">
        <f>$G$7</f>
        <v>FT</v>
      </c>
      <c r="H636" s="268" t="str">
        <f>$H$7</f>
        <v>PT</v>
      </c>
      <c r="I636" s="268" t="str">
        <f>$I$7</f>
        <v>SE</v>
      </c>
      <c r="J636" s="268" t="str">
        <f>$J$7</f>
        <v>Total</v>
      </c>
      <c r="K636" s="268"/>
      <c r="L636" s="268" t="str">
        <f>$L$7</f>
        <v>FT</v>
      </c>
      <c r="M636" s="268" t="str">
        <f>$M$7</f>
        <v>PT</v>
      </c>
      <c r="N636" s="268" t="str">
        <f>$N$7</f>
        <v>SE</v>
      </c>
      <c r="O636" s="268" t="str">
        <f>$O$7</f>
        <v>Total</v>
      </c>
    </row>
    <row r="637" spans="1:15" s="236" customFormat="1" x14ac:dyDescent="0.2">
      <c r="A637" s="258"/>
      <c r="B637" s="239"/>
      <c r="C637" s="239"/>
      <c r="D637" s="239"/>
      <c r="E637" s="239"/>
      <c r="F637" s="239"/>
      <c r="G637" s="239"/>
      <c r="H637" s="239"/>
      <c r="I637" s="239"/>
      <c r="J637" s="239"/>
      <c r="K637" s="239"/>
      <c r="L637" s="239"/>
      <c r="M637" s="239"/>
      <c r="N637" s="239"/>
      <c r="O637" s="239"/>
    </row>
    <row r="638" spans="1:15" s="236" customFormat="1" x14ac:dyDescent="0.2">
      <c r="A638" s="237" t="str">
        <f>name!E$4</f>
        <v>Managers, directors and senior officials</v>
      </c>
      <c r="B638" s="302">
        <v>6.4087511021403989</v>
      </c>
      <c r="C638" s="302">
        <v>0.35773190960047069</v>
      </c>
      <c r="D638" s="302">
        <v>1.605022366127359</v>
      </c>
      <c r="E638" s="302">
        <f>SUM(B638:D638)</f>
        <v>8.3715053778682282</v>
      </c>
      <c r="F638" s="303"/>
      <c r="G638" s="302">
        <v>7.8284755219162108</v>
      </c>
      <c r="H638" s="302">
        <v>0.90554905148105258</v>
      </c>
      <c r="I638" s="302">
        <v>1.8131398254019537</v>
      </c>
      <c r="J638" s="302">
        <f>SUM(G638:I638)</f>
        <v>10.547164398799218</v>
      </c>
      <c r="K638" s="303"/>
      <c r="L638" s="302">
        <v>7.856416098860735</v>
      </c>
      <c r="M638" s="302">
        <v>1.0987888814950106</v>
      </c>
      <c r="N638" s="302">
        <v>1.5194555139294208</v>
      </c>
      <c r="O638" s="302">
        <f>SUM(L638:N638)</f>
        <v>10.474660494285166</v>
      </c>
    </row>
    <row r="639" spans="1:15" s="236" customFormat="1" x14ac:dyDescent="0.2">
      <c r="A639" s="237" t="str">
        <f>name!E$5</f>
        <v>Professional occupations</v>
      </c>
      <c r="B639" s="302">
        <v>5.4717049051260807</v>
      </c>
      <c r="C639" s="302">
        <v>0.27218163916186267</v>
      </c>
      <c r="D639" s="302">
        <v>0.4903196470498582</v>
      </c>
      <c r="E639" s="302">
        <f t="shared" ref="E639:E646" si="280">SUM(B639:D639)</f>
        <v>6.234206191337802</v>
      </c>
      <c r="F639" s="303"/>
      <c r="G639" s="302">
        <v>7.9603772563534569</v>
      </c>
      <c r="H639" s="302">
        <v>0.75885124994830655</v>
      </c>
      <c r="I639" s="302">
        <v>0.50573514100424843</v>
      </c>
      <c r="J639" s="302">
        <f t="shared" ref="J639:J641" si="281">SUM(G639:I639)</f>
        <v>9.2249636473060121</v>
      </c>
      <c r="K639" s="303"/>
      <c r="L639" s="302">
        <v>10.529694057326695</v>
      </c>
      <c r="M639" s="302">
        <v>1.1271731508345875</v>
      </c>
      <c r="N639" s="302">
        <v>0.36430826978393738</v>
      </c>
      <c r="O639" s="302">
        <f t="shared" ref="O639:O646" si="282">SUM(L639:N639)</f>
        <v>12.021175477945221</v>
      </c>
    </row>
    <row r="640" spans="1:15" s="236" customFormat="1" x14ac:dyDescent="0.2">
      <c r="A640" s="237" t="str">
        <f>name!E$6</f>
        <v>Associate professional occupations</v>
      </c>
      <c r="B640" s="302">
        <v>5.3182557827246857</v>
      </c>
      <c r="C640" s="302">
        <v>0.33991402637721196</v>
      </c>
      <c r="D640" s="302">
        <v>0.52025952494364414</v>
      </c>
      <c r="E640" s="302">
        <f t="shared" si="280"/>
        <v>6.1784293340455418</v>
      </c>
      <c r="F640" s="303"/>
      <c r="G640" s="302">
        <v>6.9866932193794256</v>
      </c>
      <c r="H640" s="302">
        <v>0.75190920362218272</v>
      </c>
      <c r="I640" s="302">
        <v>0.50421410434221847</v>
      </c>
      <c r="J640" s="302">
        <f t="shared" si="281"/>
        <v>8.2428165273438267</v>
      </c>
      <c r="K640" s="303"/>
      <c r="L640" s="302">
        <v>7.4803205435948792</v>
      </c>
      <c r="M640" s="302">
        <v>0.85125332329717041</v>
      </c>
      <c r="N640" s="302">
        <v>0.37305482767855946</v>
      </c>
      <c r="O640" s="302">
        <f t="shared" si="282"/>
        <v>8.7046286945706104</v>
      </c>
    </row>
    <row r="641" spans="1:15" s="236" customFormat="1" x14ac:dyDescent="0.2">
      <c r="A641" s="237" t="str">
        <f>name!E$7</f>
        <v>Administrative and secretarial occupations</v>
      </c>
      <c r="B641" s="302">
        <v>4.8971783999374079</v>
      </c>
      <c r="C641" s="302">
        <v>1.0433573329546804</v>
      </c>
      <c r="D641" s="302">
        <v>0.25472773772449553</v>
      </c>
      <c r="E641" s="302">
        <f t="shared" si="280"/>
        <v>6.1952634706165837</v>
      </c>
      <c r="F641" s="303"/>
      <c r="G641" s="302">
        <v>5.5387121379309798</v>
      </c>
      <c r="H641" s="302">
        <v>1.9684234283061324</v>
      </c>
      <c r="I641" s="302">
        <v>0.20583795735090762</v>
      </c>
      <c r="J641" s="302">
        <f t="shared" si="281"/>
        <v>7.7129735235880199</v>
      </c>
      <c r="K641" s="303"/>
      <c r="L641" s="302">
        <v>4.9603325384263206</v>
      </c>
      <c r="M641" s="302">
        <v>1.6996846021321765</v>
      </c>
      <c r="N641" s="302">
        <v>0.1841717349875085</v>
      </c>
      <c r="O641" s="302">
        <f t="shared" si="282"/>
        <v>6.8441888755460054</v>
      </c>
    </row>
    <row r="642" spans="1:15" s="236" customFormat="1" x14ac:dyDescent="0.2">
      <c r="A642" s="237" t="str">
        <f>name!E$8</f>
        <v>Skilled trades occupations</v>
      </c>
      <c r="B642" s="302">
        <v>1.6472571677909793</v>
      </c>
      <c r="C642" s="302">
        <v>0.24068386735537417</v>
      </c>
      <c r="D642" s="302">
        <v>0.37816619728119694</v>
      </c>
      <c r="E642" s="302">
        <f t="shared" si="280"/>
        <v>2.2661072324275504</v>
      </c>
      <c r="F642" s="303"/>
      <c r="G642" s="302">
        <v>1.5634147953241295</v>
      </c>
      <c r="H642" s="302">
        <v>0.26467897368685561</v>
      </c>
      <c r="I642" s="302">
        <v>0.35025955506678391</v>
      </c>
      <c r="J642" s="302">
        <f>SUM(G642:I642)</f>
        <v>2.178353324077769</v>
      </c>
      <c r="K642" s="303"/>
      <c r="L642" s="302">
        <v>1.7029719980565499</v>
      </c>
      <c r="M642" s="302">
        <v>0.3790278916992762</v>
      </c>
      <c r="N642" s="302">
        <v>0.39027350144881923</v>
      </c>
      <c r="O642" s="302">
        <f t="shared" si="282"/>
        <v>2.4722733912046451</v>
      </c>
    </row>
    <row r="643" spans="1:15" s="236" customFormat="1" x14ac:dyDescent="0.2">
      <c r="A643" s="237" t="str">
        <f>name!E$9</f>
        <v>Caring, leisure and other service occupations</v>
      </c>
      <c r="B643" s="302">
        <v>4.8764056983812845</v>
      </c>
      <c r="C643" s="302">
        <v>2.383471761736955</v>
      </c>
      <c r="D643" s="302">
        <v>0.81531471164765457</v>
      </c>
      <c r="E643" s="302">
        <f t="shared" si="280"/>
        <v>8.0751921717658952</v>
      </c>
      <c r="F643" s="303"/>
      <c r="G643" s="302">
        <v>4.9588652221796776</v>
      </c>
      <c r="H643" s="302">
        <v>3.7137621369088309</v>
      </c>
      <c r="I643" s="302">
        <v>0.74833102247250738</v>
      </c>
      <c r="J643" s="302">
        <f t="shared" ref="J643:J646" si="283">SUM(G643:I643)</f>
        <v>9.4209583815610163</v>
      </c>
      <c r="K643" s="303"/>
      <c r="L643" s="302">
        <v>5.0761102927206352</v>
      </c>
      <c r="M643" s="302">
        <v>3.8926758249339799</v>
      </c>
      <c r="N643" s="302">
        <v>0.71863292077028185</v>
      </c>
      <c r="O643" s="302">
        <f t="shared" si="282"/>
        <v>9.6874190384248973</v>
      </c>
    </row>
    <row r="644" spans="1:15" s="236" customFormat="1" x14ac:dyDescent="0.2">
      <c r="A644" s="237" t="str">
        <f>name!E$10</f>
        <v>Sales and customer service occupations</v>
      </c>
      <c r="B644" s="302">
        <v>2.4244118746297061</v>
      </c>
      <c r="C644" s="302">
        <v>0.39919300015485248</v>
      </c>
      <c r="D644" s="302">
        <v>0.29704461221920681</v>
      </c>
      <c r="E644" s="302">
        <f t="shared" si="280"/>
        <v>3.1206494870037655</v>
      </c>
      <c r="F644" s="303"/>
      <c r="G644" s="302">
        <v>2.587834969339204</v>
      </c>
      <c r="H644" s="302">
        <v>0.70794504646401046</v>
      </c>
      <c r="I644" s="302">
        <v>0.24862918730067071</v>
      </c>
      <c r="J644" s="302">
        <f t="shared" si="283"/>
        <v>3.5444092031038852</v>
      </c>
      <c r="K644" s="303"/>
      <c r="L644" s="302">
        <v>2.6928175770244938</v>
      </c>
      <c r="M644" s="302">
        <v>0.94313384601380179</v>
      </c>
      <c r="N644" s="302">
        <v>0.17081884762052188</v>
      </c>
      <c r="O644" s="302">
        <f t="shared" si="282"/>
        <v>3.8067702706588173</v>
      </c>
    </row>
    <row r="645" spans="1:15" s="236" customFormat="1" x14ac:dyDescent="0.2">
      <c r="A645" s="237" t="str">
        <f>name!E$11</f>
        <v>Process, plant and machine operatives</v>
      </c>
      <c r="B645" s="302">
        <v>11.327119434358671</v>
      </c>
      <c r="C645" s="302">
        <v>1.1634061893476084</v>
      </c>
      <c r="D645" s="302">
        <v>0.49123029147063846</v>
      </c>
      <c r="E645" s="302">
        <f t="shared" si="280"/>
        <v>12.981755915176917</v>
      </c>
      <c r="F645" s="303"/>
      <c r="G645" s="302">
        <v>10.560044779426939</v>
      </c>
      <c r="H645" s="302">
        <v>1.9292646297041061</v>
      </c>
      <c r="I645" s="302">
        <v>0.62839981134565204</v>
      </c>
      <c r="J645" s="302">
        <f t="shared" si="283"/>
        <v>13.117709220476696</v>
      </c>
      <c r="K645" s="303"/>
      <c r="L645" s="302">
        <v>10.078488217491806</v>
      </c>
      <c r="M645" s="302">
        <v>2.4083405004440026</v>
      </c>
      <c r="N645" s="302">
        <v>0.6165757822958301</v>
      </c>
      <c r="O645" s="302">
        <f t="shared" si="282"/>
        <v>13.103404500231639</v>
      </c>
    </row>
    <row r="646" spans="1:15" s="236" customFormat="1" x14ac:dyDescent="0.2">
      <c r="A646" s="237" t="str">
        <f>name!E$12</f>
        <v>Elementary occupations</v>
      </c>
      <c r="B646" s="302">
        <v>7.9679156357971257</v>
      </c>
      <c r="C646" s="302">
        <v>1.648060273553015</v>
      </c>
      <c r="D646" s="302">
        <v>0.41391491169496075</v>
      </c>
      <c r="E646" s="302">
        <f t="shared" si="280"/>
        <v>10.029890821045102</v>
      </c>
      <c r="F646" s="303"/>
      <c r="G646" s="302">
        <v>6.7455820972361469</v>
      </c>
      <c r="H646" s="302">
        <v>2.1606162797128827</v>
      </c>
      <c r="I646" s="302">
        <v>0.37345339572245451</v>
      </c>
      <c r="J646" s="302">
        <f t="shared" si="283"/>
        <v>9.2796517726714853</v>
      </c>
      <c r="K646" s="303"/>
      <c r="L646" s="302">
        <v>3.7818486756937437</v>
      </c>
      <c r="M646" s="302">
        <v>1.629921978890041</v>
      </c>
      <c r="N646" s="302">
        <v>0.43870860150498259</v>
      </c>
      <c r="O646" s="302">
        <f t="shared" si="282"/>
        <v>5.850479256088768</v>
      </c>
    </row>
    <row r="647" spans="1:15" s="236" customFormat="1" x14ac:dyDescent="0.2">
      <c r="A647" s="237"/>
      <c r="B647" s="302"/>
      <c r="C647" s="302"/>
      <c r="D647" s="302"/>
      <c r="E647" s="302"/>
      <c r="F647" s="303"/>
      <c r="G647" s="302"/>
      <c r="H647" s="302"/>
      <c r="I647" s="302"/>
      <c r="J647" s="302"/>
      <c r="K647" s="303"/>
      <c r="L647" s="302"/>
      <c r="M647" s="302"/>
      <c r="N647" s="302"/>
      <c r="O647" s="302"/>
    </row>
    <row r="648" spans="1:15" s="236" customFormat="1" x14ac:dyDescent="0.2">
      <c r="A648" s="244" t="s">
        <v>32</v>
      </c>
      <c r="B648" s="311">
        <f>SUM(B638:B646)</f>
        <v>50.339000000886344</v>
      </c>
      <c r="C648" s="311">
        <f t="shared" ref="C648:E648" si="284">SUM(C638:C646)</f>
        <v>7.8480000002420303</v>
      </c>
      <c r="D648" s="311">
        <f t="shared" si="284"/>
        <v>5.2660000001590141</v>
      </c>
      <c r="E648" s="311">
        <f t="shared" si="284"/>
        <v>63.453000001287386</v>
      </c>
      <c r="F648" s="311"/>
      <c r="G648" s="311">
        <f t="shared" ref="G648:J648" si="285">SUM(G638:G646)</f>
        <v>54.729999999086168</v>
      </c>
      <c r="H648" s="311">
        <f t="shared" si="285"/>
        <v>13.16099999983436</v>
      </c>
      <c r="I648" s="311">
        <f t="shared" si="285"/>
        <v>5.3780000000073969</v>
      </c>
      <c r="J648" s="311">
        <f t="shared" si="285"/>
        <v>73.268999998927924</v>
      </c>
      <c r="K648" s="311"/>
      <c r="L648" s="311">
        <f t="shared" ref="L648:O648" si="286">SUM(L638:L646)</f>
        <v>54.158999999195863</v>
      </c>
      <c r="M648" s="311">
        <f t="shared" si="286"/>
        <v>14.029999999740047</v>
      </c>
      <c r="N648" s="311">
        <f t="shared" si="286"/>
        <v>4.7760000000198612</v>
      </c>
      <c r="O648" s="311">
        <f t="shared" si="286"/>
        <v>72.964999998955761</v>
      </c>
    </row>
    <row r="649" spans="1:15" s="236" customFormat="1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40"/>
    </row>
    <row r="650" spans="1:15" s="236" customFormat="1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40"/>
      <c r="O650" s="251" t="s">
        <v>35</v>
      </c>
    </row>
    <row r="651" spans="1:15" s="236" customFormat="1" x14ac:dyDescent="0.2">
      <c r="A651" s="242"/>
      <c r="B651" s="242"/>
      <c r="C651" s="242"/>
      <c r="D651" s="242"/>
      <c r="E651" s="242"/>
      <c r="F651" s="242"/>
      <c r="G651" s="242"/>
      <c r="H651" s="242"/>
      <c r="I651" s="242"/>
      <c r="J651" s="242"/>
      <c r="K651" s="242"/>
      <c r="L651" s="242"/>
      <c r="M651" s="242"/>
      <c r="N651" s="242"/>
      <c r="O651" s="242"/>
    </row>
    <row r="652" spans="1:15" s="236" customFormat="1" x14ac:dyDescent="0.2">
      <c r="A652" s="241" t="str">
        <f>name!A41</f>
        <v>Postal and courier</v>
      </c>
      <c r="B652" s="374">
        <f>$B$6</f>
        <v>2015</v>
      </c>
      <c r="C652" s="374"/>
      <c r="D652" s="374"/>
      <c r="E652" s="374"/>
      <c r="F652" s="263"/>
      <c r="G652" s="374">
        <f>$G$6</f>
        <v>2020</v>
      </c>
      <c r="H652" s="374"/>
      <c r="I652" s="374"/>
      <c r="J652" s="374"/>
      <c r="K652" s="263"/>
      <c r="L652" s="374">
        <f>$L$6</f>
        <v>2035</v>
      </c>
      <c r="M652" s="374"/>
      <c r="N652" s="374"/>
      <c r="O652" s="374"/>
    </row>
    <row r="653" spans="1:15" s="236" customFormat="1" x14ac:dyDescent="0.2">
      <c r="A653" s="254"/>
      <c r="B653" s="268" t="str">
        <f>$B$7</f>
        <v>FT</v>
      </c>
      <c r="C653" s="268" t="str">
        <f>$C$7</f>
        <v>PT</v>
      </c>
      <c r="D653" s="268" t="str">
        <f>$D$7</f>
        <v>SE</v>
      </c>
      <c r="E653" s="268" t="str">
        <f>$E$7</f>
        <v>Total</v>
      </c>
      <c r="F653" s="268"/>
      <c r="G653" s="268" t="str">
        <f>$G$7</f>
        <v>FT</v>
      </c>
      <c r="H653" s="268" t="str">
        <f>$H$7</f>
        <v>PT</v>
      </c>
      <c r="I653" s="268" t="str">
        <f>$I$7</f>
        <v>SE</v>
      </c>
      <c r="J653" s="268" t="str">
        <f>$J$7</f>
        <v>Total</v>
      </c>
      <c r="K653" s="268"/>
      <c r="L653" s="268" t="str">
        <f>$L$7</f>
        <v>FT</v>
      </c>
      <c r="M653" s="268" t="str">
        <f>$M$7</f>
        <v>PT</v>
      </c>
      <c r="N653" s="268" t="str">
        <f>$N$7</f>
        <v>SE</v>
      </c>
      <c r="O653" s="268" t="str">
        <f>$O$7</f>
        <v>Total</v>
      </c>
    </row>
    <row r="654" spans="1:15" s="236" customFormat="1" x14ac:dyDescent="0.2">
      <c r="A654" s="258"/>
      <c r="B654" s="239"/>
      <c r="C654" s="239"/>
      <c r="D654" s="239"/>
      <c r="E654" s="239"/>
      <c r="F654" s="239"/>
      <c r="G654" s="239"/>
      <c r="H654" s="239"/>
      <c r="I654" s="239"/>
      <c r="J654" s="239"/>
      <c r="K654" s="239"/>
      <c r="L654" s="239"/>
      <c r="M654" s="239"/>
      <c r="N654" s="239"/>
      <c r="O654" s="239"/>
    </row>
    <row r="655" spans="1:15" s="236" customFormat="1" x14ac:dyDescent="0.2">
      <c r="A655" s="237" t="str">
        <f>name!E$4</f>
        <v>Managers, directors and senior officials</v>
      </c>
      <c r="B655" s="302">
        <v>2.1265543627723327</v>
      </c>
      <c r="C655" s="302">
        <v>0.11075803166314029</v>
      </c>
      <c r="D655" s="302">
        <v>0.38630215609982671</v>
      </c>
      <c r="E655" s="302">
        <f>SUM(B655:D655)</f>
        <v>2.6236145505352995</v>
      </c>
      <c r="F655" s="303"/>
      <c r="G655" s="302">
        <v>3.6335209296627586</v>
      </c>
      <c r="H655" s="302">
        <v>0.23862714231833362</v>
      </c>
      <c r="I655" s="302">
        <v>0.7121508759113433</v>
      </c>
      <c r="J655" s="302">
        <f>SUM(G655:I655)</f>
        <v>4.5842989478924352</v>
      </c>
      <c r="K655" s="303"/>
      <c r="L655" s="302">
        <v>4.0300154379935913</v>
      </c>
      <c r="M655" s="302">
        <v>0.35495983919057655</v>
      </c>
      <c r="N655" s="302">
        <v>0.54599349182176227</v>
      </c>
      <c r="O655" s="302">
        <f>SUM(L655:N655)</f>
        <v>4.9309687690059301</v>
      </c>
    </row>
    <row r="656" spans="1:15" s="236" customFormat="1" x14ac:dyDescent="0.2">
      <c r="A656" s="237" t="str">
        <f>name!E$5</f>
        <v>Professional occupations</v>
      </c>
      <c r="B656" s="302">
        <v>1.5058742089999806</v>
      </c>
      <c r="C656" s="302">
        <v>0.10016453106180095</v>
      </c>
      <c r="D656" s="302">
        <v>0.12854608825481625</v>
      </c>
      <c r="E656" s="302">
        <f t="shared" ref="E656:E663" si="287">SUM(B656:D656)</f>
        <v>1.7345848283165977</v>
      </c>
      <c r="F656" s="303"/>
      <c r="G656" s="302">
        <v>2.9173282153810698</v>
      </c>
      <c r="H656" s="302">
        <v>0.21285494285796699</v>
      </c>
      <c r="I656" s="302">
        <v>0.19668165635735771</v>
      </c>
      <c r="J656" s="302">
        <f t="shared" ref="J656:J658" si="288">SUM(G656:I656)</f>
        <v>3.3268648145963944</v>
      </c>
      <c r="K656" s="303"/>
      <c r="L656" s="302">
        <v>3.5216149237392114</v>
      </c>
      <c r="M656" s="302">
        <v>0.33473351781484229</v>
      </c>
      <c r="N656" s="302">
        <v>0.14096984439370411</v>
      </c>
      <c r="O656" s="302">
        <f t="shared" ref="O656:O663" si="289">SUM(L656:N656)</f>
        <v>3.9973182859477574</v>
      </c>
    </row>
    <row r="657" spans="1:15" s="236" customFormat="1" x14ac:dyDescent="0.2">
      <c r="A657" s="237" t="str">
        <f>name!E$6</f>
        <v>Associate professional occupations</v>
      </c>
      <c r="B657" s="302">
        <v>1.6934950321515048</v>
      </c>
      <c r="C657" s="302">
        <v>0.18031922150132473</v>
      </c>
      <c r="D657" s="302">
        <v>9.1989717650599115E-2</v>
      </c>
      <c r="E657" s="302">
        <f t="shared" si="287"/>
        <v>1.9658039713034285</v>
      </c>
      <c r="F657" s="303"/>
      <c r="G657" s="302">
        <v>2.9253239864476837</v>
      </c>
      <c r="H657" s="302">
        <v>0.29397027808209886</v>
      </c>
      <c r="I657" s="302">
        <v>0.13992997045937486</v>
      </c>
      <c r="J657" s="302">
        <f t="shared" si="288"/>
        <v>3.3592242349891577</v>
      </c>
      <c r="K657" s="303"/>
      <c r="L657" s="302">
        <v>3.0869304844576537</v>
      </c>
      <c r="M657" s="302">
        <v>0.39373490856291321</v>
      </c>
      <c r="N657" s="302">
        <v>0.11101246738539124</v>
      </c>
      <c r="O657" s="302">
        <f t="shared" si="289"/>
        <v>3.5916778604059583</v>
      </c>
    </row>
    <row r="658" spans="1:15" s="236" customFormat="1" x14ac:dyDescent="0.2">
      <c r="A658" s="237" t="str">
        <f>name!E$7</f>
        <v>Administrative and secretarial occupations</v>
      </c>
      <c r="B658" s="302">
        <v>2.9008374787809634</v>
      </c>
      <c r="C658" s="302">
        <v>1.441789605052429</v>
      </c>
      <c r="D658" s="302">
        <v>4.8970380997034164E-2</v>
      </c>
      <c r="E658" s="302">
        <f t="shared" si="287"/>
        <v>4.3915974648304266</v>
      </c>
      <c r="F658" s="303"/>
      <c r="G658" s="302">
        <v>4.1287210356232364</v>
      </c>
      <c r="H658" s="302">
        <v>2.0462899619104595</v>
      </c>
      <c r="I658" s="302">
        <v>6.8204241045002556E-2</v>
      </c>
      <c r="J658" s="302">
        <f t="shared" si="288"/>
        <v>6.2432152385786983</v>
      </c>
      <c r="K658" s="303"/>
      <c r="L658" s="302">
        <v>3.7392447487734857</v>
      </c>
      <c r="M658" s="302">
        <v>2.0327491111463849</v>
      </c>
      <c r="N658" s="302">
        <v>6.3552300940660819E-2</v>
      </c>
      <c r="O658" s="302">
        <f t="shared" si="289"/>
        <v>5.835546160860531</v>
      </c>
    </row>
    <row r="659" spans="1:15" s="236" customFormat="1" x14ac:dyDescent="0.2">
      <c r="A659" s="237" t="str">
        <f>name!E$8</f>
        <v>Skilled trades occupations</v>
      </c>
      <c r="B659" s="302">
        <v>0.46464781024604523</v>
      </c>
      <c r="C659" s="302">
        <v>0.41918958867703915</v>
      </c>
      <c r="D659" s="302">
        <v>0.52203412958742879</v>
      </c>
      <c r="E659" s="302">
        <f t="shared" si="287"/>
        <v>1.405871528510513</v>
      </c>
      <c r="F659" s="303"/>
      <c r="G659" s="302">
        <v>0.58242993352420447</v>
      </c>
      <c r="H659" s="302">
        <v>0.38759763862747898</v>
      </c>
      <c r="I659" s="302">
        <v>0.59295787758705498</v>
      </c>
      <c r="J659" s="302">
        <f>SUM(G659:I659)</f>
        <v>1.5629854497387385</v>
      </c>
      <c r="K659" s="303"/>
      <c r="L659" s="302">
        <v>0.62712075173415982</v>
      </c>
      <c r="M659" s="302">
        <v>0.4155280094384069</v>
      </c>
      <c r="N659" s="302">
        <v>0.4372744085418524</v>
      </c>
      <c r="O659" s="302">
        <f t="shared" si="289"/>
        <v>1.4799231697144193</v>
      </c>
    </row>
    <row r="660" spans="1:15" s="236" customFormat="1" x14ac:dyDescent="0.2">
      <c r="A660" s="237" t="str">
        <f>name!E$9</f>
        <v>Caring, leisure and other service occupations</v>
      </c>
      <c r="B660" s="302">
        <v>0.77950437065350686</v>
      </c>
      <c r="C660" s="302">
        <v>0.32446481488677742</v>
      </c>
      <c r="D660" s="302">
        <v>3.4327994784278414E-2</v>
      </c>
      <c r="E660" s="302">
        <f t="shared" si="287"/>
        <v>1.1382971803245627</v>
      </c>
      <c r="F660" s="303"/>
      <c r="G660" s="302">
        <v>1.1933191986937588</v>
      </c>
      <c r="H660" s="302">
        <v>0.41114535427966808</v>
      </c>
      <c r="I660" s="302">
        <v>7.505864673041597E-2</v>
      </c>
      <c r="J660" s="302">
        <f t="shared" ref="J660:J663" si="290">SUM(G660:I660)</f>
        <v>1.6795231997038429</v>
      </c>
      <c r="K660" s="303"/>
      <c r="L660" s="302">
        <v>1.5466308623804985</v>
      </c>
      <c r="M660" s="302">
        <v>0.45128981058731032</v>
      </c>
      <c r="N660" s="302">
        <v>8.8070963828904086E-2</v>
      </c>
      <c r="O660" s="302">
        <f t="shared" si="289"/>
        <v>2.0859916367967126</v>
      </c>
    </row>
    <row r="661" spans="1:15" s="236" customFormat="1" x14ac:dyDescent="0.2">
      <c r="A661" s="237" t="str">
        <f>name!E$10</f>
        <v>Sales and customer service occupations</v>
      </c>
      <c r="B661" s="302">
        <v>1.1560570403704524</v>
      </c>
      <c r="C661" s="302">
        <v>0.43351763052780268</v>
      </c>
      <c r="D661" s="302">
        <v>7.3003045347262846E-2</v>
      </c>
      <c r="E661" s="302">
        <f t="shared" si="287"/>
        <v>1.6625777162455178</v>
      </c>
      <c r="F661" s="303"/>
      <c r="G661" s="302">
        <v>1.6643752305716948</v>
      </c>
      <c r="H661" s="302">
        <v>0.59302924005624569</v>
      </c>
      <c r="I661" s="302">
        <v>8.0414065994969766E-2</v>
      </c>
      <c r="J661" s="302">
        <f t="shared" si="290"/>
        <v>2.3378185366229101</v>
      </c>
      <c r="K661" s="303"/>
      <c r="L661" s="302">
        <v>1.8474606976440462</v>
      </c>
      <c r="M661" s="302">
        <v>0.82459177115400462</v>
      </c>
      <c r="N661" s="302">
        <v>6.6399449990173665E-2</v>
      </c>
      <c r="O661" s="302">
        <f t="shared" si="289"/>
        <v>2.7384519187882246</v>
      </c>
    </row>
    <row r="662" spans="1:15" s="236" customFormat="1" x14ac:dyDescent="0.2">
      <c r="A662" s="237" t="str">
        <f>name!E$11</f>
        <v>Process, plant and machine operatives</v>
      </c>
      <c r="B662" s="302">
        <v>3.523204978422255</v>
      </c>
      <c r="C662" s="302">
        <v>0.24914843989490629</v>
      </c>
      <c r="D662" s="302">
        <v>0.85228669653492584</v>
      </c>
      <c r="E662" s="302">
        <f t="shared" si="287"/>
        <v>4.6246401148520873</v>
      </c>
      <c r="F662" s="303"/>
      <c r="G662" s="302">
        <v>4.654083663431642</v>
      </c>
      <c r="H662" s="302">
        <v>0.34400924129192234</v>
      </c>
      <c r="I662" s="302">
        <v>1.3765781521560594</v>
      </c>
      <c r="J662" s="302">
        <f t="shared" si="290"/>
        <v>6.3746710568796239</v>
      </c>
      <c r="K662" s="303"/>
      <c r="L662" s="302">
        <v>4.5057771174221282</v>
      </c>
      <c r="M662" s="302">
        <v>0.49182429258358656</v>
      </c>
      <c r="N662" s="302">
        <v>1.2729445872893979</v>
      </c>
      <c r="O662" s="302">
        <f t="shared" si="289"/>
        <v>6.2705459972951125</v>
      </c>
    </row>
    <row r="663" spans="1:15" s="236" customFormat="1" x14ac:dyDescent="0.2">
      <c r="A663" s="237" t="str">
        <f>name!E$12</f>
        <v>Elementary occupations</v>
      </c>
      <c r="B663" s="302">
        <v>12.20082471826664</v>
      </c>
      <c r="C663" s="302">
        <v>3.0596481369634927</v>
      </c>
      <c r="D663" s="302">
        <v>0.45553979082924434</v>
      </c>
      <c r="E663" s="302">
        <f t="shared" si="287"/>
        <v>15.716012646059376</v>
      </c>
      <c r="F663" s="303"/>
      <c r="G663" s="302">
        <v>16.567897805714715</v>
      </c>
      <c r="H663" s="302">
        <v>3.3224762004912454</v>
      </c>
      <c r="I663" s="302">
        <v>0.53402451370693427</v>
      </c>
      <c r="J663" s="302">
        <f t="shared" si="290"/>
        <v>20.424398519912895</v>
      </c>
      <c r="K663" s="303"/>
      <c r="L663" s="302">
        <v>15.490204974599738</v>
      </c>
      <c r="M663" s="302">
        <v>3.2215887393515641</v>
      </c>
      <c r="N663" s="302">
        <v>0.58678248578758829</v>
      </c>
      <c r="O663" s="302">
        <f t="shared" si="289"/>
        <v>19.298576199738889</v>
      </c>
    </row>
    <row r="664" spans="1:15" s="236" customFormat="1" x14ac:dyDescent="0.2">
      <c r="A664" s="237"/>
      <c r="B664" s="302"/>
      <c r="C664" s="302"/>
      <c r="D664" s="302"/>
      <c r="E664" s="302"/>
      <c r="F664" s="303"/>
      <c r="G664" s="302"/>
      <c r="H664" s="302"/>
      <c r="I664" s="302"/>
      <c r="J664" s="302"/>
      <c r="K664" s="303"/>
      <c r="L664" s="302"/>
      <c r="M664" s="302"/>
      <c r="N664" s="302"/>
      <c r="O664" s="302"/>
    </row>
    <row r="665" spans="1:15" s="236" customFormat="1" x14ac:dyDescent="0.2">
      <c r="A665" s="244" t="s">
        <v>32</v>
      </c>
      <c r="B665" s="311">
        <f>SUM(B655:B663)</f>
        <v>26.351000000663682</v>
      </c>
      <c r="C665" s="311">
        <f t="shared" ref="C665:E665" si="291">SUM(C655:C663)</f>
        <v>6.3190000002287139</v>
      </c>
      <c r="D665" s="311">
        <f t="shared" si="291"/>
        <v>2.5930000000854165</v>
      </c>
      <c r="E665" s="311">
        <f t="shared" si="291"/>
        <v>35.263000000977812</v>
      </c>
      <c r="F665" s="311"/>
      <c r="G665" s="311">
        <f t="shared" ref="G665:J665" si="292">SUM(G655:G663)</f>
        <v>38.266999999050768</v>
      </c>
      <c r="H665" s="311">
        <f t="shared" si="292"/>
        <v>7.8499999999154202</v>
      </c>
      <c r="I665" s="311">
        <f t="shared" si="292"/>
        <v>3.775999999948513</v>
      </c>
      <c r="J665" s="311">
        <f t="shared" si="292"/>
        <v>49.892999998914696</v>
      </c>
      <c r="K665" s="311"/>
      <c r="L665" s="311">
        <f t="shared" ref="L665:O665" si="293">SUM(L655:L663)</f>
        <v>38.39499999874451</v>
      </c>
      <c r="M665" s="311">
        <f t="shared" si="293"/>
        <v>8.5209999998295896</v>
      </c>
      <c r="N665" s="311">
        <f t="shared" si="293"/>
        <v>3.3129999999794348</v>
      </c>
      <c r="O665" s="311">
        <f t="shared" si="293"/>
        <v>50.228999998553533</v>
      </c>
    </row>
    <row r="666" spans="1:15" s="236" customFormat="1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40"/>
    </row>
    <row r="667" spans="1:15" s="236" customFormat="1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40"/>
      <c r="O667" s="251" t="s">
        <v>35</v>
      </c>
    </row>
    <row r="668" spans="1:15" s="236" customFormat="1" x14ac:dyDescent="0.2">
      <c r="A668" s="242"/>
      <c r="B668" s="242"/>
      <c r="C668" s="242"/>
      <c r="D668" s="242"/>
      <c r="E668" s="242"/>
      <c r="F668" s="242"/>
      <c r="G668" s="242"/>
      <c r="H668" s="242"/>
      <c r="I668" s="242"/>
      <c r="J668" s="242"/>
      <c r="K668" s="242"/>
      <c r="L668" s="242"/>
      <c r="M668" s="242"/>
      <c r="N668" s="242"/>
      <c r="O668" s="242"/>
    </row>
    <row r="669" spans="1:15" s="236" customFormat="1" x14ac:dyDescent="0.2">
      <c r="A669" s="241" t="str">
        <f>name!A42</f>
        <v>Accommodation</v>
      </c>
      <c r="B669" s="374">
        <f>$B$6</f>
        <v>2015</v>
      </c>
      <c r="C669" s="374"/>
      <c r="D669" s="374"/>
      <c r="E669" s="374"/>
      <c r="F669" s="263"/>
      <c r="G669" s="374">
        <f>$G$6</f>
        <v>2020</v>
      </c>
      <c r="H669" s="374"/>
      <c r="I669" s="374"/>
      <c r="J669" s="374"/>
      <c r="K669" s="263"/>
      <c r="L669" s="374">
        <f>$L$6</f>
        <v>2035</v>
      </c>
      <c r="M669" s="374"/>
      <c r="N669" s="374"/>
      <c r="O669" s="374"/>
    </row>
    <row r="670" spans="1:15" s="236" customFormat="1" x14ac:dyDescent="0.2">
      <c r="A670" s="254"/>
      <c r="B670" s="268" t="str">
        <f>$B$7</f>
        <v>FT</v>
      </c>
      <c r="C670" s="268" t="str">
        <f>$C$7</f>
        <v>PT</v>
      </c>
      <c r="D670" s="268" t="str">
        <f>$D$7</f>
        <v>SE</v>
      </c>
      <c r="E670" s="268" t="str">
        <f>$E$7</f>
        <v>Total</v>
      </c>
      <c r="F670" s="268"/>
      <c r="G670" s="268" t="str">
        <f>$G$7</f>
        <v>FT</v>
      </c>
      <c r="H670" s="268" t="str">
        <f>$H$7</f>
        <v>PT</v>
      </c>
      <c r="I670" s="268" t="str">
        <f>$I$7</f>
        <v>SE</v>
      </c>
      <c r="J670" s="268" t="str">
        <f>$J$7</f>
        <v>Total</v>
      </c>
      <c r="K670" s="268"/>
      <c r="L670" s="268" t="str">
        <f>$L$7</f>
        <v>FT</v>
      </c>
      <c r="M670" s="268" t="str">
        <f>$M$7</f>
        <v>PT</v>
      </c>
      <c r="N670" s="268" t="str">
        <f>$N$7</f>
        <v>SE</v>
      </c>
      <c r="O670" s="268" t="str">
        <f>$O$7</f>
        <v>Total</v>
      </c>
    </row>
    <row r="671" spans="1:15" s="236" customFormat="1" x14ac:dyDescent="0.2">
      <c r="A671" s="258"/>
      <c r="B671" s="239"/>
      <c r="C671" s="239"/>
      <c r="D671" s="239"/>
      <c r="E671" s="239"/>
      <c r="F671" s="239"/>
      <c r="G671" s="239"/>
      <c r="H671" s="239"/>
      <c r="I671" s="239"/>
      <c r="J671" s="239"/>
      <c r="K671" s="239"/>
      <c r="L671" s="239"/>
      <c r="M671" s="239"/>
      <c r="N671" s="239"/>
      <c r="O671" s="239"/>
    </row>
    <row r="672" spans="1:15" s="236" customFormat="1" x14ac:dyDescent="0.2">
      <c r="A672" s="237" t="str">
        <f>name!E$4</f>
        <v>Managers, directors and senior officials</v>
      </c>
      <c r="B672" s="302">
        <v>4.7913953593647465</v>
      </c>
      <c r="C672" s="302">
        <v>0.11295449444702299</v>
      </c>
      <c r="D672" s="302">
        <v>1.0071727426441464</v>
      </c>
      <c r="E672" s="302">
        <f>SUM(B672:D672)</f>
        <v>5.9115225964559155</v>
      </c>
      <c r="F672" s="303"/>
      <c r="G672" s="302">
        <v>6.40835061026789</v>
      </c>
      <c r="H672" s="302">
        <v>0.34754953446910936</v>
      </c>
      <c r="I672" s="302">
        <v>1.9984957222297333</v>
      </c>
      <c r="J672" s="302">
        <f>SUM(G672:I672)</f>
        <v>8.7543958669667337</v>
      </c>
      <c r="K672" s="303"/>
      <c r="L672" s="302">
        <v>9.1785624722850123</v>
      </c>
      <c r="M672" s="302">
        <v>0.62764660803719718</v>
      </c>
      <c r="N672" s="302">
        <v>2.9401375599461601</v>
      </c>
      <c r="O672" s="302">
        <f>SUM(L672:N672)</f>
        <v>12.746346640268371</v>
      </c>
    </row>
    <row r="673" spans="1:15" s="236" customFormat="1" x14ac:dyDescent="0.2">
      <c r="A673" s="237" t="str">
        <f>name!E$5</f>
        <v>Professional occupations</v>
      </c>
      <c r="B673" s="302">
        <v>1.7264087978616953</v>
      </c>
      <c r="C673" s="302">
        <v>6.2013876949115587E-2</v>
      </c>
      <c r="D673" s="302">
        <v>7.1664635551438594E-2</v>
      </c>
      <c r="E673" s="302">
        <f t="shared" ref="E673:E680" si="294">SUM(B673:D673)</f>
        <v>1.8600873103622495</v>
      </c>
      <c r="F673" s="303"/>
      <c r="G673" s="302">
        <v>2.7234807333652871</v>
      </c>
      <c r="H673" s="302">
        <v>0.18889356399969348</v>
      </c>
      <c r="I673" s="302">
        <v>0.1438348742222576</v>
      </c>
      <c r="J673" s="302">
        <f t="shared" ref="J673:J675" si="295">SUM(G673:I673)</f>
        <v>3.0562091715872381</v>
      </c>
      <c r="K673" s="303"/>
      <c r="L673" s="302">
        <v>3.7098601347392588</v>
      </c>
      <c r="M673" s="302">
        <v>0.29732975649715604</v>
      </c>
      <c r="N673" s="302">
        <v>0.10669677244127193</v>
      </c>
      <c r="O673" s="302">
        <f t="shared" ref="O673:O680" si="296">SUM(L673:N673)</f>
        <v>4.113886663677687</v>
      </c>
    </row>
    <row r="674" spans="1:15" s="236" customFormat="1" x14ac:dyDescent="0.2">
      <c r="A674" s="237" t="str">
        <f>name!E$6</f>
        <v>Associate professional occupations</v>
      </c>
      <c r="B674" s="302">
        <v>1.7805665553504786</v>
      </c>
      <c r="C674" s="302">
        <v>0.18214688750173974</v>
      </c>
      <c r="D674" s="302">
        <v>4.8140244249672851E-2</v>
      </c>
      <c r="E674" s="302">
        <f t="shared" si="294"/>
        <v>2.0108536871018914</v>
      </c>
      <c r="F674" s="303"/>
      <c r="G674" s="302">
        <v>2.5373618733075127</v>
      </c>
      <c r="H674" s="302">
        <v>0.42536930341729762</v>
      </c>
      <c r="I674" s="302">
        <v>8.3507869420698821E-2</v>
      </c>
      <c r="J674" s="302">
        <f t="shared" si="295"/>
        <v>3.0462390461455096</v>
      </c>
      <c r="K674" s="303"/>
      <c r="L674" s="302">
        <v>3.2924114705491165</v>
      </c>
      <c r="M674" s="302">
        <v>0.70692163492323423</v>
      </c>
      <c r="N674" s="302">
        <v>7.4215907139249804E-2</v>
      </c>
      <c r="O674" s="302">
        <f t="shared" si="296"/>
        <v>4.0735490126116005</v>
      </c>
    </row>
    <row r="675" spans="1:15" s="236" customFormat="1" x14ac:dyDescent="0.2">
      <c r="A675" s="237" t="str">
        <f>name!E$7</f>
        <v>Administrative and secretarial occupations</v>
      </c>
      <c r="B675" s="302">
        <v>2.8626937480330126</v>
      </c>
      <c r="C675" s="302">
        <v>0.18924206769332724</v>
      </c>
      <c r="D675" s="302">
        <v>1.574429489686217E-2</v>
      </c>
      <c r="E675" s="302">
        <f t="shared" si="294"/>
        <v>3.0676801106232019</v>
      </c>
      <c r="F675" s="303"/>
      <c r="G675" s="302">
        <v>3.213091243965021</v>
      </c>
      <c r="H675" s="302">
        <v>0.40642909147189643</v>
      </c>
      <c r="I675" s="302">
        <v>3.1121497934787884E-2</v>
      </c>
      <c r="J675" s="302">
        <f t="shared" si="295"/>
        <v>3.6506418333717052</v>
      </c>
      <c r="K675" s="303"/>
      <c r="L675" s="302">
        <v>4.1714404120644142</v>
      </c>
      <c r="M675" s="302">
        <v>0.60467432389989073</v>
      </c>
      <c r="N675" s="302">
        <v>2.3492267402709439E-2</v>
      </c>
      <c r="O675" s="302">
        <f t="shared" si="296"/>
        <v>4.7996070033670151</v>
      </c>
    </row>
    <row r="676" spans="1:15" s="236" customFormat="1" x14ac:dyDescent="0.2">
      <c r="A676" s="237" t="str">
        <f>name!E$8</f>
        <v>Skilled trades occupations</v>
      </c>
      <c r="B676" s="302">
        <v>16.007501178020025</v>
      </c>
      <c r="C676" s="302">
        <v>0.74962497575604026</v>
      </c>
      <c r="D676" s="302">
        <v>0.38800607419842453</v>
      </c>
      <c r="E676" s="302">
        <f t="shared" si="294"/>
        <v>17.145132227974489</v>
      </c>
      <c r="F676" s="303"/>
      <c r="G676" s="302">
        <v>14.218124481986882</v>
      </c>
      <c r="H676" s="302">
        <v>1.1721883292537563</v>
      </c>
      <c r="I676" s="302">
        <v>0.77957961604738946</v>
      </c>
      <c r="J676" s="302">
        <f>SUM(G676:I676)</f>
        <v>16.16989242728803</v>
      </c>
      <c r="K676" s="303"/>
      <c r="L676" s="302">
        <v>15.926187630962882</v>
      </c>
      <c r="M676" s="302">
        <v>1.149399763657833</v>
      </c>
      <c r="N676" s="302">
        <v>0.94872917888671804</v>
      </c>
      <c r="O676" s="302">
        <f t="shared" si="296"/>
        <v>18.024316573507434</v>
      </c>
    </row>
    <row r="677" spans="1:15" s="236" customFormat="1" x14ac:dyDescent="0.2">
      <c r="A677" s="237" t="str">
        <f>name!E$9</f>
        <v>Caring, leisure and other service occupations</v>
      </c>
      <c r="B677" s="302">
        <v>2.3234191605087058</v>
      </c>
      <c r="C677" s="302">
        <v>0.4548611638248326</v>
      </c>
      <c r="D677" s="302">
        <v>7.4661945417383496E-2</v>
      </c>
      <c r="E677" s="302">
        <f t="shared" si="294"/>
        <v>2.8529422697509217</v>
      </c>
      <c r="F677" s="303"/>
      <c r="G677" s="302">
        <v>2.4308965180915774</v>
      </c>
      <c r="H677" s="302">
        <v>0.82305957652229389</v>
      </c>
      <c r="I677" s="302">
        <v>0.19401442679923028</v>
      </c>
      <c r="J677" s="302">
        <f t="shared" ref="J677:J680" si="297">SUM(G677:I677)</f>
        <v>3.4479705214131013</v>
      </c>
      <c r="K677" s="303"/>
      <c r="L677" s="302">
        <v>3.09698172651624</v>
      </c>
      <c r="M677" s="302">
        <v>1.1644882926882141</v>
      </c>
      <c r="N677" s="302">
        <v>0.33202870474664242</v>
      </c>
      <c r="O677" s="302">
        <f t="shared" si="296"/>
        <v>4.5934987239510967</v>
      </c>
    </row>
    <row r="678" spans="1:15" s="236" customFormat="1" x14ac:dyDescent="0.2">
      <c r="A678" s="237" t="str">
        <f>name!E$10</f>
        <v>Sales and customer service occupations</v>
      </c>
      <c r="B678" s="302">
        <v>1.5501712108808943</v>
      </c>
      <c r="C678" s="302">
        <v>0.94472392033998465</v>
      </c>
      <c r="D678" s="302">
        <v>0.35407005881425924</v>
      </c>
      <c r="E678" s="302">
        <f t="shared" si="294"/>
        <v>2.8489651900351385</v>
      </c>
      <c r="F678" s="303"/>
      <c r="G678" s="302">
        <v>1.7153950209996123</v>
      </c>
      <c r="H678" s="302">
        <v>1.883807857792513</v>
      </c>
      <c r="I678" s="302">
        <v>0.51611999029440914</v>
      </c>
      <c r="J678" s="302">
        <f t="shared" si="297"/>
        <v>4.1153228690865342</v>
      </c>
      <c r="K678" s="303"/>
      <c r="L678" s="302">
        <v>2.2570174653081043</v>
      </c>
      <c r="M678" s="302">
        <v>2.5117957012656738</v>
      </c>
      <c r="N678" s="302">
        <v>0.47135193827339972</v>
      </c>
      <c r="O678" s="302">
        <f t="shared" si="296"/>
        <v>5.2401651048471782</v>
      </c>
    </row>
    <row r="679" spans="1:15" s="236" customFormat="1" x14ac:dyDescent="0.2">
      <c r="A679" s="237" t="str">
        <f>name!E$11</f>
        <v>Process, plant and machine operatives</v>
      </c>
      <c r="B679" s="302">
        <v>0.82547833659254999</v>
      </c>
      <c r="C679" s="302">
        <v>0.21491113982743004</v>
      </c>
      <c r="D679" s="302">
        <v>4.396320434240468E-2</v>
      </c>
      <c r="E679" s="302">
        <f t="shared" si="294"/>
        <v>1.0843526807623849</v>
      </c>
      <c r="F679" s="303"/>
      <c r="G679" s="302">
        <v>0.81322811839885489</v>
      </c>
      <c r="H679" s="302">
        <v>0.47275429100289823</v>
      </c>
      <c r="I679" s="302">
        <v>8.7308811914802678E-2</v>
      </c>
      <c r="J679" s="302">
        <f t="shared" si="297"/>
        <v>1.3732912213165558</v>
      </c>
      <c r="K679" s="303"/>
      <c r="L679" s="302">
        <v>1.0223188625820625</v>
      </c>
      <c r="M679" s="302">
        <v>0.96940864764050005</v>
      </c>
      <c r="N679" s="302">
        <v>0.10749648653706623</v>
      </c>
      <c r="O679" s="302">
        <f t="shared" si="296"/>
        <v>2.0992239967596289</v>
      </c>
    </row>
    <row r="680" spans="1:15" s="236" customFormat="1" x14ac:dyDescent="0.2">
      <c r="A680" s="237" t="str">
        <f>name!E$12</f>
        <v>Elementary occupations</v>
      </c>
      <c r="B680" s="302">
        <v>17.015365654146802</v>
      </c>
      <c r="C680" s="302">
        <v>9.2225214741390467</v>
      </c>
      <c r="D680" s="302">
        <v>0.10757679995834722</v>
      </c>
      <c r="E680" s="302">
        <f t="shared" si="294"/>
        <v>26.345463928244197</v>
      </c>
      <c r="F680" s="303"/>
      <c r="G680" s="302">
        <v>17.911071398613565</v>
      </c>
      <c r="H680" s="302">
        <v>15.608948451978925</v>
      </c>
      <c r="I680" s="302">
        <v>0.16401719106141374</v>
      </c>
      <c r="J680" s="302">
        <f t="shared" si="297"/>
        <v>33.684037041653902</v>
      </c>
      <c r="K680" s="303"/>
      <c r="L680" s="302">
        <v>21.115219824293547</v>
      </c>
      <c r="M680" s="302">
        <v>20.23333527123436</v>
      </c>
      <c r="N680" s="302">
        <v>0.20585118465542415</v>
      </c>
      <c r="O680" s="302">
        <f t="shared" si="296"/>
        <v>41.554406280183329</v>
      </c>
    </row>
    <row r="681" spans="1:15" s="236" customFormat="1" x14ac:dyDescent="0.2">
      <c r="A681" s="237"/>
      <c r="B681" s="302"/>
      <c r="C681" s="302"/>
      <c r="D681" s="302"/>
      <c r="E681" s="302"/>
      <c r="F681" s="303"/>
      <c r="G681" s="302"/>
      <c r="H681" s="302"/>
      <c r="I681" s="302"/>
      <c r="J681" s="302"/>
      <c r="K681" s="303"/>
      <c r="L681" s="302"/>
      <c r="M681" s="302"/>
      <c r="N681" s="302"/>
      <c r="O681" s="302"/>
    </row>
    <row r="682" spans="1:15" s="236" customFormat="1" x14ac:dyDescent="0.2">
      <c r="A682" s="244" t="s">
        <v>32</v>
      </c>
      <c r="B682" s="311">
        <f>SUM(B672:B680)</f>
        <v>48.883000000758912</v>
      </c>
      <c r="C682" s="311">
        <f t="shared" ref="C682:E682" si="298">SUM(C672:C680)</f>
        <v>12.133000000478539</v>
      </c>
      <c r="D682" s="311">
        <f t="shared" si="298"/>
        <v>2.1110000000729388</v>
      </c>
      <c r="E682" s="311">
        <f t="shared" si="298"/>
        <v>63.127000001310392</v>
      </c>
      <c r="F682" s="311"/>
      <c r="G682" s="311">
        <f t="shared" ref="G682:J682" si="299">SUM(G672:G680)</f>
        <v>51.970999998996206</v>
      </c>
      <c r="H682" s="311">
        <f t="shared" si="299"/>
        <v>21.328999999908383</v>
      </c>
      <c r="I682" s="311">
        <f t="shared" si="299"/>
        <v>3.9979999999247227</v>
      </c>
      <c r="J682" s="311">
        <f t="shared" si="299"/>
        <v>77.297999998829312</v>
      </c>
      <c r="K682" s="311"/>
      <c r="L682" s="311">
        <f t="shared" ref="L682:O682" si="300">SUM(L672:L680)</f>
        <v>63.76999999930063</v>
      </c>
      <c r="M682" s="311">
        <f t="shared" si="300"/>
        <v>28.264999999844058</v>
      </c>
      <c r="N682" s="311">
        <f t="shared" si="300"/>
        <v>5.2100000000286419</v>
      </c>
      <c r="O682" s="311">
        <f t="shared" si="300"/>
        <v>97.244999999173331</v>
      </c>
    </row>
    <row r="683" spans="1:15" s="236" customFormat="1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40"/>
    </row>
    <row r="684" spans="1:15" s="236" customFormat="1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40"/>
      <c r="O684" s="251" t="s">
        <v>35</v>
      </c>
    </row>
    <row r="685" spans="1:15" s="236" customFormat="1" x14ac:dyDescent="0.2">
      <c r="A685" s="242"/>
      <c r="B685" s="242"/>
      <c r="C685" s="242"/>
      <c r="D685" s="242"/>
      <c r="E685" s="242"/>
      <c r="F685" s="242"/>
      <c r="G685" s="242"/>
      <c r="H685" s="242"/>
      <c r="I685" s="242"/>
      <c r="J685" s="242"/>
      <c r="K685" s="242"/>
      <c r="L685" s="242"/>
      <c r="M685" s="242"/>
      <c r="N685" s="242"/>
      <c r="O685" s="242"/>
    </row>
    <row r="686" spans="1:15" s="236" customFormat="1" x14ac:dyDescent="0.2">
      <c r="A686" s="241" t="str">
        <f>name!A43</f>
        <v>Food and beverage services</v>
      </c>
      <c r="B686" s="374">
        <f>$B$6</f>
        <v>2015</v>
      </c>
      <c r="C686" s="374"/>
      <c r="D686" s="374"/>
      <c r="E686" s="374"/>
      <c r="F686" s="263"/>
      <c r="G686" s="374">
        <f>$G$6</f>
        <v>2020</v>
      </c>
      <c r="H686" s="374"/>
      <c r="I686" s="374"/>
      <c r="J686" s="374"/>
      <c r="K686" s="263"/>
      <c r="L686" s="374">
        <f>$L$6</f>
        <v>2035</v>
      </c>
      <c r="M686" s="374"/>
      <c r="N686" s="374"/>
      <c r="O686" s="374"/>
    </row>
    <row r="687" spans="1:15" s="236" customFormat="1" x14ac:dyDescent="0.2">
      <c r="A687" s="254"/>
      <c r="B687" s="268" t="str">
        <f>$B$7</f>
        <v>FT</v>
      </c>
      <c r="C687" s="268" t="str">
        <f>$C$7</f>
        <v>PT</v>
      </c>
      <c r="D687" s="268" t="str">
        <f>$D$7</f>
        <v>SE</v>
      </c>
      <c r="E687" s="268" t="str">
        <f>$E$7</f>
        <v>Total</v>
      </c>
      <c r="F687" s="268"/>
      <c r="G687" s="268" t="str">
        <f>$G$7</f>
        <v>FT</v>
      </c>
      <c r="H687" s="268" t="str">
        <f>$H$7</f>
        <v>PT</v>
      </c>
      <c r="I687" s="268" t="str">
        <f>$I$7</f>
        <v>SE</v>
      </c>
      <c r="J687" s="268" t="str">
        <f>$J$7</f>
        <v>Total</v>
      </c>
      <c r="K687" s="268"/>
      <c r="L687" s="268" t="str">
        <f>$L$7</f>
        <v>FT</v>
      </c>
      <c r="M687" s="268" t="str">
        <f>$M$7</f>
        <v>PT</v>
      </c>
      <c r="N687" s="268" t="str">
        <f>$N$7</f>
        <v>SE</v>
      </c>
      <c r="O687" s="268" t="str">
        <f>$O$7</f>
        <v>Total</v>
      </c>
    </row>
    <row r="688" spans="1:15" s="236" customFormat="1" x14ac:dyDescent="0.2">
      <c r="A688" s="258"/>
      <c r="B688" s="239"/>
      <c r="C688" s="239"/>
      <c r="D688" s="239"/>
      <c r="E688" s="239"/>
      <c r="F688" s="239"/>
      <c r="G688" s="239"/>
      <c r="H688" s="239"/>
      <c r="I688" s="239"/>
      <c r="J688" s="239"/>
      <c r="K688" s="239"/>
      <c r="L688" s="239"/>
      <c r="M688" s="239"/>
      <c r="N688" s="239"/>
      <c r="O688" s="239"/>
    </row>
    <row r="689" spans="1:15" s="236" customFormat="1" x14ac:dyDescent="0.2">
      <c r="A689" s="237" t="str">
        <f>name!E$4</f>
        <v>Managers, directors and senior officials</v>
      </c>
      <c r="B689" s="302">
        <v>15.614388281213897</v>
      </c>
      <c r="C689" s="302">
        <v>1.2990601651489337</v>
      </c>
      <c r="D689" s="302">
        <v>3.5099903193449027</v>
      </c>
      <c r="E689" s="302">
        <f>SUM(B689:D689)</f>
        <v>20.423438765707736</v>
      </c>
      <c r="F689" s="303"/>
      <c r="G689" s="302">
        <v>19.733244012831399</v>
      </c>
      <c r="H689" s="302">
        <v>2.9816732438803721</v>
      </c>
      <c r="I689" s="302">
        <v>3.7008001024657213</v>
      </c>
      <c r="J689" s="302">
        <f>SUM(G689:I689)</f>
        <v>26.415717359177492</v>
      </c>
      <c r="K689" s="303"/>
      <c r="L689" s="302">
        <v>29.36588315914835</v>
      </c>
      <c r="M689" s="302">
        <v>5.0680813327532634</v>
      </c>
      <c r="N689" s="302">
        <v>5.2891714944294357</v>
      </c>
      <c r="O689" s="302">
        <f>SUM(L689:N689)</f>
        <v>39.723135986331044</v>
      </c>
    </row>
    <row r="690" spans="1:15" s="236" customFormat="1" x14ac:dyDescent="0.2">
      <c r="A690" s="237" t="str">
        <f>name!E$5</f>
        <v>Professional occupations</v>
      </c>
      <c r="B690" s="302">
        <v>5.4446122997097319</v>
      </c>
      <c r="C690" s="302">
        <v>0.67720808641731556</v>
      </c>
      <c r="D690" s="302">
        <v>0.26107525004633547</v>
      </c>
      <c r="E690" s="302">
        <f t="shared" ref="E690:E697" si="301">SUM(B690:D690)</f>
        <v>6.3828956361733828</v>
      </c>
      <c r="F690" s="303"/>
      <c r="G690" s="302">
        <v>8.2429567363982539</v>
      </c>
      <c r="H690" s="302">
        <v>1.5717517041456746</v>
      </c>
      <c r="I690" s="302">
        <v>0.27073591949764786</v>
      </c>
      <c r="J690" s="302">
        <f t="shared" ref="J690:J692" si="302">SUM(G690:I690)</f>
        <v>10.085444360041576</v>
      </c>
      <c r="K690" s="303"/>
      <c r="L690" s="302">
        <v>11.59403661955275</v>
      </c>
      <c r="M690" s="302">
        <v>2.2338806641234359</v>
      </c>
      <c r="N690" s="302">
        <v>0.19785289923907118</v>
      </c>
      <c r="O690" s="302">
        <f t="shared" ref="O690:O697" si="303">SUM(L690:N690)</f>
        <v>14.025770182915258</v>
      </c>
    </row>
    <row r="691" spans="1:15" s="236" customFormat="1" x14ac:dyDescent="0.2">
      <c r="A691" s="237" t="str">
        <f>name!E$6</f>
        <v>Associate professional occupations</v>
      </c>
      <c r="B691" s="302">
        <v>5.5433529387961791</v>
      </c>
      <c r="C691" s="302">
        <v>2.0019329421637075</v>
      </c>
      <c r="D691" s="302">
        <v>0.15925795234259016</v>
      </c>
      <c r="E691" s="302">
        <f t="shared" si="301"/>
        <v>7.7045438333024761</v>
      </c>
      <c r="F691" s="303"/>
      <c r="G691" s="302">
        <v>7.6284188581078665</v>
      </c>
      <c r="H691" s="302">
        <v>3.5320943435549217</v>
      </c>
      <c r="I691" s="302">
        <v>0.15439354096886737</v>
      </c>
      <c r="J691" s="302">
        <f t="shared" si="302"/>
        <v>11.314906742631655</v>
      </c>
      <c r="K691" s="303"/>
      <c r="L691" s="302">
        <v>10.153392479402427</v>
      </c>
      <c r="M691" s="302">
        <v>5.3602843540964535</v>
      </c>
      <c r="N691" s="302">
        <v>0.13200284003727591</v>
      </c>
      <c r="O691" s="302">
        <f t="shared" si="303"/>
        <v>15.645679673536156</v>
      </c>
    </row>
    <row r="692" spans="1:15" s="236" customFormat="1" x14ac:dyDescent="0.2">
      <c r="A692" s="237" t="str">
        <f>name!E$7</f>
        <v>Administrative and secretarial occupations</v>
      </c>
      <c r="B692" s="302">
        <v>8.6744373419782974</v>
      </c>
      <c r="C692" s="302">
        <v>2.0520156103948746</v>
      </c>
      <c r="D692" s="302">
        <v>4.5725806354981337E-2</v>
      </c>
      <c r="E692" s="302">
        <f t="shared" si="301"/>
        <v>10.772178758728154</v>
      </c>
      <c r="F692" s="303"/>
      <c r="G692" s="302">
        <v>9.5590194379915552</v>
      </c>
      <c r="H692" s="302">
        <v>3.3481619720514608</v>
      </c>
      <c r="I692" s="302">
        <v>5.5687297766295191E-2</v>
      </c>
      <c r="J692" s="302">
        <f t="shared" si="302"/>
        <v>12.962868707809312</v>
      </c>
      <c r="K692" s="303"/>
      <c r="L692" s="302">
        <v>12.797536369453201</v>
      </c>
      <c r="M692" s="302">
        <v>4.3981432433397183</v>
      </c>
      <c r="N692" s="302">
        <v>4.1516991528764445E-2</v>
      </c>
      <c r="O692" s="302">
        <f t="shared" si="303"/>
        <v>17.237196604321682</v>
      </c>
    </row>
    <row r="693" spans="1:15" s="236" customFormat="1" x14ac:dyDescent="0.2">
      <c r="A693" s="237" t="str">
        <f>name!E$8</f>
        <v>Skilled trades occupations</v>
      </c>
      <c r="B693" s="302">
        <v>54.825573929000569</v>
      </c>
      <c r="C693" s="302">
        <v>9.2669985219436892</v>
      </c>
      <c r="D693" s="302">
        <v>1.248749662781883</v>
      </c>
      <c r="E693" s="302">
        <f t="shared" si="301"/>
        <v>65.34132211372615</v>
      </c>
      <c r="F693" s="303"/>
      <c r="G693" s="302">
        <v>44.629006829823702</v>
      </c>
      <c r="H693" s="302">
        <v>10.533136488004232</v>
      </c>
      <c r="I693" s="302">
        <v>1.4314332758748574</v>
      </c>
      <c r="J693" s="302">
        <f>SUM(G693:I693)</f>
        <v>56.593576593702792</v>
      </c>
      <c r="K693" s="303"/>
      <c r="L693" s="302">
        <v>52.543925664410679</v>
      </c>
      <c r="M693" s="302">
        <v>9.5566044034000743</v>
      </c>
      <c r="N693" s="302">
        <v>1.6796086377136525</v>
      </c>
      <c r="O693" s="302">
        <f t="shared" si="303"/>
        <v>63.780138705524408</v>
      </c>
    </row>
    <row r="694" spans="1:15" s="236" customFormat="1" x14ac:dyDescent="0.2">
      <c r="A694" s="237" t="str">
        <f>name!E$9</f>
        <v>Caring, leisure and other service occupations</v>
      </c>
      <c r="B694" s="302">
        <v>6.9995688547081176</v>
      </c>
      <c r="C694" s="302">
        <v>5.0058574549826691</v>
      </c>
      <c r="D694" s="302">
        <v>0.20669118338515247</v>
      </c>
      <c r="E694" s="302">
        <f t="shared" si="301"/>
        <v>12.212117493075938</v>
      </c>
      <c r="F694" s="303"/>
      <c r="G694" s="302">
        <v>7.2253667490042837</v>
      </c>
      <c r="H694" s="302">
        <v>6.8718120682967712</v>
      </c>
      <c r="I694" s="302">
        <v>0.34500594819973274</v>
      </c>
      <c r="J694" s="302">
        <f t="shared" ref="J694:J697" si="304">SUM(G694:I694)</f>
        <v>14.442184765500787</v>
      </c>
      <c r="K694" s="303"/>
      <c r="L694" s="302">
        <v>9.43965464965782</v>
      </c>
      <c r="M694" s="302">
        <v>8.788275477786847</v>
      </c>
      <c r="N694" s="302">
        <v>0.57307160463471019</v>
      </c>
      <c r="O694" s="302">
        <f t="shared" si="303"/>
        <v>18.801001732079374</v>
      </c>
    </row>
    <row r="695" spans="1:15" s="236" customFormat="1" x14ac:dyDescent="0.2">
      <c r="A695" s="237" t="str">
        <f>name!E$10</f>
        <v>Sales and customer service occupations</v>
      </c>
      <c r="B695" s="302">
        <v>4.8870780979498791</v>
      </c>
      <c r="C695" s="302">
        <v>11.421267733381644</v>
      </c>
      <c r="D695" s="302">
        <v>1.2239563229297798</v>
      </c>
      <c r="E695" s="302">
        <f t="shared" si="301"/>
        <v>17.532302154261302</v>
      </c>
      <c r="F695" s="303"/>
      <c r="G695" s="302">
        <v>5.2128540136455621</v>
      </c>
      <c r="H695" s="302">
        <v>16.760820745017565</v>
      </c>
      <c r="I695" s="302">
        <v>0.96917682765727098</v>
      </c>
      <c r="J695" s="302">
        <f t="shared" si="304"/>
        <v>22.942851586320398</v>
      </c>
      <c r="K695" s="303"/>
      <c r="L695" s="302">
        <v>7.1609725196638152</v>
      </c>
      <c r="M695" s="302">
        <v>20.327362453077086</v>
      </c>
      <c r="N695" s="302">
        <v>0.85952686396827149</v>
      </c>
      <c r="O695" s="302">
        <f t="shared" si="303"/>
        <v>28.347861836709171</v>
      </c>
    </row>
    <row r="696" spans="1:15" s="236" customFormat="1" x14ac:dyDescent="0.2">
      <c r="A696" s="237" t="str">
        <f>name!E$11</f>
        <v>Process, plant and machine operatives</v>
      </c>
      <c r="B696" s="302">
        <v>2.8273198191237672</v>
      </c>
      <c r="C696" s="302">
        <v>2.7382275716431406</v>
      </c>
      <c r="D696" s="302">
        <v>0.18533054810979546</v>
      </c>
      <c r="E696" s="302">
        <f t="shared" si="301"/>
        <v>5.7508779388767026</v>
      </c>
      <c r="F696" s="303"/>
      <c r="G696" s="302">
        <v>2.5592293958650645</v>
      </c>
      <c r="H696" s="302">
        <v>4.4335898627076773</v>
      </c>
      <c r="I696" s="302">
        <v>0.17369278220830595</v>
      </c>
      <c r="J696" s="302">
        <f t="shared" si="304"/>
        <v>7.1665120407810479</v>
      </c>
      <c r="K696" s="303"/>
      <c r="L696" s="302">
        <v>3.3407725865449458</v>
      </c>
      <c r="M696" s="302">
        <v>8.2704289677912719</v>
      </c>
      <c r="N696" s="302">
        <v>0.20829021716372303</v>
      </c>
      <c r="O696" s="302">
        <f t="shared" si="303"/>
        <v>11.819491771499941</v>
      </c>
    </row>
    <row r="697" spans="1:15" s="236" customFormat="1" x14ac:dyDescent="0.2">
      <c r="A697" s="237" t="str">
        <f>name!E$12</f>
        <v>Elementary occupations</v>
      </c>
      <c r="B697" s="302">
        <v>54.570668440087907</v>
      </c>
      <c r="C697" s="302">
        <v>106.15243191943175</v>
      </c>
      <c r="D697" s="302">
        <v>0.34022295495183796</v>
      </c>
      <c r="E697" s="302">
        <f t="shared" si="301"/>
        <v>161.06332331447149</v>
      </c>
      <c r="F697" s="303"/>
      <c r="G697" s="302">
        <v>54.622903963262537</v>
      </c>
      <c r="H697" s="302">
        <v>133.84195957130069</v>
      </c>
      <c r="I697" s="302">
        <v>0.30207430523194995</v>
      </c>
      <c r="J697" s="302">
        <f t="shared" si="304"/>
        <v>188.76693783979516</v>
      </c>
      <c r="K697" s="303"/>
      <c r="L697" s="302">
        <v>66.519825949890688</v>
      </c>
      <c r="M697" s="302">
        <v>159.83193910255741</v>
      </c>
      <c r="N697" s="302">
        <v>0.37595845134900818</v>
      </c>
      <c r="O697" s="302">
        <f t="shared" si="303"/>
        <v>226.72772350379714</v>
      </c>
    </row>
    <row r="698" spans="1:15" s="236" customFormat="1" x14ac:dyDescent="0.2">
      <c r="A698" s="237"/>
      <c r="B698" s="302"/>
      <c r="C698" s="302"/>
      <c r="D698" s="302"/>
      <c r="E698" s="302"/>
      <c r="F698" s="303"/>
      <c r="G698" s="302"/>
      <c r="H698" s="302"/>
      <c r="I698" s="302"/>
      <c r="J698" s="302"/>
      <c r="K698" s="303"/>
      <c r="L698" s="302"/>
      <c r="M698" s="302"/>
      <c r="N698" s="302"/>
      <c r="O698" s="302"/>
    </row>
    <row r="699" spans="1:15" s="236" customFormat="1" x14ac:dyDescent="0.2">
      <c r="A699" s="244" t="s">
        <v>32</v>
      </c>
      <c r="B699" s="311">
        <f>SUM(B689:B697)</f>
        <v>159.38700000256836</v>
      </c>
      <c r="C699" s="311">
        <f t="shared" ref="C699:E699" si="305">SUM(C689:C697)</f>
        <v>140.61500000550774</v>
      </c>
      <c r="D699" s="311">
        <f t="shared" si="305"/>
        <v>7.1810000002472592</v>
      </c>
      <c r="E699" s="311">
        <f t="shared" si="305"/>
        <v>307.18300000832335</v>
      </c>
      <c r="F699" s="311"/>
      <c r="G699" s="311">
        <f t="shared" ref="G699:J699" si="306">SUM(G689:G697)</f>
        <v>159.41299999693021</v>
      </c>
      <c r="H699" s="311">
        <f t="shared" si="306"/>
        <v>183.87499999895937</v>
      </c>
      <c r="I699" s="311">
        <f t="shared" si="306"/>
        <v>7.4029999998706488</v>
      </c>
      <c r="J699" s="311">
        <f t="shared" si="306"/>
        <v>350.69099999576019</v>
      </c>
      <c r="K699" s="311"/>
      <c r="L699" s="311">
        <f t="shared" ref="L699:O699" si="307">SUM(L689:L697)</f>
        <v>202.91599999772467</v>
      </c>
      <c r="M699" s="311">
        <f t="shared" si="307"/>
        <v>223.83499999892558</v>
      </c>
      <c r="N699" s="311">
        <f t="shared" si="307"/>
        <v>9.3570000000639126</v>
      </c>
      <c r="O699" s="311">
        <f t="shared" si="307"/>
        <v>436.10799999671417</v>
      </c>
    </row>
    <row r="700" spans="1:15" s="236" customFormat="1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40"/>
    </row>
    <row r="701" spans="1:15" s="236" customFormat="1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40"/>
      <c r="O701" s="251" t="s">
        <v>35</v>
      </c>
    </row>
    <row r="702" spans="1:15" s="236" customFormat="1" x14ac:dyDescent="0.2">
      <c r="A702" s="242"/>
      <c r="B702" s="242"/>
      <c r="C702" s="242"/>
      <c r="D702" s="242"/>
      <c r="E702" s="242"/>
      <c r="F702" s="242"/>
      <c r="G702" s="242"/>
      <c r="H702" s="242"/>
      <c r="I702" s="242"/>
      <c r="J702" s="242"/>
      <c r="K702" s="242"/>
      <c r="L702" s="242"/>
      <c r="M702" s="242"/>
      <c r="N702" s="242"/>
      <c r="O702" s="242"/>
    </row>
    <row r="703" spans="1:15" s="236" customFormat="1" x14ac:dyDescent="0.2">
      <c r="A703" s="241" t="str">
        <f>name!A44</f>
        <v>Publishing activities</v>
      </c>
      <c r="B703" s="374">
        <f>$B$6</f>
        <v>2015</v>
      </c>
      <c r="C703" s="374"/>
      <c r="D703" s="374"/>
      <c r="E703" s="374"/>
      <c r="F703" s="263"/>
      <c r="G703" s="374">
        <f>$G$6</f>
        <v>2020</v>
      </c>
      <c r="H703" s="374"/>
      <c r="I703" s="374"/>
      <c r="J703" s="374"/>
      <c r="K703" s="263"/>
      <c r="L703" s="374">
        <f>$L$6</f>
        <v>2035</v>
      </c>
      <c r="M703" s="374"/>
      <c r="N703" s="374"/>
      <c r="O703" s="374"/>
    </row>
    <row r="704" spans="1:15" s="236" customFormat="1" x14ac:dyDescent="0.2">
      <c r="A704" s="254"/>
      <c r="B704" s="268" t="str">
        <f>$B$7</f>
        <v>FT</v>
      </c>
      <c r="C704" s="268" t="str">
        <f>$C$7</f>
        <v>PT</v>
      </c>
      <c r="D704" s="268" t="str">
        <f>$D$7</f>
        <v>SE</v>
      </c>
      <c r="E704" s="268" t="str">
        <f>$E$7</f>
        <v>Total</v>
      </c>
      <c r="F704" s="268"/>
      <c r="G704" s="268" t="str">
        <f>$G$7</f>
        <v>FT</v>
      </c>
      <c r="H704" s="268" t="str">
        <f>$H$7</f>
        <v>PT</v>
      </c>
      <c r="I704" s="268" t="str">
        <f>$I$7</f>
        <v>SE</v>
      </c>
      <c r="J704" s="268" t="str">
        <f>$J$7</f>
        <v>Total</v>
      </c>
      <c r="K704" s="268"/>
      <c r="L704" s="268" t="str">
        <f>$L$7</f>
        <v>FT</v>
      </c>
      <c r="M704" s="268" t="str">
        <f>$M$7</f>
        <v>PT</v>
      </c>
      <c r="N704" s="268" t="str">
        <f>$N$7</f>
        <v>SE</v>
      </c>
      <c r="O704" s="268" t="str">
        <f>$O$7</f>
        <v>Total</v>
      </c>
    </row>
    <row r="705" spans="1:15" s="236" customFormat="1" x14ac:dyDescent="0.2">
      <c r="A705" s="258"/>
      <c r="B705" s="239"/>
      <c r="C705" s="239"/>
      <c r="D705" s="239"/>
      <c r="E705" s="239"/>
      <c r="F705" s="239"/>
      <c r="G705" s="239"/>
      <c r="H705" s="239"/>
      <c r="I705" s="239"/>
      <c r="J705" s="239"/>
      <c r="K705" s="239"/>
      <c r="L705" s="239"/>
      <c r="M705" s="239"/>
      <c r="N705" s="239"/>
      <c r="O705" s="239"/>
    </row>
    <row r="706" spans="1:15" s="236" customFormat="1" x14ac:dyDescent="0.2">
      <c r="A706" s="237" t="str">
        <f>name!E$4</f>
        <v>Managers, directors and senior officials</v>
      </c>
      <c r="B706" s="302">
        <v>9.0878789490228886</v>
      </c>
      <c r="C706" s="302">
        <v>0.67155078937964374</v>
      </c>
      <c r="D706" s="302">
        <v>2.8028410475640384</v>
      </c>
      <c r="E706" s="302">
        <f>SUM(B706:D706)</f>
        <v>12.562270785966572</v>
      </c>
      <c r="F706" s="303"/>
      <c r="G706" s="302">
        <v>8.8308652633104572</v>
      </c>
      <c r="H706" s="302">
        <v>0.91360085083337483</v>
      </c>
      <c r="I706" s="302">
        <v>2.9767986171662515</v>
      </c>
      <c r="J706" s="302">
        <f>SUM(G706:I706)</f>
        <v>12.721264731310082</v>
      </c>
      <c r="K706" s="303"/>
      <c r="L706" s="302">
        <v>9.1454043472713487</v>
      </c>
      <c r="M706" s="302">
        <v>1.2213717984333412</v>
      </c>
      <c r="N706" s="302">
        <v>3.7398726086910337</v>
      </c>
      <c r="O706" s="302">
        <f>SUM(L706:N706)</f>
        <v>14.106648754395724</v>
      </c>
    </row>
    <row r="707" spans="1:15" s="236" customFormat="1" x14ac:dyDescent="0.2">
      <c r="A707" s="237" t="str">
        <f>name!E$5</f>
        <v>Professional occupations</v>
      </c>
      <c r="B707" s="302">
        <v>14.537486205172289</v>
      </c>
      <c r="C707" s="302">
        <v>1.1955040440842097</v>
      </c>
      <c r="D707" s="302">
        <v>2.8794497600294142</v>
      </c>
      <c r="E707" s="302">
        <f t="shared" ref="E707:E714" si="308">SUM(B707:D707)</f>
        <v>18.612440009285912</v>
      </c>
      <c r="F707" s="303"/>
      <c r="G707" s="302">
        <v>17.03060532838855</v>
      </c>
      <c r="H707" s="302">
        <v>1.5132289166362387</v>
      </c>
      <c r="I707" s="302">
        <v>2.8103073040066193</v>
      </c>
      <c r="J707" s="302">
        <f t="shared" ref="J707:J709" si="309">SUM(G707:I707)</f>
        <v>21.354141549031411</v>
      </c>
      <c r="K707" s="303"/>
      <c r="L707" s="302">
        <v>20.906978420584725</v>
      </c>
      <c r="M707" s="302">
        <v>2.1435669056630813</v>
      </c>
      <c r="N707" s="302">
        <v>2.3973921715670605</v>
      </c>
      <c r="O707" s="302">
        <f t="shared" ref="O707:O714" si="310">SUM(L707:N707)</f>
        <v>25.447937497814866</v>
      </c>
    </row>
    <row r="708" spans="1:15" s="236" customFormat="1" x14ac:dyDescent="0.2">
      <c r="A708" s="237" t="str">
        <f>name!E$6</f>
        <v>Associate professional occupations</v>
      </c>
      <c r="B708" s="302">
        <v>13.550574830329468</v>
      </c>
      <c r="C708" s="302">
        <v>2.0152398436674264</v>
      </c>
      <c r="D708" s="302">
        <v>7.6220908287571056</v>
      </c>
      <c r="E708" s="302">
        <f t="shared" si="308"/>
        <v>23.187905502753999</v>
      </c>
      <c r="F708" s="303"/>
      <c r="G708" s="302">
        <v>14.19131204411123</v>
      </c>
      <c r="H708" s="302">
        <v>1.9149570654865073</v>
      </c>
      <c r="I708" s="302">
        <v>7.4495110337169228</v>
      </c>
      <c r="J708" s="302">
        <f t="shared" si="309"/>
        <v>23.55578014331466</v>
      </c>
      <c r="K708" s="303"/>
      <c r="L708" s="302">
        <v>14.782787947230361</v>
      </c>
      <c r="M708" s="302">
        <v>2.0531234748831446</v>
      </c>
      <c r="N708" s="302">
        <v>7.7452581571647618</v>
      </c>
      <c r="O708" s="302">
        <f t="shared" si="310"/>
        <v>24.581169579278267</v>
      </c>
    </row>
    <row r="709" spans="1:15" s="236" customFormat="1" x14ac:dyDescent="0.2">
      <c r="A709" s="237" t="str">
        <f>name!E$7</f>
        <v>Administrative and secretarial occupations</v>
      </c>
      <c r="B709" s="302">
        <v>2.6266039598478472</v>
      </c>
      <c r="C709" s="302">
        <v>0.98265609752360483</v>
      </c>
      <c r="D709" s="302">
        <v>0.40067177997019959</v>
      </c>
      <c r="E709" s="302">
        <f t="shared" si="308"/>
        <v>4.0099318373416519</v>
      </c>
      <c r="F709" s="303"/>
      <c r="G709" s="302">
        <v>2.3925033410868535</v>
      </c>
      <c r="H709" s="302">
        <v>0.82055308737061761</v>
      </c>
      <c r="I709" s="302">
        <v>0.34426236409220173</v>
      </c>
      <c r="J709" s="302">
        <f t="shared" si="309"/>
        <v>3.557318792549673</v>
      </c>
      <c r="K709" s="303"/>
      <c r="L709" s="302">
        <v>1.5887075251245479</v>
      </c>
      <c r="M709" s="302">
        <v>0.68470164673983769</v>
      </c>
      <c r="N709" s="302">
        <v>0.29636250791289226</v>
      </c>
      <c r="O709" s="302">
        <f t="shared" si="310"/>
        <v>2.5697716797772783</v>
      </c>
    </row>
    <row r="710" spans="1:15" s="236" customFormat="1" x14ac:dyDescent="0.2">
      <c r="A710" s="237" t="str">
        <f>name!E$8</f>
        <v>Skilled trades occupations</v>
      </c>
      <c r="B710" s="302">
        <v>2.7101702813304049</v>
      </c>
      <c r="C710" s="302">
        <v>0.3171567321613592</v>
      </c>
      <c r="D710" s="302">
        <v>0.62269452408085502</v>
      </c>
      <c r="E710" s="302">
        <f t="shared" si="308"/>
        <v>3.650021537572619</v>
      </c>
      <c r="F710" s="303"/>
      <c r="G710" s="302">
        <v>1.8050768950766078</v>
      </c>
      <c r="H710" s="302">
        <v>0.21302476854373464</v>
      </c>
      <c r="I710" s="302">
        <v>0.59652554575873684</v>
      </c>
      <c r="J710" s="302">
        <f>SUM(G710:I710)</f>
        <v>2.614627209379079</v>
      </c>
      <c r="K710" s="303"/>
      <c r="L710" s="302">
        <v>1.1893050384855139</v>
      </c>
      <c r="M710" s="302">
        <v>0.21299343748239671</v>
      </c>
      <c r="N710" s="302">
        <v>0.72892855308294158</v>
      </c>
      <c r="O710" s="302">
        <f t="shared" si="310"/>
        <v>2.1312270290508524</v>
      </c>
    </row>
    <row r="711" spans="1:15" s="236" customFormat="1" x14ac:dyDescent="0.2">
      <c r="A711" s="237" t="str">
        <f>name!E$9</f>
        <v>Caring, leisure and other service occupations</v>
      </c>
      <c r="B711" s="302">
        <v>0.33828781404143304</v>
      </c>
      <c r="C711" s="302">
        <v>9.5903864090306906E-2</v>
      </c>
      <c r="D711" s="302">
        <v>0.10640480081190823</v>
      </c>
      <c r="E711" s="302">
        <f t="shared" si="308"/>
        <v>0.54059647894364815</v>
      </c>
      <c r="F711" s="303"/>
      <c r="G711" s="302">
        <v>0.30849898887601301</v>
      </c>
      <c r="H711" s="302">
        <v>8.1451209531370333E-2</v>
      </c>
      <c r="I711" s="302">
        <v>0.12146603982942794</v>
      </c>
      <c r="J711" s="302">
        <f t="shared" ref="J711:J714" si="311">SUM(G711:I711)</f>
        <v>0.51141623823681126</v>
      </c>
      <c r="K711" s="303"/>
      <c r="L711" s="302">
        <v>0.41788515522418596</v>
      </c>
      <c r="M711" s="302">
        <v>8.4500884817453284E-2</v>
      </c>
      <c r="N711" s="302">
        <v>0.18225389809693163</v>
      </c>
      <c r="O711" s="302">
        <f t="shared" si="310"/>
        <v>0.68463993813857082</v>
      </c>
    </row>
    <row r="712" spans="1:15" s="236" customFormat="1" x14ac:dyDescent="0.2">
      <c r="A712" s="237" t="str">
        <f>name!E$10</f>
        <v>Sales and customer service occupations</v>
      </c>
      <c r="B712" s="302">
        <v>1.5727185203318093</v>
      </c>
      <c r="C712" s="302">
        <v>0.28526086635437481</v>
      </c>
      <c r="D712" s="302">
        <v>0.5428712506363772</v>
      </c>
      <c r="E712" s="302">
        <f t="shared" si="308"/>
        <v>2.4008506373225611</v>
      </c>
      <c r="F712" s="303"/>
      <c r="G712" s="302">
        <v>1.3284597978785795</v>
      </c>
      <c r="H712" s="302">
        <v>0.24541656104144044</v>
      </c>
      <c r="I712" s="302">
        <v>0.40071140998533666</v>
      </c>
      <c r="J712" s="302">
        <f t="shared" si="311"/>
        <v>1.9745877689053566</v>
      </c>
      <c r="K712" s="303"/>
      <c r="L712" s="302">
        <v>1.237883131010924</v>
      </c>
      <c r="M712" s="302">
        <v>0.26136668937146856</v>
      </c>
      <c r="N712" s="302">
        <v>0.39686376069323087</v>
      </c>
      <c r="O712" s="302">
        <f t="shared" si="310"/>
        <v>1.8961135810756233</v>
      </c>
    </row>
    <row r="713" spans="1:15" s="236" customFormat="1" x14ac:dyDescent="0.2">
      <c r="A713" s="237" t="str">
        <f>name!E$11</f>
        <v>Process, plant and machine operatives</v>
      </c>
      <c r="B713" s="302">
        <v>0.49765154864277594</v>
      </c>
      <c r="C713" s="302">
        <v>0.16754603447352653</v>
      </c>
      <c r="D713" s="302">
        <v>0.13941823529404476</v>
      </c>
      <c r="E713" s="302">
        <f t="shared" si="308"/>
        <v>0.80461581841034724</v>
      </c>
      <c r="F713" s="303"/>
      <c r="G713" s="302">
        <v>0.33640170125379198</v>
      </c>
      <c r="H713" s="302">
        <v>0.17330274809195856</v>
      </c>
      <c r="I713" s="302">
        <v>0.15464553216060847</v>
      </c>
      <c r="J713" s="302">
        <f t="shared" si="311"/>
        <v>0.66434998150635904</v>
      </c>
      <c r="K713" s="303"/>
      <c r="L713" s="302">
        <v>0.23669170129330122</v>
      </c>
      <c r="M713" s="302">
        <v>0.19335681076501907</v>
      </c>
      <c r="N713" s="302">
        <v>0.18221616354214068</v>
      </c>
      <c r="O713" s="302">
        <f t="shared" si="310"/>
        <v>0.61226467560046094</v>
      </c>
    </row>
    <row r="714" spans="1:15" s="236" customFormat="1" x14ac:dyDescent="0.2">
      <c r="A714" s="237" t="str">
        <f>name!E$12</f>
        <v>Elementary occupations</v>
      </c>
      <c r="B714" s="302">
        <v>0.89662789063049897</v>
      </c>
      <c r="C714" s="302">
        <v>0.5421817282418081</v>
      </c>
      <c r="D714" s="302">
        <v>0.12755777301798821</v>
      </c>
      <c r="E714" s="302">
        <f t="shared" si="308"/>
        <v>1.5663673918902954</v>
      </c>
      <c r="F714" s="303"/>
      <c r="G714" s="302">
        <v>0.57027664015648549</v>
      </c>
      <c r="H714" s="302">
        <v>0.35246479244618395</v>
      </c>
      <c r="I714" s="302">
        <v>6.8772153584639215E-2</v>
      </c>
      <c r="J714" s="302">
        <f t="shared" si="311"/>
        <v>0.99151358618730867</v>
      </c>
      <c r="K714" s="303"/>
      <c r="L714" s="302">
        <v>0.309356734190052</v>
      </c>
      <c r="M714" s="302">
        <v>0.17801835184827156</v>
      </c>
      <c r="N714" s="302">
        <v>4.1852179874150013E-2</v>
      </c>
      <c r="O714" s="302">
        <f t="shared" si="310"/>
        <v>0.5292272659124736</v>
      </c>
    </row>
    <row r="715" spans="1:15" s="236" customFormat="1" x14ac:dyDescent="0.2">
      <c r="A715" s="237"/>
      <c r="B715" s="302"/>
      <c r="C715" s="302"/>
      <c r="D715" s="302"/>
      <c r="E715" s="302"/>
      <c r="F715" s="303"/>
      <c r="G715" s="302"/>
      <c r="H715" s="302"/>
      <c r="I715" s="302"/>
      <c r="J715" s="302"/>
      <c r="K715" s="303"/>
      <c r="L715" s="302"/>
      <c r="M715" s="302"/>
      <c r="N715" s="302"/>
      <c r="O715" s="302"/>
    </row>
    <row r="716" spans="1:15" s="236" customFormat="1" x14ac:dyDescent="0.2">
      <c r="A716" s="244" t="s">
        <v>32</v>
      </c>
      <c r="B716" s="311">
        <f>SUM(B706:B714)</f>
        <v>45.817999999349425</v>
      </c>
      <c r="C716" s="311">
        <f t="shared" ref="C716:E716" si="312">SUM(C706:C714)</f>
        <v>6.2729999999762605</v>
      </c>
      <c r="D716" s="311">
        <f t="shared" si="312"/>
        <v>15.244000000161932</v>
      </c>
      <c r="E716" s="311">
        <f t="shared" si="312"/>
        <v>67.334999999487607</v>
      </c>
      <c r="F716" s="311"/>
      <c r="G716" s="311">
        <f t="shared" ref="G716:J716" si="313">SUM(G706:G714)</f>
        <v>46.794000000138567</v>
      </c>
      <c r="H716" s="311">
        <f t="shared" si="313"/>
        <v>6.2279999999814262</v>
      </c>
      <c r="I716" s="311">
        <f t="shared" si="313"/>
        <v>14.923000000300748</v>
      </c>
      <c r="J716" s="311">
        <f t="shared" si="313"/>
        <v>67.945000000420748</v>
      </c>
      <c r="K716" s="311"/>
      <c r="L716" s="311">
        <f t="shared" ref="L716:O716" si="314">SUM(L706:L714)</f>
        <v>49.815000000414962</v>
      </c>
      <c r="M716" s="311">
        <f t="shared" si="314"/>
        <v>7.033000000004014</v>
      </c>
      <c r="N716" s="311">
        <f t="shared" si="314"/>
        <v>15.711000000625141</v>
      </c>
      <c r="O716" s="311">
        <f t="shared" si="314"/>
        <v>72.559000001044112</v>
      </c>
    </row>
    <row r="717" spans="1:15" s="236" customFormat="1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40"/>
    </row>
    <row r="718" spans="1:15" s="236" customFormat="1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40"/>
      <c r="O718" s="251" t="s">
        <v>35</v>
      </c>
    </row>
    <row r="719" spans="1:15" s="236" customFormat="1" x14ac:dyDescent="0.2">
      <c r="A719" s="242"/>
      <c r="B719" s="242"/>
      <c r="C719" s="242"/>
      <c r="D719" s="242"/>
      <c r="E719" s="242"/>
      <c r="F719" s="242"/>
      <c r="G719" s="242"/>
      <c r="H719" s="242"/>
      <c r="I719" s="242"/>
      <c r="J719" s="242"/>
      <c r="K719" s="242"/>
      <c r="L719" s="242"/>
      <c r="M719" s="242"/>
      <c r="N719" s="242"/>
      <c r="O719" s="242"/>
    </row>
    <row r="720" spans="1:15" s="236" customFormat="1" x14ac:dyDescent="0.2">
      <c r="A720" s="241" t="str">
        <f>name!A45</f>
        <v>Film and music</v>
      </c>
      <c r="B720" s="374">
        <f>$B$6</f>
        <v>2015</v>
      </c>
      <c r="C720" s="374"/>
      <c r="D720" s="374"/>
      <c r="E720" s="374"/>
      <c r="F720" s="263"/>
      <c r="G720" s="374">
        <f>$G$6</f>
        <v>2020</v>
      </c>
      <c r="H720" s="374"/>
      <c r="I720" s="374"/>
      <c r="J720" s="374"/>
      <c r="K720" s="263"/>
      <c r="L720" s="374">
        <f>$L$6</f>
        <v>2035</v>
      </c>
      <c r="M720" s="374"/>
      <c r="N720" s="374"/>
      <c r="O720" s="374"/>
    </row>
    <row r="721" spans="1:15" s="236" customFormat="1" x14ac:dyDescent="0.2">
      <c r="A721" s="254"/>
      <c r="B721" s="268" t="str">
        <f>$B$7</f>
        <v>FT</v>
      </c>
      <c r="C721" s="268" t="str">
        <f>$C$7</f>
        <v>PT</v>
      </c>
      <c r="D721" s="268" t="str">
        <f>$D$7</f>
        <v>SE</v>
      </c>
      <c r="E721" s="268" t="str">
        <f>$E$7</f>
        <v>Total</v>
      </c>
      <c r="F721" s="268"/>
      <c r="G721" s="268" t="str">
        <f>$G$7</f>
        <v>FT</v>
      </c>
      <c r="H721" s="268" t="str">
        <f>$H$7</f>
        <v>PT</v>
      </c>
      <c r="I721" s="268" t="str">
        <f>$I$7</f>
        <v>SE</v>
      </c>
      <c r="J721" s="268" t="str">
        <f>$J$7</f>
        <v>Total</v>
      </c>
      <c r="K721" s="268"/>
      <c r="L721" s="268" t="str">
        <f>$L$7</f>
        <v>FT</v>
      </c>
      <c r="M721" s="268" t="str">
        <f>$M$7</f>
        <v>PT</v>
      </c>
      <c r="N721" s="268" t="str">
        <f>$N$7</f>
        <v>SE</v>
      </c>
      <c r="O721" s="268" t="str">
        <f>$O$7</f>
        <v>Total</v>
      </c>
    </row>
    <row r="722" spans="1:15" s="236" customFormat="1" x14ac:dyDescent="0.2">
      <c r="A722" s="258"/>
      <c r="B722" s="239"/>
      <c r="C722" s="239"/>
      <c r="D722" s="239"/>
      <c r="E722" s="239"/>
      <c r="F722" s="239"/>
      <c r="G722" s="239"/>
      <c r="H722" s="239"/>
      <c r="I722" s="239"/>
      <c r="J722" s="239"/>
      <c r="K722" s="239"/>
      <c r="L722" s="239"/>
      <c r="M722" s="239"/>
      <c r="N722" s="239"/>
      <c r="O722" s="239"/>
    </row>
    <row r="723" spans="1:15" s="236" customFormat="1" x14ac:dyDescent="0.2">
      <c r="A723" s="237" t="str">
        <f>name!E$4</f>
        <v>Managers, directors and senior officials</v>
      </c>
      <c r="B723" s="302">
        <v>7.3204956091496642</v>
      </c>
      <c r="C723" s="302">
        <v>0.25451378758007676</v>
      </c>
      <c r="D723" s="302">
        <v>1.0659149496482245</v>
      </c>
      <c r="E723" s="302">
        <f>SUM(B723:D723)</f>
        <v>8.6409243463779664</v>
      </c>
      <c r="F723" s="303"/>
      <c r="G723" s="302">
        <v>8.0233407522915972</v>
      </c>
      <c r="H723" s="302">
        <v>0.55452003641822223</v>
      </c>
      <c r="I723" s="302">
        <v>0.9996456157644884</v>
      </c>
      <c r="J723" s="302">
        <f>SUM(G723:I723)</f>
        <v>9.5775064044743061</v>
      </c>
      <c r="K723" s="303"/>
      <c r="L723" s="302">
        <v>8.7144929779578106</v>
      </c>
      <c r="M723" s="302">
        <v>0.77088157410914881</v>
      </c>
      <c r="N723" s="302">
        <v>1.1604399878787064</v>
      </c>
      <c r="O723" s="302">
        <f>SUM(L723:N723)</f>
        <v>10.645814539945667</v>
      </c>
    </row>
    <row r="724" spans="1:15" s="236" customFormat="1" x14ac:dyDescent="0.2">
      <c r="A724" s="237" t="str">
        <f>name!E$5</f>
        <v>Professional occupations</v>
      </c>
      <c r="B724" s="302">
        <v>13.125214860661204</v>
      </c>
      <c r="C724" s="302">
        <v>0.93449630047326704</v>
      </c>
      <c r="D724" s="302">
        <v>2.824056962114569</v>
      </c>
      <c r="E724" s="302">
        <f t="shared" ref="E724:E731" si="315">SUM(B724:D724)</f>
        <v>16.883768123249041</v>
      </c>
      <c r="F724" s="303"/>
      <c r="G724" s="302">
        <v>17.230951524239071</v>
      </c>
      <c r="H724" s="302">
        <v>1.834952077280918</v>
      </c>
      <c r="I724" s="302">
        <v>2.8069268098213547</v>
      </c>
      <c r="J724" s="302">
        <f t="shared" ref="J724:J726" si="316">SUM(G724:I724)</f>
        <v>21.872830411341344</v>
      </c>
      <c r="K724" s="303"/>
      <c r="L724" s="302">
        <v>20.647578832333938</v>
      </c>
      <c r="M724" s="302">
        <v>2.6359772633169212</v>
      </c>
      <c r="N724" s="302">
        <v>2.7287040329493513</v>
      </c>
      <c r="O724" s="302">
        <f t="shared" ref="O724:O731" si="317">SUM(L724:N724)</f>
        <v>26.012260128600211</v>
      </c>
    </row>
    <row r="725" spans="1:15" s="236" customFormat="1" x14ac:dyDescent="0.2">
      <c r="A725" s="237" t="str">
        <f>name!E$6</f>
        <v>Associate professional occupations</v>
      </c>
      <c r="B725" s="302">
        <v>15.724242328964552</v>
      </c>
      <c r="C725" s="302">
        <v>1.5834731210726223</v>
      </c>
      <c r="D725" s="302">
        <v>8.4084008332919726</v>
      </c>
      <c r="E725" s="302">
        <f t="shared" si="315"/>
        <v>25.71611628332915</v>
      </c>
      <c r="F725" s="303"/>
      <c r="G725" s="302">
        <v>18.391011252811069</v>
      </c>
      <c r="H725" s="302">
        <v>2.418546423678853</v>
      </c>
      <c r="I725" s="302">
        <v>8.4878022319222932</v>
      </c>
      <c r="J725" s="302">
        <f t="shared" si="316"/>
        <v>29.297359908412218</v>
      </c>
      <c r="K725" s="303"/>
      <c r="L725" s="302">
        <v>19.286948967738528</v>
      </c>
      <c r="M725" s="302">
        <v>2.7939742503900771</v>
      </c>
      <c r="N725" s="302">
        <v>9.2476596437484613</v>
      </c>
      <c r="O725" s="302">
        <f t="shared" si="317"/>
        <v>31.328582861877067</v>
      </c>
    </row>
    <row r="726" spans="1:15" s="236" customFormat="1" x14ac:dyDescent="0.2">
      <c r="A726" s="237" t="str">
        <f>name!E$7</f>
        <v>Administrative and secretarial occupations</v>
      </c>
      <c r="B726" s="302">
        <v>4.9997389192233168</v>
      </c>
      <c r="C726" s="302">
        <v>0.87578302986670009</v>
      </c>
      <c r="D726" s="302">
        <v>0.15068679719198014</v>
      </c>
      <c r="E726" s="302">
        <f t="shared" si="315"/>
        <v>6.0262087462819975</v>
      </c>
      <c r="F726" s="303"/>
      <c r="G726" s="302">
        <v>4.9311273339275461</v>
      </c>
      <c r="H726" s="302">
        <v>1.215367932179807</v>
      </c>
      <c r="I726" s="302">
        <v>0.10269104181461439</v>
      </c>
      <c r="J726" s="302">
        <f t="shared" si="316"/>
        <v>6.2491863079219669</v>
      </c>
      <c r="K726" s="303"/>
      <c r="L726" s="302">
        <v>3.8293710519346762</v>
      </c>
      <c r="M726" s="302">
        <v>1.0613793518948027</v>
      </c>
      <c r="N726" s="302">
        <v>8.6268207434829866E-2</v>
      </c>
      <c r="O726" s="302">
        <f t="shared" si="317"/>
        <v>4.9770186112643087</v>
      </c>
    </row>
    <row r="727" spans="1:15" s="236" customFormat="1" x14ac:dyDescent="0.2">
      <c r="A727" s="237" t="str">
        <f>name!E$8</f>
        <v>Skilled trades occupations</v>
      </c>
      <c r="B727" s="302">
        <v>2.9049946262481572</v>
      </c>
      <c r="C727" s="302">
        <v>0.15001784334472748</v>
      </c>
      <c r="D727" s="302">
        <v>0.74388071939320544</v>
      </c>
      <c r="E727" s="302">
        <f t="shared" si="315"/>
        <v>3.79889318898609</v>
      </c>
      <c r="F727" s="303"/>
      <c r="G727" s="302">
        <v>2.4413761952599566</v>
      </c>
      <c r="H727" s="302">
        <v>0.18326643632725756</v>
      </c>
      <c r="I727" s="302">
        <v>0.58117998710876784</v>
      </c>
      <c r="J727" s="302">
        <f>SUM(G727:I727)</f>
        <v>3.205822618695982</v>
      </c>
      <c r="K727" s="303"/>
      <c r="L727" s="302">
        <v>1.9036825097627119</v>
      </c>
      <c r="M727" s="302">
        <v>0.25947739092012739</v>
      </c>
      <c r="N727" s="302">
        <v>0.62332893099198738</v>
      </c>
      <c r="O727" s="302">
        <f t="shared" si="317"/>
        <v>2.7864888316748266</v>
      </c>
    </row>
    <row r="728" spans="1:15" s="236" customFormat="1" x14ac:dyDescent="0.2">
      <c r="A728" s="237" t="str">
        <f>name!E$9</f>
        <v>Caring, leisure and other service occupations</v>
      </c>
      <c r="B728" s="302">
        <v>2.1332899409648141</v>
      </c>
      <c r="C728" s="302">
        <v>0.57961799105164158</v>
      </c>
      <c r="D728" s="302">
        <v>0.23261706876998581</v>
      </c>
      <c r="E728" s="302">
        <f t="shared" si="315"/>
        <v>2.9455250007864415</v>
      </c>
      <c r="F728" s="303"/>
      <c r="G728" s="302">
        <v>1.9618451044571601</v>
      </c>
      <c r="H728" s="302">
        <v>0.78703664466703915</v>
      </c>
      <c r="I728" s="302">
        <v>0.20985711835743162</v>
      </c>
      <c r="J728" s="302">
        <f t="shared" ref="J728:J731" si="318">SUM(G728:I728)</f>
        <v>2.9587388674816308</v>
      </c>
      <c r="K728" s="303"/>
      <c r="L728" s="302">
        <v>2.0416437090769834</v>
      </c>
      <c r="M728" s="302">
        <v>0.83576472650564537</v>
      </c>
      <c r="N728" s="302">
        <v>0.23202651628826518</v>
      </c>
      <c r="O728" s="302">
        <f t="shared" si="317"/>
        <v>3.1094349518708939</v>
      </c>
    </row>
    <row r="729" spans="1:15" s="236" customFormat="1" x14ac:dyDescent="0.2">
      <c r="A729" s="237" t="str">
        <f>name!E$10</f>
        <v>Sales and customer service occupations</v>
      </c>
      <c r="B729" s="302">
        <v>2.232495088935333</v>
      </c>
      <c r="C729" s="302">
        <v>0.29976780211337511</v>
      </c>
      <c r="D729" s="302">
        <v>0.23415297050451395</v>
      </c>
      <c r="E729" s="302">
        <f t="shared" si="315"/>
        <v>2.7664158615532219</v>
      </c>
      <c r="F729" s="303"/>
      <c r="G729" s="302">
        <v>2.1678527763743203</v>
      </c>
      <c r="H729" s="302">
        <v>0.45913897651597757</v>
      </c>
      <c r="I729" s="302">
        <v>0.15351933407642673</v>
      </c>
      <c r="J729" s="302">
        <f t="shared" si="318"/>
        <v>2.7805110869667247</v>
      </c>
      <c r="K729" s="303"/>
      <c r="L729" s="302">
        <v>2.2310179194779054</v>
      </c>
      <c r="M729" s="302">
        <v>0.60537917165563815</v>
      </c>
      <c r="N729" s="302">
        <v>0.13788656334612365</v>
      </c>
      <c r="O729" s="302">
        <f t="shared" si="317"/>
        <v>2.9742836544796671</v>
      </c>
    </row>
    <row r="730" spans="1:15" s="236" customFormat="1" x14ac:dyDescent="0.2">
      <c r="A730" s="237" t="str">
        <f>name!E$11</f>
        <v>Process, plant and machine operatives</v>
      </c>
      <c r="B730" s="302">
        <v>0.29383299625217318</v>
      </c>
      <c r="C730" s="302">
        <v>7.1394060552382649E-2</v>
      </c>
      <c r="D730" s="302">
        <v>3.8254053530516557E-2</v>
      </c>
      <c r="E730" s="302">
        <f t="shared" si="315"/>
        <v>0.40348111033507239</v>
      </c>
      <c r="F730" s="303"/>
      <c r="G730" s="302">
        <v>0.24789450866722629</v>
      </c>
      <c r="H730" s="302">
        <v>0.13990417459581816</v>
      </c>
      <c r="I730" s="302">
        <v>3.6672396847586539E-2</v>
      </c>
      <c r="J730" s="302">
        <f t="shared" si="318"/>
        <v>0.424471080110631</v>
      </c>
      <c r="K730" s="303"/>
      <c r="L730" s="302">
        <v>0.24318256342769556</v>
      </c>
      <c r="M730" s="302">
        <v>0.22981745622195013</v>
      </c>
      <c r="N730" s="302">
        <v>5.4411638863026503E-2</v>
      </c>
      <c r="O730" s="302">
        <f t="shared" si="317"/>
        <v>0.52741165851267213</v>
      </c>
    </row>
    <row r="731" spans="1:15" s="236" customFormat="1" x14ac:dyDescent="0.2">
      <c r="A731" s="237" t="str">
        <f>name!E$12</f>
        <v>Elementary occupations</v>
      </c>
      <c r="B731" s="302">
        <v>2.8206956292823708</v>
      </c>
      <c r="C731" s="302">
        <v>1.4739360639761256</v>
      </c>
      <c r="D731" s="302">
        <v>1.3990356458426259</v>
      </c>
      <c r="E731" s="302">
        <f t="shared" si="315"/>
        <v>5.6936673391011228</v>
      </c>
      <c r="F731" s="303"/>
      <c r="G731" s="302">
        <v>2.5876005520899037</v>
      </c>
      <c r="H731" s="302">
        <v>1.8402672982754007</v>
      </c>
      <c r="I731" s="302">
        <v>0.69970546478437479</v>
      </c>
      <c r="J731" s="302">
        <f t="shared" si="318"/>
        <v>5.1275733151496787</v>
      </c>
      <c r="K731" s="303"/>
      <c r="L731" s="302">
        <v>2.9820814684583739</v>
      </c>
      <c r="M731" s="302">
        <v>1.4283488149203056</v>
      </c>
      <c r="N731" s="302">
        <v>1.1052744794494089</v>
      </c>
      <c r="O731" s="302">
        <f t="shared" si="317"/>
        <v>5.5157047628280882</v>
      </c>
    </row>
    <row r="732" spans="1:15" s="236" customFormat="1" x14ac:dyDescent="0.2">
      <c r="A732" s="237"/>
      <c r="B732" s="302"/>
      <c r="C732" s="302"/>
      <c r="D732" s="302"/>
      <c r="E732" s="302"/>
      <c r="F732" s="303"/>
      <c r="G732" s="302"/>
      <c r="H732" s="302"/>
      <c r="I732" s="302"/>
      <c r="J732" s="302"/>
      <c r="K732" s="303"/>
      <c r="L732" s="302"/>
      <c r="M732" s="302"/>
      <c r="N732" s="302"/>
      <c r="O732" s="302"/>
    </row>
    <row r="733" spans="1:15" s="236" customFormat="1" x14ac:dyDescent="0.2">
      <c r="A733" s="244" t="s">
        <v>32</v>
      </c>
      <c r="B733" s="311">
        <f>SUM(B723:B731)</f>
        <v>51.554999999681577</v>
      </c>
      <c r="C733" s="311">
        <f t="shared" ref="C733:E733" si="319">SUM(C723:C731)</f>
        <v>6.2230000000309182</v>
      </c>
      <c r="D733" s="311">
        <f t="shared" si="319"/>
        <v>15.097000000287595</v>
      </c>
      <c r="E733" s="311">
        <f t="shared" si="319"/>
        <v>72.875000000000114</v>
      </c>
      <c r="F733" s="311"/>
      <c r="G733" s="311">
        <f t="shared" ref="G733:J733" si="320">SUM(G723:G731)</f>
        <v>57.983000000117855</v>
      </c>
      <c r="H733" s="311">
        <f t="shared" si="320"/>
        <v>9.4329999999392946</v>
      </c>
      <c r="I733" s="311">
        <f t="shared" si="320"/>
        <v>14.078000000497338</v>
      </c>
      <c r="J733" s="311">
        <f t="shared" si="320"/>
        <v>81.494000000554479</v>
      </c>
      <c r="K733" s="311"/>
      <c r="L733" s="311">
        <f t="shared" ref="L733:O733" si="321">SUM(L723:L731)</f>
        <v>61.880000000168629</v>
      </c>
      <c r="M733" s="311">
        <f t="shared" si="321"/>
        <v>10.620999999934616</v>
      </c>
      <c r="N733" s="311">
        <f t="shared" si="321"/>
        <v>15.376000000950162</v>
      </c>
      <c r="O733" s="311">
        <f t="shared" si="321"/>
        <v>87.877000001053418</v>
      </c>
    </row>
    <row r="734" spans="1:15" s="236" customFormat="1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40"/>
    </row>
    <row r="735" spans="1:15" s="236" customFormat="1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40"/>
      <c r="O735" s="251" t="s">
        <v>35</v>
      </c>
    </row>
    <row r="736" spans="1:15" s="236" customFormat="1" x14ac:dyDescent="0.2">
      <c r="A736" s="242"/>
      <c r="B736" s="242"/>
      <c r="C736" s="242"/>
      <c r="D736" s="242"/>
      <c r="E736" s="242"/>
      <c r="F736" s="242"/>
      <c r="G736" s="242"/>
      <c r="H736" s="242"/>
      <c r="I736" s="242"/>
      <c r="J736" s="242"/>
      <c r="K736" s="242"/>
      <c r="L736" s="242"/>
      <c r="M736" s="242"/>
      <c r="N736" s="242"/>
      <c r="O736" s="242"/>
    </row>
    <row r="737" spans="1:15" s="236" customFormat="1" x14ac:dyDescent="0.2">
      <c r="A737" s="241" t="str">
        <f>name!A46</f>
        <v>Broadcasting</v>
      </c>
      <c r="B737" s="374">
        <f>$B$6</f>
        <v>2015</v>
      </c>
      <c r="C737" s="374"/>
      <c r="D737" s="374"/>
      <c r="E737" s="374"/>
      <c r="F737" s="263"/>
      <c r="G737" s="374">
        <f>$G$6</f>
        <v>2020</v>
      </c>
      <c r="H737" s="374"/>
      <c r="I737" s="374"/>
      <c r="J737" s="374"/>
      <c r="K737" s="263"/>
      <c r="L737" s="374">
        <f>$L$6</f>
        <v>2035</v>
      </c>
      <c r="M737" s="374"/>
      <c r="N737" s="374"/>
      <c r="O737" s="374"/>
    </row>
    <row r="738" spans="1:15" s="236" customFormat="1" x14ac:dyDescent="0.2">
      <c r="A738" s="254"/>
      <c r="B738" s="268" t="str">
        <f>$B$7</f>
        <v>FT</v>
      </c>
      <c r="C738" s="268" t="str">
        <f>$C$7</f>
        <v>PT</v>
      </c>
      <c r="D738" s="268" t="str">
        <f>$D$7</f>
        <v>SE</v>
      </c>
      <c r="E738" s="268" t="str">
        <f>$E$7</f>
        <v>Total</v>
      </c>
      <c r="F738" s="268"/>
      <c r="G738" s="268" t="str">
        <f>$G$7</f>
        <v>FT</v>
      </c>
      <c r="H738" s="268" t="str">
        <f>$H$7</f>
        <v>PT</v>
      </c>
      <c r="I738" s="268" t="str">
        <f>$I$7</f>
        <v>SE</v>
      </c>
      <c r="J738" s="268" t="str">
        <f>$J$7</f>
        <v>Total</v>
      </c>
      <c r="K738" s="268"/>
      <c r="L738" s="268" t="str">
        <f>$L$7</f>
        <v>FT</v>
      </c>
      <c r="M738" s="268" t="str">
        <f>$M$7</f>
        <v>PT</v>
      </c>
      <c r="N738" s="268" t="str">
        <f>$N$7</f>
        <v>SE</v>
      </c>
      <c r="O738" s="268" t="str">
        <f>$O$7</f>
        <v>Total</v>
      </c>
    </row>
    <row r="739" spans="1:15" s="236" customFormat="1" x14ac:dyDescent="0.2">
      <c r="A739" s="258"/>
      <c r="B739" s="239"/>
      <c r="C739" s="239"/>
      <c r="D739" s="239"/>
      <c r="E739" s="239"/>
      <c r="F739" s="239"/>
      <c r="G739" s="239"/>
      <c r="H739" s="239"/>
      <c r="I739" s="239"/>
      <c r="J739" s="239"/>
      <c r="K739" s="239"/>
      <c r="L739" s="239"/>
      <c r="M739" s="239"/>
      <c r="N739" s="239"/>
      <c r="O739" s="239"/>
    </row>
    <row r="740" spans="1:15" s="236" customFormat="1" x14ac:dyDescent="0.2">
      <c r="A740" s="237" t="str">
        <f>name!E$4</f>
        <v>Managers, directors and senior officials</v>
      </c>
      <c r="B740" s="302">
        <v>3.5182118663441964</v>
      </c>
      <c r="C740" s="302">
        <v>6.455671632297981E-2</v>
      </c>
      <c r="D740" s="302">
        <v>0.53741439222012299</v>
      </c>
      <c r="E740" s="302">
        <f>SUM(B740:D740)</f>
        <v>4.1201829748872987</v>
      </c>
      <c r="F740" s="303"/>
      <c r="G740" s="302">
        <v>2.9105920915487467</v>
      </c>
      <c r="H740" s="302">
        <v>0.14289675091989579</v>
      </c>
      <c r="I740" s="302">
        <v>0.74021170470002418</v>
      </c>
      <c r="J740" s="302">
        <f>SUM(G740:I740)</f>
        <v>3.7937005471686667</v>
      </c>
      <c r="K740" s="303"/>
      <c r="L740" s="302">
        <v>3.0862856881693523</v>
      </c>
      <c r="M740" s="302">
        <v>0.18752695963418675</v>
      </c>
      <c r="N740" s="302">
        <v>0.8912512822957156</v>
      </c>
      <c r="O740" s="302">
        <f>SUM(L740:N740)</f>
        <v>4.1650639300992545</v>
      </c>
    </row>
    <row r="741" spans="1:15" s="236" customFormat="1" x14ac:dyDescent="0.2">
      <c r="A741" s="237" t="str">
        <f>name!E$5</f>
        <v>Professional occupations</v>
      </c>
      <c r="B741" s="302">
        <v>5.7379051103150278</v>
      </c>
      <c r="C741" s="302">
        <v>0.27319037361836229</v>
      </c>
      <c r="D741" s="302">
        <v>1.478560083266927</v>
      </c>
      <c r="E741" s="302">
        <f t="shared" ref="E741:E748" si="322">SUM(B741:D741)</f>
        <v>7.4896555672003178</v>
      </c>
      <c r="F741" s="303"/>
      <c r="G741" s="302">
        <v>5.5963398612192181</v>
      </c>
      <c r="H741" s="302">
        <v>0.59100443349807641</v>
      </c>
      <c r="I741" s="302">
        <v>1.5511249361121542</v>
      </c>
      <c r="J741" s="302">
        <f t="shared" ref="J741:J743" si="323">SUM(G741:I741)</f>
        <v>7.7384692308294483</v>
      </c>
      <c r="K741" s="303"/>
      <c r="L741" s="302">
        <v>6.7907535326901982</v>
      </c>
      <c r="M741" s="302">
        <v>0.89315784800525444</v>
      </c>
      <c r="N741" s="302">
        <v>1.4060793052901812</v>
      </c>
      <c r="O741" s="302">
        <f t="shared" ref="O741:O748" si="324">SUM(L741:N741)</f>
        <v>9.089990685985633</v>
      </c>
    </row>
    <row r="742" spans="1:15" s="236" customFormat="1" x14ac:dyDescent="0.2">
      <c r="A742" s="237" t="str">
        <f>name!E$6</f>
        <v>Associate professional occupations</v>
      </c>
      <c r="B742" s="302">
        <v>5.967204569989935</v>
      </c>
      <c r="C742" s="302">
        <v>0.50123544613036064</v>
      </c>
      <c r="D742" s="302">
        <v>3.9846886825270289</v>
      </c>
      <c r="E742" s="302">
        <f t="shared" si="322"/>
        <v>10.453128698647324</v>
      </c>
      <c r="F742" s="303"/>
      <c r="G742" s="302">
        <v>5.0366753377613751</v>
      </c>
      <c r="H742" s="302">
        <v>0.83907562804531299</v>
      </c>
      <c r="I742" s="302">
        <v>4.5699951865728572</v>
      </c>
      <c r="J742" s="302">
        <f t="shared" si="323"/>
        <v>10.445746152379545</v>
      </c>
      <c r="K742" s="303"/>
      <c r="L742" s="302">
        <v>4.8881919739501711</v>
      </c>
      <c r="M742" s="302">
        <v>0.98598959545164055</v>
      </c>
      <c r="N742" s="302">
        <v>4.6242942142802415</v>
      </c>
      <c r="O742" s="302">
        <f t="shared" si="324"/>
        <v>10.498475783682053</v>
      </c>
    </row>
    <row r="743" spans="1:15" s="236" customFormat="1" x14ac:dyDescent="0.2">
      <c r="A743" s="237" t="str">
        <f>name!E$7</f>
        <v>Administrative and secretarial occupations</v>
      </c>
      <c r="B743" s="302">
        <v>1.5462174407481502</v>
      </c>
      <c r="C743" s="302">
        <v>0.2419216670903071</v>
      </c>
      <c r="D743" s="302">
        <v>6.3402092958271192E-2</v>
      </c>
      <c r="E743" s="302">
        <f t="shared" si="322"/>
        <v>1.8515412007967285</v>
      </c>
      <c r="F743" s="303"/>
      <c r="G743" s="302">
        <v>1.1801583442060859</v>
      </c>
      <c r="H743" s="302">
        <v>0.36065790874265097</v>
      </c>
      <c r="I743" s="302">
        <v>9.0673167373464342E-2</v>
      </c>
      <c r="J743" s="302">
        <f t="shared" si="323"/>
        <v>1.6314894203222012</v>
      </c>
      <c r="K743" s="303"/>
      <c r="L743" s="302">
        <v>0.98282510765458897</v>
      </c>
      <c r="M743" s="302">
        <v>0.27981393521817494</v>
      </c>
      <c r="N743" s="302">
        <v>9.6579968425053356E-2</v>
      </c>
      <c r="O743" s="302">
        <f t="shared" si="324"/>
        <v>1.3592190112978173</v>
      </c>
    </row>
    <row r="744" spans="1:15" s="236" customFormat="1" x14ac:dyDescent="0.2">
      <c r="A744" s="237" t="str">
        <f>name!E$8</f>
        <v>Skilled trades occupations</v>
      </c>
      <c r="B744" s="302">
        <v>2.0798711092739466</v>
      </c>
      <c r="C744" s="302">
        <v>5.4284941694900127E-2</v>
      </c>
      <c r="D744" s="302">
        <v>0.37928322349177346</v>
      </c>
      <c r="E744" s="302">
        <f t="shared" si="322"/>
        <v>2.5134392744606204</v>
      </c>
      <c r="F744" s="303"/>
      <c r="G744" s="302">
        <v>1.3081733193115559</v>
      </c>
      <c r="H744" s="302">
        <v>7.2216402597075818E-2</v>
      </c>
      <c r="I744" s="302">
        <v>0.47449530572650422</v>
      </c>
      <c r="J744" s="302">
        <f>SUM(G744:I744)</f>
        <v>1.8548850276351359</v>
      </c>
      <c r="K744" s="303"/>
      <c r="L744" s="302">
        <v>1.1789521004255494</v>
      </c>
      <c r="M744" s="302">
        <v>9.9048744593331045E-2</v>
      </c>
      <c r="N744" s="302">
        <v>0.59654760454913502</v>
      </c>
      <c r="O744" s="302">
        <f t="shared" si="324"/>
        <v>1.8745484495680156</v>
      </c>
    </row>
    <row r="745" spans="1:15" s="236" customFormat="1" x14ac:dyDescent="0.2">
      <c r="A745" s="237" t="str">
        <f>name!E$9</f>
        <v>Caring, leisure and other service occupations</v>
      </c>
      <c r="B745" s="302">
        <v>0.85753802105160792</v>
      </c>
      <c r="C745" s="302">
        <v>0.16610456038147015</v>
      </c>
      <c r="D745" s="302">
        <v>7.5067545918858974E-2</v>
      </c>
      <c r="E745" s="302">
        <f t="shared" si="322"/>
        <v>1.0987101273519371</v>
      </c>
      <c r="F745" s="303"/>
      <c r="G745" s="302">
        <v>0.6145488404154219</v>
      </c>
      <c r="H745" s="302">
        <v>0.23574070111881365</v>
      </c>
      <c r="I745" s="302">
        <v>0.11545033096500626</v>
      </c>
      <c r="J745" s="302">
        <f t="shared" ref="J745:J748" si="325">SUM(G745:I745)</f>
        <v>0.96573987249924176</v>
      </c>
      <c r="K745" s="303"/>
      <c r="L745" s="302">
        <v>0.77149805190959964</v>
      </c>
      <c r="M745" s="302">
        <v>0.26609696419242801</v>
      </c>
      <c r="N745" s="302">
        <v>0.1485788036150093</v>
      </c>
      <c r="O745" s="302">
        <f t="shared" si="324"/>
        <v>1.1861738197170371</v>
      </c>
    </row>
    <row r="746" spans="1:15" s="236" customFormat="1" x14ac:dyDescent="0.2">
      <c r="A746" s="237" t="str">
        <f>name!E$10</f>
        <v>Sales and customer service occupations</v>
      </c>
      <c r="B746" s="302">
        <v>1.07296465752422</v>
      </c>
      <c r="C746" s="302">
        <v>0.10354150544879467</v>
      </c>
      <c r="D746" s="302">
        <v>0.13124394987030252</v>
      </c>
      <c r="E746" s="302">
        <f t="shared" si="322"/>
        <v>1.3077501128433173</v>
      </c>
      <c r="F746" s="303"/>
      <c r="G746" s="302">
        <v>0.79809368188074858</v>
      </c>
      <c r="H746" s="302">
        <v>0.15463106045506003</v>
      </c>
      <c r="I746" s="302">
        <v>0.12255387577299755</v>
      </c>
      <c r="J746" s="302">
        <f t="shared" si="325"/>
        <v>1.0752786181088061</v>
      </c>
      <c r="K746" s="303"/>
      <c r="L746" s="302">
        <v>0.93164094771174655</v>
      </c>
      <c r="M746" s="302">
        <v>0.15001919123480564</v>
      </c>
      <c r="N746" s="302">
        <v>0.12511780684843371</v>
      </c>
      <c r="O746" s="302">
        <f t="shared" si="324"/>
        <v>1.2067779457949859</v>
      </c>
    </row>
    <row r="747" spans="1:15" s="236" customFormat="1" x14ac:dyDescent="0.2">
      <c r="A747" s="237" t="str">
        <f>name!E$11</f>
        <v>Process, plant and machine operatives</v>
      </c>
      <c r="B747" s="302">
        <v>0.10292106591447198</v>
      </c>
      <c r="C747" s="302">
        <v>1.123502853320189E-2</v>
      </c>
      <c r="D747" s="302">
        <v>2.0648885791284242E-2</v>
      </c>
      <c r="E747" s="302">
        <f t="shared" si="322"/>
        <v>0.13480498023895812</v>
      </c>
      <c r="F747" s="303"/>
      <c r="G747" s="302">
        <v>6.248010371858783E-2</v>
      </c>
      <c r="H747" s="302">
        <v>1.9618630268534647E-2</v>
      </c>
      <c r="I747" s="302">
        <v>2.323175339583251E-2</v>
      </c>
      <c r="J747" s="302">
        <f t="shared" si="325"/>
        <v>0.10533048738295499</v>
      </c>
      <c r="K747" s="303"/>
      <c r="L747" s="302">
        <v>5.7138947904308776E-2</v>
      </c>
      <c r="M747" s="302">
        <v>2.1953149809428477E-2</v>
      </c>
      <c r="N747" s="302">
        <v>3.6576685387549358E-2</v>
      </c>
      <c r="O747" s="302">
        <f t="shared" si="324"/>
        <v>0.11566878310128662</v>
      </c>
    </row>
    <row r="748" spans="1:15" s="236" customFormat="1" x14ac:dyDescent="0.2">
      <c r="A748" s="237" t="str">
        <f>name!E$12</f>
        <v>Elementary occupations</v>
      </c>
      <c r="B748" s="302">
        <v>0.30216615863913832</v>
      </c>
      <c r="C748" s="302">
        <v>0.30192976078268857</v>
      </c>
      <c r="D748" s="302">
        <v>4.7691144069720103E-2</v>
      </c>
      <c r="E748" s="302">
        <f t="shared" si="322"/>
        <v>0.65178706349154703</v>
      </c>
      <c r="F748" s="303"/>
      <c r="G748" s="302">
        <v>0.17393841999526186</v>
      </c>
      <c r="H748" s="302">
        <v>0.38215848434324706</v>
      </c>
      <c r="I748" s="302">
        <v>4.4263739575363711E-2</v>
      </c>
      <c r="J748" s="302">
        <f t="shared" si="325"/>
        <v>0.60036064391387256</v>
      </c>
      <c r="K748" s="303"/>
      <c r="L748" s="302">
        <v>0.10171364971211549</v>
      </c>
      <c r="M748" s="302">
        <v>0.29339361185383028</v>
      </c>
      <c r="N748" s="302">
        <v>6.7974329689554511E-2</v>
      </c>
      <c r="O748" s="302">
        <f t="shared" si="324"/>
        <v>0.4630815912555003</v>
      </c>
    </row>
    <row r="749" spans="1:15" s="236" customFormat="1" x14ac:dyDescent="0.2">
      <c r="A749" s="237"/>
      <c r="B749" s="302"/>
      <c r="C749" s="302"/>
      <c r="D749" s="302"/>
      <c r="E749" s="302"/>
      <c r="F749" s="303"/>
      <c r="G749" s="302"/>
      <c r="H749" s="302"/>
      <c r="I749" s="302"/>
      <c r="J749" s="302"/>
      <c r="K749" s="303"/>
      <c r="L749" s="302"/>
      <c r="M749" s="302"/>
      <c r="N749" s="302"/>
      <c r="O749" s="302"/>
    </row>
    <row r="750" spans="1:15" s="236" customFormat="1" x14ac:dyDescent="0.2">
      <c r="A750" s="244" t="s">
        <v>32</v>
      </c>
      <c r="B750" s="311">
        <f>SUM(B740:B748)</f>
        <v>21.184999999800695</v>
      </c>
      <c r="C750" s="311">
        <f t="shared" ref="C750:E750" si="326">SUM(C740:C748)</f>
        <v>1.7180000000030651</v>
      </c>
      <c r="D750" s="311">
        <f t="shared" si="326"/>
        <v>6.7180000001142908</v>
      </c>
      <c r="E750" s="311">
        <f t="shared" si="326"/>
        <v>29.620999999918045</v>
      </c>
      <c r="F750" s="311"/>
      <c r="G750" s="311">
        <f t="shared" ref="G750:J750" si="327">SUM(G740:G748)</f>
        <v>17.681000000057004</v>
      </c>
      <c r="H750" s="311">
        <f t="shared" si="327"/>
        <v>2.7979999999886669</v>
      </c>
      <c r="I750" s="311">
        <f t="shared" si="327"/>
        <v>7.7320000001942031</v>
      </c>
      <c r="J750" s="311">
        <f t="shared" si="327"/>
        <v>28.211000000239874</v>
      </c>
      <c r="K750" s="311"/>
      <c r="L750" s="311">
        <f t="shared" ref="L750:O750" si="328">SUM(L740:L748)</f>
        <v>18.789000000127633</v>
      </c>
      <c r="M750" s="311">
        <f t="shared" si="328"/>
        <v>3.1769999999930802</v>
      </c>
      <c r="N750" s="311">
        <f t="shared" si="328"/>
        <v>7.9930000003808743</v>
      </c>
      <c r="O750" s="311">
        <f t="shared" si="328"/>
        <v>29.959000000501582</v>
      </c>
    </row>
    <row r="751" spans="1:15" s="236" customFormat="1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40"/>
    </row>
    <row r="752" spans="1:15" s="236" customFormat="1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40"/>
      <c r="O752" s="251" t="s">
        <v>35</v>
      </c>
    </row>
    <row r="753" spans="1:15" s="236" customFormat="1" x14ac:dyDescent="0.2">
      <c r="A753" s="242"/>
      <c r="B753" s="242"/>
      <c r="C753" s="242"/>
      <c r="D753" s="242"/>
      <c r="E753" s="242"/>
      <c r="F753" s="242"/>
      <c r="G753" s="242"/>
      <c r="H753" s="242"/>
      <c r="I753" s="242"/>
      <c r="J753" s="242"/>
      <c r="K753" s="242"/>
      <c r="L753" s="242"/>
      <c r="M753" s="242"/>
      <c r="N753" s="242"/>
      <c r="O753" s="242"/>
    </row>
    <row r="754" spans="1:15" s="236" customFormat="1" x14ac:dyDescent="0.2">
      <c r="A754" s="241" t="str">
        <f>name!A47</f>
        <v>Telecommunications</v>
      </c>
      <c r="B754" s="374">
        <f>$B$6</f>
        <v>2015</v>
      </c>
      <c r="C754" s="374"/>
      <c r="D754" s="374"/>
      <c r="E754" s="374"/>
      <c r="F754" s="263"/>
      <c r="G754" s="374">
        <f>$G$6</f>
        <v>2020</v>
      </c>
      <c r="H754" s="374"/>
      <c r="I754" s="374"/>
      <c r="J754" s="374"/>
      <c r="K754" s="263"/>
      <c r="L754" s="374">
        <f>$L$6</f>
        <v>2035</v>
      </c>
      <c r="M754" s="374"/>
      <c r="N754" s="374"/>
      <c r="O754" s="374"/>
    </row>
    <row r="755" spans="1:15" s="236" customFormat="1" x14ac:dyDescent="0.2">
      <c r="A755" s="254"/>
      <c r="B755" s="268" t="str">
        <f>$B$7</f>
        <v>FT</v>
      </c>
      <c r="C755" s="268" t="str">
        <f>$C$7</f>
        <v>PT</v>
      </c>
      <c r="D755" s="268" t="str">
        <f>$D$7</f>
        <v>SE</v>
      </c>
      <c r="E755" s="268" t="str">
        <f>$E$7</f>
        <v>Total</v>
      </c>
      <c r="F755" s="268"/>
      <c r="G755" s="268" t="str">
        <f>$G$7</f>
        <v>FT</v>
      </c>
      <c r="H755" s="268" t="str">
        <f>$H$7</f>
        <v>PT</v>
      </c>
      <c r="I755" s="268" t="str">
        <f>$I$7</f>
        <v>SE</v>
      </c>
      <c r="J755" s="268" t="str">
        <f>$J$7</f>
        <v>Total</v>
      </c>
      <c r="K755" s="268"/>
      <c r="L755" s="268" t="str">
        <f>$L$7</f>
        <v>FT</v>
      </c>
      <c r="M755" s="268" t="str">
        <f>$M$7</f>
        <v>PT</v>
      </c>
      <c r="N755" s="268" t="str">
        <f>$N$7</f>
        <v>SE</v>
      </c>
      <c r="O755" s="268" t="str">
        <f>$O$7</f>
        <v>Total</v>
      </c>
    </row>
    <row r="756" spans="1:15" s="236" customFormat="1" x14ac:dyDescent="0.2">
      <c r="A756" s="258"/>
      <c r="B756" s="239"/>
      <c r="C756" s="239"/>
      <c r="D756" s="239"/>
      <c r="E756" s="239"/>
      <c r="F756" s="239"/>
      <c r="G756" s="239"/>
      <c r="H756" s="239"/>
      <c r="I756" s="239"/>
      <c r="J756" s="239"/>
      <c r="K756" s="239"/>
      <c r="L756" s="239"/>
      <c r="M756" s="239"/>
      <c r="N756" s="239"/>
      <c r="O756" s="239"/>
    </row>
    <row r="757" spans="1:15" s="236" customFormat="1" x14ac:dyDescent="0.2">
      <c r="A757" s="237" t="str">
        <f>name!E$4</f>
        <v>Managers, directors and senior officials</v>
      </c>
      <c r="B757" s="302">
        <v>7.1453073754567038</v>
      </c>
      <c r="C757" s="302">
        <v>0.10673104783170001</v>
      </c>
      <c r="D757" s="302">
        <v>0.54629728315407167</v>
      </c>
      <c r="E757" s="302">
        <f>SUM(B757:D757)</f>
        <v>7.7983357064424759</v>
      </c>
      <c r="F757" s="303"/>
      <c r="G757" s="302">
        <v>6.7238018294200037</v>
      </c>
      <c r="H757" s="302">
        <v>0.25444974778359147</v>
      </c>
      <c r="I757" s="302">
        <v>0.60277310741639423</v>
      </c>
      <c r="J757" s="302">
        <f>SUM(G757:I757)</f>
        <v>7.5810246846199894</v>
      </c>
      <c r="K757" s="303"/>
      <c r="L757" s="302">
        <v>7.4545121815107915</v>
      </c>
      <c r="M757" s="302">
        <v>0.27020014789028385</v>
      </c>
      <c r="N757" s="302">
        <v>0.81843682167773268</v>
      </c>
      <c r="O757" s="302">
        <f>SUM(L757:N757)</f>
        <v>8.5431491510788078</v>
      </c>
    </row>
    <row r="758" spans="1:15" s="236" customFormat="1" x14ac:dyDescent="0.2">
      <c r="A758" s="237" t="str">
        <f>name!E$5</f>
        <v>Professional occupations</v>
      </c>
      <c r="B758" s="302">
        <v>10.427954514804178</v>
      </c>
      <c r="C758" s="302">
        <v>6.3006673852979145E-2</v>
      </c>
      <c r="D758" s="302">
        <v>1.0151447653821672</v>
      </c>
      <c r="E758" s="302">
        <f t="shared" ref="E758:E765" si="329">SUM(B758:D758)</f>
        <v>11.506105954039324</v>
      </c>
      <c r="F758" s="303"/>
      <c r="G758" s="302">
        <v>10.877832814396013</v>
      </c>
      <c r="H758" s="302">
        <v>0.13824797241808562</v>
      </c>
      <c r="I758" s="302">
        <v>0.9610005558219018</v>
      </c>
      <c r="J758" s="302">
        <f t="shared" ref="J758:J760" si="330">SUM(G758:I758)</f>
        <v>11.977081342636001</v>
      </c>
      <c r="K758" s="303"/>
      <c r="L758" s="302">
        <v>13.931066802357666</v>
      </c>
      <c r="M758" s="302">
        <v>0.17583280789115743</v>
      </c>
      <c r="N758" s="302">
        <v>0.84772515636227475</v>
      </c>
      <c r="O758" s="302">
        <f t="shared" ref="O758:O765" si="331">SUM(L758:N758)</f>
        <v>14.954624766611099</v>
      </c>
    </row>
    <row r="759" spans="1:15" s="236" customFormat="1" x14ac:dyDescent="0.2">
      <c r="A759" s="237" t="str">
        <f>name!E$6</f>
        <v>Associate professional occupations</v>
      </c>
      <c r="B759" s="302">
        <v>5.1842088997251068</v>
      </c>
      <c r="C759" s="302">
        <v>0.11416854982318685</v>
      </c>
      <c r="D759" s="302">
        <v>0.42750431267828487</v>
      </c>
      <c r="E759" s="302">
        <f t="shared" si="329"/>
        <v>5.725881762226579</v>
      </c>
      <c r="F759" s="303"/>
      <c r="G759" s="302">
        <v>5.1148285860874632</v>
      </c>
      <c r="H759" s="302">
        <v>0.22259874556636536</v>
      </c>
      <c r="I759" s="302">
        <v>0.35329175020308889</v>
      </c>
      <c r="J759" s="302">
        <f t="shared" si="330"/>
        <v>5.6907190818569173</v>
      </c>
      <c r="K759" s="303"/>
      <c r="L759" s="302">
        <v>5.723903034755045</v>
      </c>
      <c r="M759" s="302">
        <v>0.21598312716158954</v>
      </c>
      <c r="N759" s="302">
        <v>0.44750064635411818</v>
      </c>
      <c r="O759" s="302">
        <f t="shared" si="331"/>
        <v>6.3873868082707528</v>
      </c>
    </row>
    <row r="760" spans="1:15" s="236" customFormat="1" x14ac:dyDescent="0.2">
      <c r="A760" s="237" t="str">
        <f>name!E$7</f>
        <v>Administrative and secretarial occupations</v>
      </c>
      <c r="B760" s="302">
        <v>1.8749918216131036</v>
      </c>
      <c r="C760" s="302">
        <v>0.175743210962581</v>
      </c>
      <c r="D760" s="302">
        <v>0.13331296981607918</v>
      </c>
      <c r="E760" s="302">
        <f t="shared" si="329"/>
        <v>2.1840480023917639</v>
      </c>
      <c r="F760" s="303"/>
      <c r="G760" s="302">
        <v>1.8194825757231341</v>
      </c>
      <c r="H760" s="302">
        <v>0.33027831598448204</v>
      </c>
      <c r="I760" s="302">
        <v>5.1080559939689109E-2</v>
      </c>
      <c r="J760" s="302">
        <f t="shared" si="330"/>
        <v>2.2008414516473054</v>
      </c>
      <c r="K760" s="303"/>
      <c r="L760" s="302">
        <v>1.9590905163475709</v>
      </c>
      <c r="M760" s="302">
        <v>0.2973689386255759</v>
      </c>
      <c r="N760" s="302">
        <v>7.5173480699591413E-2</v>
      </c>
      <c r="O760" s="302">
        <f t="shared" si="331"/>
        <v>2.3316329356727383</v>
      </c>
    </row>
    <row r="761" spans="1:15" s="236" customFormat="1" x14ac:dyDescent="0.2">
      <c r="A761" s="237" t="str">
        <f>name!E$8</f>
        <v>Skilled trades occupations</v>
      </c>
      <c r="B761" s="302">
        <v>4.8901161014413264</v>
      </c>
      <c r="C761" s="302">
        <v>3.9245769632741997E-2</v>
      </c>
      <c r="D761" s="302">
        <v>0.32223950942969287</v>
      </c>
      <c r="E761" s="302">
        <f t="shared" si="329"/>
        <v>5.2516013805037609</v>
      </c>
      <c r="F761" s="303"/>
      <c r="G761" s="302">
        <v>3.3318005882891963</v>
      </c>
      <c r="H761" s="302">
        <v>5.1012036420919914E-2</v>
      </c>
      <c r="I761" s="302">
        <v>0.2679500705774342</v>
      </c>
      <c r="J761" s="302">
        <f>SUM(G761:I761)</f>
        <v>3.6507626952875505</v>
      </c>
      <c r="K761" s="303"/>
      <c r="L761" s="302">
        <v>2.6250949983219694</v>
      </c>
      <c r="M761" s="302">
        <v>4.6311204693883994E-2</v>
      </c>
      <c r="N761" s="302">
        <v>0.38673848040560604</v>
      </c>
      <c r="O761" s="302">
        <f t="shared" si="331"/>
        <v>3.0581446834214594</v>
      </c>
    </row>
    <row r="762" spans="1:15" s="236" customFormat="1" x14ac:dyDescent="0.2">
      <c r="A762" s="237" t="str">
        <f>name!E$9</f>
        <v>Caring, leisure and other service occupations</v>
      </c>
      <c r="B762" s="302">
        <v>1.3182223900218146</v>
      </c>
      <c r="C762" s="302">
        <v>5.6190810534908389E-2</v>
      </c>
      <c r="D762" s="302">
        <v>7.5487056484318638E-2</v>
      </c>
      <c r="E762" s="302">
        <f t="shared" si="329"/>
        <v>1.4499002570410418</v>
      </c>
      <c r="F762" s="303"/>
      <c r="G762" s="302">
        <v>1.0935256625004479</v>
      </c>
      <c r="H762" s="302">
        <v>8.167297344657351E-2</v>
      </c>
      <c r="I762" s="302">
        <v>2.4054604339727517E-2</v>
      </c>
      <c r="J762" s="302">
        <f t="shared" ref="J762:J765" si="332">SUM(G762:I762)</f>
        <v>1.1992532402867491</v>
      </c>
      <c r="K762" s="303"/>
      <c r="L762" s="302">
        <v>1.6244991302439682</v>
      </c>
      <c r="M762" s="302">
        <v>8.3276513419489259E-2</v>
      </c>
      <c r="N762" s="302">
        <v>4.401073331956102E-2</v>
      </c>
      <c r="O762" s="302">
        <f t="shared" si="331"/>
        <v>1.7517863769830184</v>
      </c>
    </row>
    <row r="763" spans="1:15" s="236" customFormat="1" x14ac:dyDescent="0.2">
      <c r="A763" s="237" t="str">
        <f>name!E$10</f>
        <v>Sales and customer service occupations</v>
      </c>
      <c r="B763" s="302">
        <v>2.8195198048815802</v>
      </c>
      <c r="C763" s="302">
        <v>0.75194609421744119</v>
      </c>
      <c r="D763" s="302">
        <v>0.24520953725459901</v>
      </c>
      <c r="E763" s="302">
        <f t="shared" si="329"/>
        <v>3.8166754363536204</v>
      </c>
      <c r="F763" s="303"/>
      <c r="G763" s="302">
        <v>2.460564325980787</v>
      </c>
      <c r="H763" s="302">
        <v>1.436890687010699</v>
      </c>
      <c r="I763" s="302">
        <v>0.1702721212328204</v>
      </c>
      <c r="J763" s="302">
        <f t="shared" si="332"/>
        <v>4.067727134224306</v>
      </c>
      <c r="K763" s="303"/>
      <c r="L763" s="302">
        <v>3.3840214603409939</v>
      </c>
      <c r="M763" s="302">
        <v>1.845386589606173</v>
      </c>
      <c r="N763" s="302">
        <v>0.20204559291581053</v>
      </c>
      <c r="O763" s="302">
        <f t="shared" si="331"/>
        <v>5.4314536428629774</v>
      </c>
    </row>
    <row r="764" spans="1:15" s="236" customFormat="1" x14ac:dyDescent="0.2">
      <c r="A764" s="237" t="str">
        <f>name!E$11</f>
        <v>Process, plant and machine operatives</v>
      </c>
      <c r="B764" s="302">
        <v>0.23233969762584397</v>
      </c>
      <c r="C764" s="302">
        <v>1.680835127769623E-2</v>
      </c>
      <c r="D764" s="302">
        <v>5.6931904709802139E-2</v>
      </c>
      <c r="E764" s="302">
        <f t="shared" si="329"/>
        <v>0.30607995361334234</v>
      </c>
      <c r="F764" s="303"/>
      <c r="G764" s="302">
        <v>0.15625075492644402</v>
      </c>
      <c r="H764" s="302">
        <v>2.6055889586972726E-2</v>
      </c>
      <c r="I764" s="302">
        <v>5.3900732255607028E-2</v>
      </c>
      <c r="J764" s="302">
        <f t="shared" si="332"/>
        <v>0.23620737676902376</v>
      </c>
      <c r="K764" s="303"/>
      <c r="L764" s="302">
        <v>0.18076973907804603</v>
      </c>
      <c r="M764" s="302">
        <v>3.4281338928850047E-2</v>
      </c>
      <c r="N764" s="302">
        <v>0.10519976508976896</v>
      </c>
      <c r="O764" s="302">
        <f t="shared" si="331"/>
        <v>0.32025084309666502</v>
      </c>
    </row>
    <row r="765" spans="1:15" s="236" customFormat="1" x14ac:dyDescent="0.2">
      <c r="A765" s="237" t="str">
        <f>name!E$12</f>
        <v>Elementary occupations</v>
      </c>
      <c r="B765" s="302">
        <v>0.22533939389280153</v>
      </c>
      <c r="C765" s="302">
        <v>3.615949189015967E-2</v>
      </c>
      <c r="D765" s="302">
        <v>0.25187266110185297</v>
      </c>
      <c r="E765" s="302">
        <f t="shared" si="329"/>
        <v>0.51337154688481412</v>
      </c>
      <c r="F765" s="303"/>
      <c r="G765" s="302">
        <v>0.15391286279735075</v>
      </c>
      <c r="H765" s="302">
        <v>4.8793631774883495E-2</v>
      </c>
      <c r="I765" s="302">
        <v>0.22067649827122116</v>
      </c>
      <c r="J765" s="302">
        <f t="shared" si="332"/>
        <v>0.42338299284345537</v>
      </c>
      <c r="K765" s="303"/>
      <c r="L765" s="302">
        <v>0.13704213739867036</v>
      </c>
      <c r="M765" s="302">
        <v>3.6359331751164986E-2</v>
      </c>
      <c r="N765" s="302">
        <v>0.36916932326140361</v>
      </c>
      <c r="O765" s="302">
        <f t="shared" si="331"/>
        <v>0.54257079241123896</v>
      </c>
    </row>
    <row r="766" spans="1:15" s="236" customFormat="1" x14ac:dyDescent="0.2">
      <c r="A766" s="237"/>
      <c r="B766" s="302"/>
      <c r="C766" s="302"/>
      <c r="D766" s="302"/>
      <c r="E766" s="302"/>
      <c r="F766" s="303"/>
      <c r="G766" s="302"/>
      <c r="H766" s="302"/>
      <c r="I766" s="302"/>
      <c r="J766" s="302"/>
      <c r="K766" s="303"/>
      <c r="L766" s="302"/>
      <c r="M766" s="302"/>
      <c r="N766" s="302"/>
      <c r="O766" s="302"/>
    </row>
    <row r="767" spans="1:15" s="236" customFormat="1" x14ac:dyDescent="0.2">
      <c r="A767" s="244" t="s">
        <v>32</v>
      </c>
      <c r="B767" s="311">
        <f>SUM(B757:B765)</f>
        <v>34.117999999462462</v>
      </c>
      <c r="C767" s="311">
        <f t="shared" ref="C767:E767" si="333">SUM(C757:C765)</f>
        <v>1.3600000000233947</v>
      </c>
      <c r="D767" s="311">
        <f t="shared" si="333"/>
        <v>3.0740000000108689</v>
      </c>
      <c r="E767" s="311">
        <f t="shared" si="333"/>
        <v>38.551999999496715</v>
      </c>
      <c r="F767" s="311"/>
      <c r="G767" s="311">
        <f t="shared" ref="G767:J767" si="334">SUM(G757:G765)</f>
        <v>31.732000000120838</v>
      </c>
      <c r="H767" s="311">
        <f t="shared" si="334"/>
        <v>2.5899999999925729</v>
      </c>
      <c r="I767" s="311">
        <f t="shared" si="334"/>
        <v>2.7050000000578844</v>
      </c>
      <c r="J767" s="311">
        <f t="shared" si="334"/>
        <v>37.027000000171299</v>
      </c>
      <c r="K767" s="311"/>
      <c r="L767" s="311">
        <f t="shared" ref="L767:O767" si="335">SUM(L757:L765)</f>
        <v>37.020000000354727</v>
      </c>
      <c r="M767" s="311">
        <f t="shared" si="335"/>
        <v>3.0049999999681676</v>
      </c>
      <c r="N767" s="311">
        <f t="shared" si="335"/>
        <v>3.296000000085868</v>
      </c>
      <c r="O767" s="311">
        <f t="shared" si="335"/>
        <v>43.321000000408759</v>
      </c>
    </row>
    <row r="768" spans="1:15" s="236" customFormat="1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40"/>
    </row>
    <row r="769" spans="1:15" s="236" customFormat="1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40"/>
      <c r="O769" s="251" t="s">
        <v>35</v>
      </c>
    </row>
    <row r="770" spans="1:15" s="236" customFormat="1" x14ac:dyDescent="0.2">
      <c r="A770" s="242"/>
      <c r="B770" s="242"/>
      <c r="C770" s="242"/>
      <c r="D770" s="242"/>
      <c r="E770" s="242"/>
      <c r="F770" s="242"/>
      <c r="G770" s="242"/>
      <c r="H770" s="242"/>
      <c r="I770" s="242"/>
      <c r="J770" s="242"/>
      <c r="K770" s="242"/>
      <c r="L770" s="242"/>
      <c r="M770" s="242"/>
      <c r="N770" s="242"/>
      <c r="O770" s="242"/>
    </row>
    <row r="771" spans="1:15" s="236" customFormat="1" x14ac:dyDescent="0.2">
      <c r="A771" s="241" t="str">
        <f>name!A48</f>
        <v>Computing services</v>
      </c>
      <c r="B771" s="374">
        <f>$B$6</f>
        <v>2015</v>
      </c>
      <c r="C771" s="374"/>
      <c r="D771" s="374"/>
      <c r="E771" s="374"/>
      <c r="F771" s="263"/>
      <c r="G771" s="374">
        <f>$G$6</f>
        <v>2020</v>
      </c>
      <c r="H771" s="374"/>
      <c r="I771" s="374"/>
      <c r="J771" s="374"/>
      <c r="K771" s="263"/>
      <c r="L771" s="374">
        <f>$L$6</f>
        <v>2035</v>
      </c>
      <c r="M771" s="374"/>
      <c r="N771" s="374"/>
      <c r="O771" s="374"/>
    </row>
    <row r="772" spans="1:15" s="236" customFormat="1" x14ac:dyDescent="0.2">
      <c r="A772" s="254"/>
      <c r="B772" s="268" t="str">
        <f>$B$7</f>
        <v>FT</v>
      </c>
      <c r="C772" s="268" t="str">
        <f>$C$7</f>
        <v>PT</v>
      </c>
      <c r="D772" s="268" t="str">
        <f>$D$7</f>
        <v>SE</v>
      </c>
      <c r="E772" s="268" t="str">
        <f>$E$7</f>
        <v>Total</v>
      </c>
      <c r="F772" s="268"/>
      <c r="G772" s="268" t="str">
        <f>$G$7</f>
        <v>FT</v>
      </c>
      <c r="H772" s="268" t="str">
        <f>$H$7</f>
        <v>PT</v>
      </c>
      <c r="I772" s="268" t="str">
        <f>$I$7</f>
        <v>SE</v>
      </c>
      <c r="J772" s="268" t="str">
        <f>$J$7</f>
        <v>Total</v>
      </c>
      <c r="K772" s="268"/>
      <c r="L772" s="268" t="str">
        <f>$L$7</f>
        <v>FT</v>
      </c>
      <c r="M772" s="268" t="str">
        <f>$M$7</f>
        <v>PT</v>
      </c>
      <c r="N772" s="268" t="str">
        <f>$N$7</f>
        <v>SE</v>
      </c>
      <c r="O772" s="268" t="str">
        <f>$O$7</f>
        <v>Total</v>
      </c>
    </row>
    <row r="773" spans="1:15" s="236" customFormat="1" x14ac:dyDescent="0.2">
      <c r="A773" s="258"/>
      <c r="B773" s="239"/>
      <c r="C773" s="239"/>
      <c r="D773" s="239"/>
      <c r="E773" s="239"/>
      <c r="F773" s="239"/>
      <c r="G773" s="239"/>
      <c r="H773" s="239"/>
      <c r="I773" s="239"/>
      <c r="J773" s="239"/>
      <c r="K773" s="239"/>
      <c r="L773" s="239"/>
      <c r="M773" s="239"/>
      <c r="N773" s="239"/>
      <c r="O773" s="239"/>
    </row>
    <row r="774" spans="1:15" s="236" customFormat="1" x14ac:dyDescent="0.2">
      <c r="A774" s="237" t="str">
        <f>name!E$4</f>
        <v>Managers, directors and senior officials</v>
      </c>
      <c r="B774" s="302">
        <v>27.116016208723426</v>
      </c>
      <c r="C774" s="302">
        <v>2.6398030017641085</v>
      </c>
      <c r="D774" s="302">
        <v>2.4699964581029219</v>
      </c>
      <c r="E774" s="302">
        <f>SUM(B774:D774)</f>
        <v>32.225815668590457</v>
      </c>
      <c r="F774" s="303"/>
      <c r="G774" s="302">
        <v>35.924752930062105</v>
      </c>
      <c r="H774" s="302">
        <v>4.1264974740280023</v>
      </c>
      <c r="I774" s="302">
        <v>3.8385275891047206</v>
      </c>
      <c r="J774" s="302">
        <f>SUM(G774:I774)</f>
        <v>43.889777993194826</v>
      </c>
      <c r="K774" s="303"/>
      <c r="L774" s="302">
        <v>40.783399551667685</v>
      </c>
      <c r="M774" s="302">
        <v>5.0782194000088943</v>
      </c>
      <c r="N774" s="302">
        <v>4.7456620790432451</v>
      </c>
      <c r="O774" s="302">
        <f>SUM(L774:N774)</f>
        <v>50.607281030719818</v>
      </c>
    </row>
    <row r="775" spans="1:15" s="236" customFormat="1" x14ac:dyDescent="0.2">
      <c r="A775" s="237" t="str">
        <f>name!E$5</f>
        <v>Professional occupations</v>
      </c>
      <c r="B775" s="302">
        <v>77.975114493015468</v>
      </c>
      <c r="C775" s="302">
        <v>4.6331102027198083</v>
      </c>
      <c r="D775" s="302">
        <v>4.9943095726317068</v>
      </c>
      <c r="E775" s="302">
        <f t="shared" ref="E775:E782" si="336">SUM(B775:D775)</f>
        <v>87.602534268366981</v>
      </c>
      <c r="F775" s="303"/>
      <c r="G775" s="302">
        <v>113.88857182355403</v>
      </c>
      <c r="H775" s="302">
        <v>6.0608782968530202</v>
      </c>
      <c r="I775" s="302">
        <v>6.4227126445798364</v>
      </c>
      <c r="J775" s="302">
        <f t="shared" ref="J775:J777" si="337">SUM(G775:I775)</f>
        <v>126.37216276498688</v>
      </c>
      <c r="K775" s="303"/>
      <c r="L775" s="302">
        <v>142.53845553874788</v>
      </c>
      <c r="M775" s="302">
        <v>8.0393365034309348</v>
      </c>
      <c r="N775" s="302">
        <v>6.0050085918467309</v>
      </c>
      <c r="O775" s="302">
        <f t="shared" ref="O775:O782" si="338">SUM(L775:N775)</f>
        <v>156.58280063402555</v>
      </c>
    </row>
    <row r="776" spans="1:15" s="236" customFormat="1" x14ac:dyDescent="0.2">
      <c r="A776" s="237" t="str">
        <f>name!E$6</f>
        <v>Associate professional occupations</v>
      </c>
      <c r="B776" s="302">
        <v>29.285289782037065</v>
      </c>
      <c r="C776" s="302">
        <v>3.0134172039329203</v>
      </c>
      <c r="D776" s="302">
        <v>3.7165714703765862</v>
      </c>
      <c r="E776" s="302">
        <f t="shared" si="336"/>
        <v>36.015278456346572</v>
      </c>
      <c r="F776" s="303"/>
      <c r="G776" s="302">
        <v>40.641584644251985</v>
      </c>
      <c r="H776" s="302">
        <v>3.5007133191331801</v>
      </c>
      <c r="I776" s="302">
        <v>4.5122710198215241</v>
      </c>
      <c r="J776" s="302">
        <f t="shared" si="337"/>
        <v>48.654568983206694</v>
      </c>
      <c r="K776" s="303"/>
      <c r="L776" s="302">
        <v>45.268375119549702</v>
      </c>
      <c r="M776" s="302">
        <v>3.4697305704943457</v>
      </c>
      <c r="N776" s="302">
        <v>5.9533325695882846</v>
      </c>
      <c r="O776" s="302">
        <f t="shared" si="338"/>
        <v>54.691438259632335</v>
      </c>
    </row>
    <row r="777" spans="1:15" s="236" customFormat="1" x14ac:dyDescent="0.2">
      <c r="A777" s="237" t="str">
        <f>name!E$7</f>
        <v>Administrative and secretarial occupations</v>
      </c>
      <c r="B777" s="302">
        <v>6.2665312036315095</v>
      </c>
      <c r="C777" s="302">
        <v>3.1313560228223314</v>
      </c>
      <c r="D777" s="302">
        <v>0.28252560326347098</v>
      </c>
      <c r="E777" s="302">
        <f t="shared" si="336"/>
        <v>9.6804128297173122</v>
      </c>
      <c r="F777" s="303"/>
      <c r="G777" s="302">
        <v>8.3934836283796912</v>
      </c>
      <c r="H777" s="302">
        <v>2.4206357909609966</v>
      </c>
      <c r="I777" s="302">
        <v>0.274541473385982</v>
      </c>
      <c r="J777" s="302">
        <f t="shared" si="337"/>
        <v>11.08866089272667</v>
      </c>
      <c r="K777" s="303"/>
      <c r="L777" s="302">
        <v>7.0528659199785739</v>
      </c>
      <c r="M777" s="302">
        <v>1.9442201487461297</v>
      </c>
      <c r="N777" s="302">
        <v>0.30368625518590542</v>
      </c>
      <c r="O777" s="302">
        <f t="shared" si="338"/>
        <v>9.3007723239106088</v>
      </c>
    </row>
    <row r="778" spans="1:15" s="236" customFormat="1" x14ac:dyDescent="0.2">
      <c r="A778" s="237" t="str">
        <f>name!E$8</f>
        <v>Skilled trades occupations</v>
      </c>
      <c r="B778" s="302">
        <v>5.7069494940975876</v>
      </c>
      <c r="C778" s="302">
        <v>0.56795211576473914</v>
      </c>
      <c r="D778" s="302">
        <v>1.1618519065411466</v>
      </c>
      <c r="E778" s="302">
        <f t="shared" si="336"/>
        <v>7.4367535164034733</v>
      </c>
      <c r="F778" s="303"/>
      <c r="G778" s="302">
        <v>5.5003446022127083</v>
      </c>
      <c r="H778" s="302">
        <v>0.4768370785323815</v>
      </c>
      <c r="I778" s="302">
        <v>1.3625082734873446</v>
      </c>
      <c r="J778" s="302">
        <f>SUM(G778:I778)</f>
        <v>7.3396899542324343</v>
      </c>
      <c r="K778" s="303"/>
      <c r="L778" s="302">
        <v>4.5074837390190252</v>
      </c>
      <c r="M778" s="302">
        <v>0.59740749290873429</v>
      </c>
      <c r="N778" s="302">
        <v>2.5465959173474553</v>
      </c>
      <c r="O778" s="302">
        <f t="shared" si="338"/>
        <v>7.6514871492752139</v>
      </c>
    </row>
    <row r="779" spans="1:15" s="236" customFormat="1" x14ac:dyDescent="0.2">
      <c r="A779" s="237" t="str">
        <f>name!E$9</f>
        <v>Caring, leisure and other service occupations</v>
      </c>
      <c r="B779" s="302">
        <v>1.8642386852319441</v>
      </c>
      <c r="C779" s="302">
        <v>0.3207457787489954</v>
      </c>
      <c r="D779" s="302">
        <v>0.13156477328692595</v>
      </c>
      <c r="E779" s="302">
        <f t="shared" si="336"/>
        <v>2.3165492372678655</v>
      </c>
      <c r="F779" s="303"/>
      <c r="G779" s="302">
        <v>2.2526787621960636</v>
      </c>
      <c r="H779" s="302">
        <v>0.32438721481244598</v>
      </c>
      <c r="I779" s="302">
        <v>0.16109871225455946</v>
      </c>
      <c r="J779" s="302">
        <f t="shared" ref="J779:J782" si="339">SUM(G779:I779)</f>
        <v>2.7381646892630687</v>
      </c>
      <c r="K779" s="303"/>
      <c r="L779" s="302">
        <v>3.0832265037892861</v>
      </c>
      <c r="M779" s="302">
        <v>0.33669229965315473</v>
      </c>
      <c r="N779" s="302">
        <v>0.30159733043458481</v>
      </c>
      <c r="O779" s="302">
        <f t="shared" si="338"/>
        <v>3.7215161338770253</v>
      </c>
    </row>
    <row r="780" spans="1:15" s="236" customFormat="1" x14ac:dyDescent="0.2">
      <c r="A780" s="237" t="str">
        <f>name!E$10</f>
        <v>Sales and customer service occupations</v>
      </c>
      <c r="B780" s="302">
        <v>2.4876856777871481</v>
      </c>
      <c r="C780" s="302">
        <v>0.65471160736408518</v>
      </c>
      <c r="D780" s="302">
        <v>0.16069129298324919</v>
      </c>
      <c r="E780" s="302">
        <f t="shared" si="336"/>
        <v>3.3030885781344823</v>
      </c>
      <c r="F780" s="303"/>
      <c r="G780" s="302">
        <v>3.1372760239268249</v>
      </c>
      <c r="H780" s="302">
        <v>0.6420847002077944</v>
      </c>
      <c r="I780" s="302">
        <v>0.1616742718933698</v>
      </c>
      <c r="J780" s="302">
        <f t="shared" si="339"/>
        <v>3.9410349960279891</v>
      </c>
      <c r="K780" s="303"/>
      <c r="L780" s="302">
        <v>4.0569459291018211</v>
      </c>
      <c r="M780" s="302">
        <v>0.84987244644932836</v>
      </c>
      <c r="N780" s="302">
        <v>0.21955267933810149</v>
      </c>
      <c r="O780" s="302">
        <f t="shared" si="338"/>
        <v>5.1263710548892512</v>
      </c>
    </row>
    <row r="781" spans="1:15" s="236" customFormat="1" x14ac:dyDescent="0.2">
      <c r="A781" s="237" t="str">
        <f>name!E$11</f>
        <v>Process, plant and machine operatives</v>
      </c>
      <c r="B781" s="302">
        <v>0.47188944840794228</v>
      </c>
      <c r="C781" s="302">
        <v>0.34616217747495015</v>
      </c>
      <c r="D781" s="302">
        <v>0.52646520397775431</v>
      </c>
      <c r="E781" s="302">
        <f t="shared" si="336"/>
        <v>1.3445168298606469</v>
      </c>
      <c r="F781" s="303"/>
      <c r="G781" s="302">
        <v>0.48891175206892179</v>
      </c>
      <c r="H781" s="302">
        <v>0.46848412380728338</v>
      </c>
      <c r="I781" s="302">
        <v>0.76625125615170409</v>
      </c>
      <c r="J781" s="302">
        <f t="shared" si="339"/>
        <v>1.7236471320279092</v>
      </c>
      <c r="K781" s="303"/>
      <c r="L781" s="302">
        <v>0.71760390367458238</v>
      </c>
      <c r="M781" s="302">
        <v>0.52795440703614094</v>
      </c>
      <c r="N781" s="302">
        <v>1.2079047888891419</v>
      </c>
      <c r="O781" s="302">
        <f t="shared" si="338"/>
        <v>2.4534630995998654</v>
      </c>
    </row>
    <row r="782" spans="1:15" s="236" customFormat="1" x14ac:dyDescent="0.2">
      <c r="A782" s="237" t="str">
        <f>name!E$12</f>
        <v>Elementary occupations</v>
      </c>
      <c r="B782" s="302">
        <v>0.34328500378955606</v>
      </c>
      <c r="C782" s="302">
        <v>0.24874188913919529</v>
      </c>
      <c r="D782" s="302">
        <v>0.79402371888780765</v>
      </c>
      <c r="E782" s="302">
        <f t="shared" si="336"/>
        <v>1.386050611816559</v>
      </c>
      <c r="F782" s="303"/>
      <c r="G782" s="302">
        <v>0.32339583488029228</v>
      </c>
      <c r="H782" s="302">
        <v>0.18348200174319676</v>
      </c>
      <c r="I782" s="302">
        <v>0.47841475978833564</v>
      </c>
      <c r="J782" s="302">
        <f t="shared" si="339"/>
        <v>0.98529259641182465</v>
      </c>
      <c r="K782" s="303"/>
      <c r="L782" s="302">
        <v>0.22964379717738215</v>
      </c>
      <c r="M782" s="302">
        <v>0.12256673133853688</v>
      </c>
      <c r="N782" s="302">
        <v>0.66665978918715862</v>
      </c>
      <c r="O782" s="302">
        <f t="shared" si="338"/>
        <v>1.0188703177030778</v>
      </c>
    </row>
    <row r="783" spans="1:15" s="236" customFormat="1" x14ac:dyDescent="0.2">
      <c r="A783" s="237"/>
      <c r="B783" s="302"/>
      <c r="C783" s="302"/>
      <c r="D783" s="302"/>
      <c r="E783" s="302"/>
      <c r="F783" s="303"/>
      <c r="G783" s="302"/>
      <c r="H783" s="302"/>
      <c r="I783" s="302"/>
      <c r="J783" s="302"/>
      <c r="K783" s="303"/>
      <c r="L783" s="302"/>
      <c r="M783" s="302"/>
      <c r="N783" s="302"/>
      <c r="O783" s="302"/>
    </row>
    <row r="784" spans="1:15" s="236" customFormat="1" x14ac:dyDescent="0.2">
      <c r="A784" s="244" t="s">
        <v>32</v>
      </c>
      <c r="B784" s="311">
        <f>SUM(B774:B782)</f>
        <v>151.51699999672164</v>
      </c>
      <c r="C784" s="311">
        <f t="shared" ref="C784:E784" si="340">SUM(C774:C782)</f>
        <v>15.555999999731133</v>
      </c>
      <c r="D784" s="311">
        <f t="shared" si="340"/>
        <v>14.238000000051569</v>
      </c>
      <c r="E784" s="311">
        <f t="shared" si="340"/>
        <v>181.31099999650439</v>
      </c>
      <c r="F784" s="311"/>
      <c r="G784" s="311">
        <f t="shared" ref="G784:J784" si="341">SUM(G774:G782)</f>
        <v>210.55100000153269</v>
      </c>
      <c r="H784" s="311">
        <f t="shared" si="341"/>
        <v>18.204000000078299</v>
      </c>
      <c r="I784" s="311">
        <f t="shared" si="341"/>
        <v>17.978000000467379</v>
      </c>
      <c r="J784" s="311">
        <f t="shared" si="341"/>
        <v>246.73300000207828</v>
      </c>
      <c r="K784" s="311"/>
      <c r="L784" s="311">
        <f t="shared" ref="L784:O784" si="342">SUM(L774:L782)</f>
        <v>248.23800000270597</v>
      </c>
      <c r="M784" s="311">
        <f t="shared" si="342"/>
        <v>20.966000000066199</v>
      </c>
      <c r="N784" s="311">
        <f t="shared" si="342"/>
        <v>21.950000000860609</v>
      </c>
      <c r="O784" s="311">
        <f t="shared" si="342"/>
        <v>291.15400000363275</v>
      </c>
    </row>
    <row r="785" spans="1:15" s="236" customFormat="1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40"/>
    </row>
    <row r="786" spans="1:15" s="236" customFormat="1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40"/>
      <c r="O786" s="251" t="s">
        <v>35</v>
      </c>
    </row>
    <row r="787" spans="1:15" s="236" customFormat="1" x14ac:dyDescent="0.2">
      <c r="A787" s="242"/>
      <c r="B787" s="242"/>
      <c r="C787" s="242"/>
      <c r="D787" s="242"/>
      <c r="E787" s="242"/>
      <c r="F787" s="242"/>
      <c r="G787" s="242"/>
      <c r="H787" s="242"/>
      <c r="I787" s="242"/>
      <c r="J787" s="242"/>
      <c r="K787" s="242"/>
      <c r="L787" s="242"/>
      <c r="M787" s="242"/>
      <c r="N787" s="242"/>
      <c r="O787" s="242"/>
    </row>
    <row r="788" spans="1:15" s="236" customFormat="1" x14ac:dyDescent="0.2">
      <c r="A788" s="241" t="str">
        <f>name!A49</f>
        <v>Information services</v>
      </c>
      <c r="B788" s="374">
        <f>$B$6</f>
        <v>2015</v>
      </c>
      <c r="C788" s="374"/>
      <c r="D788" s="374"/>
      <c r="E788" s="374"/>
      <c r="F788" s="263"/>
      <c r="G788" s="374">
        <f>$G$6</f>
        <v>2020</v>
      </c>
      <c r="H788" s="374"/>
      <c r="I788" s="374"/>
      <c r="J788" s="374"/>
      <c r="K788" s="263"/>
      <c r="L788" s="374">
        <f>$L$6</f>
        <v>2035</v>
      </c>
      <c r="M788" s="374"/>
      <c r="N788" s="374"/>
      <c r="O788" s="374"/>
    </row>
    <row r="789" spans="1:15" s="236" customFormat="1" x14ac:dyDescent="0.2">
      <c r="A789" s="254"/>
      <c r="B789" s="268" t="str">
        <f>$B$7</f>
        <v>FT</v>
      </c>
      <c r="C789" s="268" t="str">
        <f>$C$7</f>
        <v>PT</v>
      </c>
      <c r="D789" s="268" t="str">
        <f>$D$7</f>
        <v>SE</v>
      </c>
      <c r="E789" s="268" t="str">
        <f>$E$7</f>
        <v>Total</v>
      </c>
      <c r="F789" s="268"/>
      <c r="G789" s="268" t="str">
        <f>$G$7</f>
        <v>FT</v>
      </c>
      <c r="H789" s="268" t="str">
        <f>$H$7</f>
        <v>PT</v>
      </c>
      <c r="I789" s="268" t="str">
        <f>$I$7</f>
        <v>SE</v>
      </c>
      <c r="J789" s="268" t="str">
        <f>$J$7</f>
        <v>Total</v>
      </c>
      <c r="K789" s="268"/>
      <c r="L789" s="268" t="str">
        <f>$L$7</f>
        <v>FT</v>
      </c>
      <c r="M789" s="268" t="str">
        <f>$M$7</f>
        <v>PT</v>
      </c>
      <c r="N789" s="268" t="str">
        <f>$N$7</f>
        <v>SE</v>
      </c>
      <c r="O789" s="268" t="str">
        <f>$O$7</f>
        <v>Total</v>
      </c>
    </row>
    <row r="790" spans="1:15" s="236" customFormat="1" x14ac:dyDescent="0.2">
      <c r="A790" s="258"/>
      <c r="B790" s="239"/>
      <c r="C790" s="239"/>
      <c r="D790" s="239"/>
      <c r="E790" s="239"/>
      <c r="F790" s="239"/>
      <c r="G790" s="239"/>
      <c r="H790" s="239"/>
      <c r="I790" s="239"/>
      <c r="J790" s="239"/>
      <c r="K790" s="239"/>
      <c r="L790" s="239"/>
      <c r="M790" s="239"/>
      <c r="N790" s="239"/>
      <c r="O790" s="239"/>
    </row>
    <row r="791" spans="1:15" s="236" customFormat="1" x14ac:dyDescent="0.2">
      <c r="A791" s="237" t="str">
        <f>name!E$4</f>
        <v>Managers, directors and senior officials</v>
      </c>
      <c r="B791" s="302">
        <v>6.3848820248094809</v>
      </c>
      <c r="C791" s="302">
        <v>0.20233577519595325</v>
      </c>
      <c r="D791" s="302">
        <v>0.40677217209414568</v>
      </c>
      <c r="E791" s="302">
        <f>SUM(B791:D791)</f>
        <v>6.9939899720995795</v>
      </c>
      <c r="F791" s="303"/>
      <c r="G791" s="302">
        <v>7.1575630770398302</v>
      </c>
      <c r="H791" s="302">
        <v>0.4516242050913335</v>
      </c>
      <c r="I791" s="302">
        <v>0.52459359374914172</v>
      </c>
      <c r="J791" s="302">
        <f>SUM(G791:I791)</f>
        <v>8.133780875880305</v>
      </c>
      <c r="K791" s="303"/>
      <c r="L791" s="302">
        <v>8.6483211437872516</v>
      </c>
      <c r="M791" s="302">
        <v>0.57771373403483495</v>
      </c>
      <c r="N791" s="302">
        <v>0.66983526860869325</v>
      </c>
      <c r="O791" s="302">
        <f>SUM(L791:N791)</f>
        <v>9.8958701464307808</v>
      </c>
    </row>
    <row r="792" spans="1:15" s="236" customFormat="1" x14ac:dyDescent="0.2">
      <c r="A792" s="237" t="str">
        <f>name!E$5</f>
        <v>Professional occupations</v>
      </c>
      <c r="B792" s="302">
        <v>15.353082635574427</v>
      </c>
      <c r="C792" s="302">
        <v>0.35017906767666046</v>
      </c>
      <c r="D792" s="302">
        <v>0.68136060677551591</v>
      </c>
      <c r="E792" s="302">
        <f t="shared" ref="E792:E799" si="343">SUM(B792:D792)</f>
        <v>16.384622310026604</v>
      </c>
      <c r="F792" s="303"/>
      <c r="G792" s="302">
        <v>19.069498700830181</v>
      </c>
      <c r="H792" s="302">
        <v>0.6748966604810539</v>
      </c>
      <c r="I792" s="302">
        <v>0.7944077565565556</v>
      </c>
      <c r="J792" s="302">
        <f t="shared" ref="J792:J794" si="344">SUM(G792:I792)</f>
        <v>20.53880311786779</v>
      </c>
      <c r="K792" s="303"/>
      <c r="L792" s="302">
        <v>24.584715082941681</v>
      </c>
      <c r="M792" s="302">
        <v>1.0132301124701564</v>
      </c>
      <c r="N792" s="302">
        <v>0.77985475149252581</v>
      </c>
      <c r="O792" s="302">
        <f t="shared" ref="O792:O799" si="345">SUM(L792:N792)</f>
        <v>26.377799946904364</v>
      </c>
    </row>
    <row r="793" spans="1:15" s="236" customFormat="1" x14ac:dyDescent="0.2">
      <c r="A793" s="237" t="str">
        <f>name!E$6</f>
        <v>Associate professional occupations</v>
      </c>
      <c r="B793" s="302">
        <v>7.9009752051214663</v>
      </c>
      <c r="C793" s="302">
        <v>0.3149609760484251</v>
      </c>
      <c r="D793" s="302">
        <v>0.57645758163363081</v>
      </c>
      <c r="E793" s="302">
        <f t="shared" si="343"/>
        <v>8.7923937628035223</v>
      </c>
      <c r="F793" s="303"/>
      <c r="G793" s="302">
        <v>9.217804272745445</v>
      </c>
      <c r="H793" s="302">
        <v>0.50501080250502328</v>
      </c>
      <c r="I793" s="302">
        <v>0.59214038362672106</v>
      </c>
      <c r="J793" s="302">
        <f t="shared" si="344"/>
        <v>10.314955458877188</v>
      </c>
      <c r="K793" s="303"/>
      <c r="L793" s="302">
        <v>10.349809133440173</v>
      </c>
      <c r="M793" s="302">
        <v>0.57746096563538318</v>
      </c>
      <c r="N793" s="302">
        <v>0.66472320181693167</v>
      </c>
      <c r="O793" s="302">
        <f t="shared" si="345"/>
        <v>11.591993300892488</v>
      </c>
    </row>
    <row r="794" spans="1:15" s="236" customFormat="1" x14ac:dyDescent="0.2">
      <c r="A794" s="237" t="str">
        <f>name!E$7</f>
        <v>Administrative and secretarial occupations</v>
      </c>
      <c r="B794" s="302">
        <v>2.7163913118221039</v>
      </c>
      <c r="C794" s="302">
        <v>0.27909760120272997</v>
      </c>
      <c r="D794" s="302">
        <v>3.2704600123295041E-2</v>
      </c>
      <c r="E794" s="302">
        <f t="shared" si="343"/>
        <v>3.0281935131481288</v>
      </c>
      <c r="F794" s="303"/>
      <c r="G794" s="302">
        <v>2.9246202943563779</v>
      </c>
      <c r="H794" s="302">
        <v>0.32633737935565466</v>
      </c>
      <c r="I794" s="302">
        <v>2.8060185768690685E-2</v>
      </c>
      <c r="J794" s="302">
        <f t="shared" si="344"/>
        <v>3.2790178594807231</v>
      </c>
      <c r="K794" s="303"/>
      <c r="L794" s="302">
        <v>2.5616385241377895</v>
      </c>
      <c r="M794" s="302">
        <v>0.32454647245272916</v>
      </c>
      <c r="N794" s="302">
        <v>2.618270418056268E-2</v>
      </c>
      <c r="O794" s="302">
        <f t="shared" si="345"/>
        <v>2.9123677007710813</v>
      </c>
    </row>
    <row r="795" spans="1:15" s="236" customFormat="1" x14ac:dyDescent="0.2">
      <c r="A795" s="237" t="str">
        <f>name!E$8</f>
        <v>Skilled trades occupations</v>
      </c>
      <c r="B795" s="302">
        <v>1.1129543190739482</v>
      </c>
      <c r="C795" s="302">
        <v>5.3989456317198946E-2</v>
      </c>
      <c r="D795" s="302">
        <v>0.20434250178603772</v>
      </c>
      <c r="E795" s="302">
        <f t="shared" si="343"/>
        <v>1.3712862771771848</v>
      </c>
      <c r="F795" s="303"/>
      <c r="G795" s="302">
        <v>0.92400237101975591</v>
      </c>
      <c r="H795" s="302">
        <v>6.2038401717521015E-2</v>
      </c>
      <c r="I795" s="302">
        <v>0.19062487667056868</v>
      </c>
      <c r="J795" s="302">
        <f>SUM(G795:I795)</f>
        <v>1.1766656494078456</v>
      </c>
      <c r="K795" s="303"/>
      <c r="L795" s="302">
        <v>0.86792062874663722</v>
      </c>
      <c r="M795" s="302">
        <v>8.5747943225607914E-2</v>
      </c>
      <c r="N795" s="302">
        <v>0.36238336746450794</v>
      </c>
      <c r="O795" s="302">
        <f t="shared" si="345"/>
        <v>1.3160519394367531</v>
      </c>
    </row>
    <row r="796" spans="1:15" s="236" customFormat="1" x14ac:dyDescent="0.2">
      <c r="A796" s="237" t="str">
        <f>name!E$9</f>
        <v>Caring, leisure and other service occupations</v>
      </c>
      <c r="B796" s="302">
        <v>0.8887259726447776</v>
      </c>
      <c r="C796" s="302">
        <v>0.14071134494522522</v>
      </c>
      <c r="D796" s="302">
        <v>5.5709084457214245E-2</v>
      </c>
      <c r="E796" s="302">
        <f t="shared" si="343"/>
        <v>1.0851464020472172</v>
      </c>
      <c r="F796" s="303"/>
      <c r="G796" s="302">
        <v>0.93571963015201087</v>
      </c>
      <c r="H796" s="302">
        <v>0.20502373238182947</v>
      </c>
      <c r="I796" s="302">
        <v>5.2495982843115581E-2</v>
      </c>
      <c r="J796" s="302">
        <f t="shared" ref="J796:J799" si="346">SUM(G796:I796)</f>
        <v>1.1932393453769559</v>
      </c>
      <c r="K796" s="303"/>
      <c r="L796" s="302">
        <v>1.1875465888576322</v>
      </c>
      <c r="M796" s="302">
        <v>0.25152152798685606</v>
      </c>
      <c r="N796" s="302">
        <v>6.1382388222016672E-2</v>
      </c>
      <c r="O796" s="302">
        <f t="shared" si="345"/>
        <v>1.5004505050665049</v>
      </c>
    </row>
    <row r="797" spans="1:15" s="236" customFormat="1" x14ac:dyDescent="0.2">
      <c r="A797" s="237" t="str">
        <f>name!E$10</f>
        <v>Sales and customer service occupations</v>
      </c>
      <c r="B797" s="302">
        <v>1.2343213042947867</v>
      </c>
      <c r="C797" s="302">
        <v>9.6203866989238038E-2</v>
      </c>
      <c r="D797" s="302">
        <v>3.4488452481969099E-2</v>
      </c>
      <c r="E797" s="302">
        <f t="shared" si="343"/>
        <v>1.3650136237659938</v>
      </c>
      <c r="F797" s="303"/>
      <c r="G797" s="302">
        <v>1.2568937827471418</v>
      </c>
      <c r="H797" s="302">
        <v>0.15648968525628101</v>
      </c>
      <c r="I797" s="302">
        <v>2.5239377893395018E-2</v>
      </c>
      <c r="J797" s="302">
        <f t="shared" si="346"/>
        <v>1.4386228458968178</v>
      </c>
      <c r="K797" s="303"/>
      <c r="L797" s="302">
        <v>1.6037251698448414</v>
      </c>
      <c r="M797" s="302">
        <v>0.24477746912544879</v>
      </c>
      <c r="N797" s="302">
        <v>1.9096931833607833E-2</v>
      </c>
      <c r="O797" s="302">
        <f t="shared" si="345"/>
        <v>1.8675995708038979</v>
      </c>
    </row>
    <row r="798" spans="1:15" s="236" customFormat="1" x14ac:dyDescent="0.2">
      <c r="A798" s="237" t="str">
        <f>name!E$11</f>
        <v>Process, plant and machine operatives</v>
      </c>
      <c r="B798" s="302">
        <v>0.22394892526188495</v>
      </c>
      <c r="C798" s="302">
        <v>6.3149028099957663E-2</v>
      </c>
      <c r="D798" s="302">
        <v>7.1317178090063243E-2</v>
      </c>
      <c r="E798" s="302">
        <f t="shared" si="343"/>
        <v>0.35841513145190584</v>
      </c>
      <c r="F798" s="303"/>
      <c r="G798" s="302">
        <v>0.17711251986831114</v>
      </c>
      <c r="H798" s="302">
        <v>0.13905002439685704</v>
      </c>
      <c r="I798" s="302">
        <v>9.4692143233476161E-2</v>
      </c>
      <c r="J798" s="302">
        <f t="shared" si="346"/>
        <v>0.4108546874986444</v>
      </c>
      <c r="K798" s="303"/>
      <c r="L798" s="302">
        <v>0.21271048547956875</v>
      </c>
      <c r="M798" s="302">
        <v>0.18051215020074141</v>
      </c>
      <c r="N798" s="302">
        <v>0.15398779872175988</v>
      </c>
      <c r="O798" s="302">
        <f t="shared" si="345"/>
        <v>0.54721043440207007</v>
      </c>
    </row>
    <row r="799" spans="1:15" s="236" customFormat="1" x14ac:dyDescent="0.2">
      <c r="A799" s="237" t="str">
        <f>name!E$12</f>
        <v>Elementary occupations</v>
      </c>
      <c r="B799" s="302">
        <v>1.8087183008846279</v>
      </c>
      <c r="C799" s="302">
        <v>0.52337288353092537</v>
      </c>
      <c r="D799" s="302">
        <v>0.46384782259051655</v>
      </c>
      <c r="E799" s="302">
        <f t="shared" si="343"/>
        <v>2.7959390070060697</v>
      </c>
      <c r="F799" s="303"/>
      <c r="G799" s="302">
        <v>1.5157853513326773</v>
      </c>
      <c r="H799" s="302">
        <v>0.66252910880033655</v>
      </c>
      <c r="I799" s="302">
        <v>0.31274569971363403</v>
      </c>
      <c r="J799" s="302">
        <f t="shared" si="346"/>
        <v>2.491060159846648</v>
      </c>
      <c r="K799" s="303"/>
      <c r="L799" s="302">
        <v>1.9056132429963994</v>
      </c>
      <c r="M799" s="302">
        <v>0.42048962484965263</v>
      </c>
      <c r="N799" s="302">
        <v>0.43455358777409558</v>
      </c>
      <c r="O799" s="302">
        <f t="shared" si="345"/>
        <v>2.7606564556201478</v>
      </c>
    </row>
    <row r="800" spans="1:15" s="236" customFormat="1" x14ac:dyDescent="0.2">
      <c r="A800" s="237"/>
      <c r="B800" s="302"/>
      <c r="C800" s="302"/>
      <c r="D800" s="302"/>
      <c r="E800" s="302"/>
      <c r="F800" s="303"/>
      <c r="G800" s="302"/>
      <c r="H800" s="302"/>
      <c r="I800" s="302"/>
      <c r="J800" s="302"/>
      <c r="K800" s="303"/>
      <c r="L800" s="302"/>
      <c r="M800" s="302"/>
      <c r="N800" s="302"/>
      <c r="O800" s="302"/>
    </row>
    <row r="801" spans="1:15" s="236" customFormat="1" x14ac:dyDescent="0.2">
      <c r="A801" s="244" t="s">
        <v>32</v>
      </c>
      <c r="B801" s="311">
        <f>SUM(B791:B799)</f>
        <v>37.623999999487509</v>
      </c>
      <c r="C801" s="311">
        <f t="shared" ref="C801:E801" si="347">SUM(C791:C799)</f>
        <v>2.0240000000063141</v>
      </c>
      <c r="D801" s="311">
        <f t="shared" si="347"/>
        <v>2.5270000000323884</v>
      </c>
      <c r="E801" s="311">
        <f t="shared" si="347"/>
        <v>42.174999999526207</v>
      </c>
      <c r="F801" s="311"/>
      <c r="G801" s="311">
        <f t="shared" ref="G801:J801" si="348">SUM(G791:G799)</f>
        <v>43.179000000091726</v>
      </c>
      <c r="H801" s="311">
        <f t="shared" si="348"/>
        <v>3.1829999999858902</v>
      </c>
      <c r="I801" s="311">
        <f t="shared" si="348"/>
        <v>2.6150000000552986</v>
      </c>
      <c r="J801" s="311">
        <f t="shared" si="348"/>
        <v>48.977000000132918</v>
      </c>
      <c r="K801" s="311"/>
      <c r="L801" s="311">
        <f t="shared" ref="L801:O801" si="349">SUM(L791:L799)</f>
        <v>51.922000000231982</v>
      </c>
      <c r="M801" s="311">
        <f t="shared" si="349"/>
        <v>3.6759999999814101</v>
      </c>
      <c r="N801" s="311">
        <f t="shared" si="349"/>
        <v>3.1720000001147017</v>
      </c>
      <c r="O801" s="311">
        <f t="shared" si="349"/>
        <v>58.770000000328082</v>
      </c>
    </row>
    <row r="802" spans="1:15" s="236" customFormat="1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40"/>
    </row>
    <row r="803" spans="1:15" s="236" customFormat="1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40"/>
      <c r="O803" s="251" t="s">
        <v>35</v>
      </c>
    </row>
    <row r="804" spans="1:15" s="236" customFormat="1" x14ac:dyDescent="0.2">
      <c r="A804" s="242"/>
      <c r="B804" s="242"/>
      <c r="C804" s="242"/>
      <c r="D804" s="242"/>
      <c r="E804" s="242"/>
      <c r="F804" s="242"/>
      <c r="G804" s="242"/>
      <c r="H804" s="242"/>
      <c r="I804" s="242"/>
      <c r="J804" s="242"/>
      <c r="K804" s="242"/>
      <c r="L804" s="242"/>
      <c r="M804" s="242"/>
      <c r="N804" s="242"/>
      <c r="O804" s="242"/>
    </row>
    <row r="805" spans="1:15" s="236" customFormat="1" x14ac:dyDescent="0.2">
      <c r="A805" s="241" t="str">
        <f>name!A50</f>
        <v>Financial services</v>
      </c>
      <c r="B805" s="374">
        <f>$B$6</f>
        <v>2015</v>
      </c>
      <c r="C805" s="374"/>
      <c r="D805" s="374"/>
      <c r="E805" s="374"/>
      <c r="F805" s="263"/>
      <c r="G805" s="374">
        <f>$G$6</f>
        <v>2020</v>
      </c>
      <c r="H805" s="374"/>
      <c r="I805" s="374"/>
      <c r="J805" s="374"/>
      <c r="K805" s="263"/>
      <c r="L805" s="374">
        <f>$L$6</f>
        <v>2035</v>
      </c>
      <c r="M805" s="374"/>
      <c r="N805" s="374"/>
      <c r="O805" s="374"/>
    </row>
    <row r="806" spans="1:15" s="236" customFormat="1" x14ac:dyDescent="0.2">
      <c r="A806" s="254"/>
      <c r="B806" s="268" t="str">
        <f>$B$7</f>
        <v>FT</v>
      </c>
      <c r="C806" s="268" t="str">
        <f>$C$7</f>
        <v>PT</v>
      </c>
      <c r="D806" s="268" t="str">
        <f>$D$7</f>
        <v>SE</v>
      </c>
      <c r="E806" s="268" t="str">
        <f>$E$7</f>
        <v>Total</v>
      </c>
      <c r="F806" s="268"/>
      <c r="G806" s="268" t="str">
        <f>$G$7</f>
        <v>FT</v>
      </c>
      <c r="H806" s="268" t="str">
        <f>$H$7</f>
        <v>PT</v>
      </c>
      <c r="I806" s="268" t="str">
        <f>$I$7</f>
        <v>SE</v>
      </c>
      <c r="J806" s="268" t="str">
        <f>$J$7</f>
        <v>Total</v>
      </c>
      <c r="K806" s="268"/>
      <c r="L806" s="268" t="str">
        <f>$L$7</f>
        <v>FT</v>
      </c>
      <c r="M806" s="268" t="str">
        <f>$M$7</f>
        <v>PT</v>
      </c>
      <c r="N806" s="268" t="str">
        <f>$N$7</f>
        <v>SE</v>
      </c>
      <c r="O806" s="268" t="str">
        <f>$O$7</f>
        <v>Total</v>
      </c>
    </row>
    <row r="807" spans="1:15" s="236" customFormat="1" x14ac:dyDescent="0.2">
      <c r="A807" s="258"/>
      <c r="B807" s="239"/>
      <c r="C807" s="239"/>
      <c r="D807" s="239"/>
      <c r="E807" s="239"/>
      <c r="F807" s="239"/>
      <c r="G807" s="239"/>
      <c r="H807" s="239"/>
      <c r="I807" s="239"/>
      <c r="J807" s="239"/>
      <c r="K807" s="239"/>
      <c r="L807" s="239"/>
      <c r="M807" s="239"/>
      <c r="N807" s="239"/>
      <c r="O807" s="239"/>
    </row>
    <row r="808" spans="1:15" s="236" customFormat="1" x14ac:dyDescent="0.2">
      <c r="A808" s="237" t="str">
        <f>name!E$4</f>
        <v>Managers, directors and senior officials</v>
      </c>
      <c r="B808" s="302">
        <v>36.686791731151594</v>
      </c>
      <c r="C808" s="302">
        <v>1.5050170052037253</v>
      </c>
      <c r="D808" s="302">
        <v>1.7688178027844756</v>
      </c>
      <c r="E808" s="302">
        <f>SUM(B808:D808)</f>
        <v>39.960626539139795</v>
      </c>
      <c r="F808" s="303"/>
      <c r="G808" s="302">
        <v>39.348422732673164</v>
      </c>
      <c r="H808" s="302">
        <v>2.2197597241411589</v>
      </c>
      <c r="I808" s="302">
        <v>1.1562134782480447</v>
      </c>
      <c r="J808" s="302">
        <f>SUM(G808:I808)</f>
        <v>42.724395935062361</v>
      </c>
      <c r="K808" s="303"/>
      <c r="L808" s="302">
        <v>39.213184202630345</v>
      </c>
      <c r="M808" s="302">
        <v>2.5893673314155006</v>
      </c>
      <c r="N808" s="302">
        <v>1.2191804248973619</v>
      </c>
      <c r="O808" s="302">
        <f>SUM(L808:N808)</f>
        <v>43.021731958943207</v>
      </c>
    </row>
    <row r="809" spans="1:15" s="236" customFormat="1" x14ac:dyDescent="0.2">
      <c r="A809" s="237" t="str">
        <f>name!E$5</f>
        <v>Professional occupations</v>
      </c>
      <c r="B809" s="302">
        <v>36.885325752189807</v>
      </c>
      <c r="C809" s="302">
        <v>0.96993153738798743</v>
      </c>
      <c r="D809" s="302">
        <v>1.9630640213359503</v>
      </c>
      <c r="E809" s="302">
        <f t="shared" ref="E809:E816" si="350">SUM(B809:D809)</f>
        <v>39.818321310913745</v>
      </c>
      <c r="F809" s="303"/>
      <c r="G809" s="302">
        <v>45.900405988892523</v>
      </c>
      <c r="H809" s="302">
        <v>1.3447504874087512</v>
      </c>
      <c r="I809" s="302">
        <v>1.1610937220156745</v>
      </c>
      <c r="J809" s="302">
        <f t="shared" ref="J809:J811" si="351">SUM(G809:I809)</f>
        <v>48.406250198316947</v>
      </c>
      <c r="K809" s="303"/>
      <c r="L809" s="302">
        <v>54.470395596692732</v>
      </c>
      <c r="M809" s="302">
        <v>1.6769139624802545</v>
      </c>
      <c r="N809" s="302">
        <v>1.0551080853574728</v>
      </c>
      <c r="O809" s="302">
        <f t="shared" ref="O809:O816" si="352">SUM(L809:N809)</f>
        <v>57.202417644530463</v>
      </c>
    </row>
    <row r="810" spans="1:15" s="236" customFormat="1" x14ac:dyDescent="0.2">
      <c r="A810" s="237" t="str">
        <f>name!E$6</f>
        <v>Associate professional occupations</v>
      </c>
      <c r="B810" s="302">
        <v>36.312095327030953</v>
      </c>
      <c r="C810" s="302">
        <v>2.1811064514310154</v>
      </c>
      <c r="D810" s="302">
        <v>1.9390282162328047</v>
      </c>
      <c r="E810" s="302">
        <f t="shared" si="350"/>
        <v>40.432229994694772</v>
      </c>
      <c r="F810" s="303"/>
      <c r="G810" s="302">
        <v>39.170698562159046</v>
      </c>
      <c r="H810" s="302">
        <v>2.4264030296524064</v>
      </c>
      <c r="I810" s="302">
        <v>1.039021744646339</v>
      </c>
      <c r="J810" s="302">
        <f t="shared" si="351"/>
        <v>42.636123336457793</v>
      </c>
      <c r="K810" s="303"/>
      <c r="L810" s="302">
        <v>38.014662507349527</v>
      </c>
      <c r="M810" s="302">
        <v>2.6863240026154669</v>
      </c>
      <c r="N810" s="302">
        <v>0.83686038566993992</v>
      </c>
      <c r="O810" s="302">
        <f t="shared" si="352"/>
        <v>41.537846895634928</v>
      </c>
    </row>
    <row r="811" spans="1:15" s="236" customFormat="1" x14ac:dyDescent="0.2">
      <c r="A811" s="237" t="str">
        <f>name!E$7</f>
        <v>Administrative and secretarial occupations</v>
      </c>
      <c r="B811" s="302">
        <v>30.559678404721598</v>
      </c>
      <c r="C811" s="302">
        <v>10.374112138824531</v>
      </c>
      <c r="D811" s="302">
        <v>0.21665110372317042</v>
      </c>
      <c r="E811" s="302">
        <f t="shared" si="350"/>
        <v>41.150441647269304</v>
      </c>
      <c r="F811" s="303"/>
      <c r="G811" s="302">
        <v>29.544931551030153</v>
      </c>
      <c r="H811" s="302">
        <v>10.067210159706612</v>
      </c>
      <c r="I811" s="302">
        <v>0.11713904992895896</v>
      </c>
      <c r="J811" s="302">
        <f t="shared" si="351"/>
        <v>39.729280760665723</v>
      </c>
      <c r="K811" s="303"/>
      <c r="L811" s="302">
        <v>25.077698227746982</v>
      </c>
      <c r="M811" s="302">
        <v>8.9912679958423336</v>
      </c>
      <c r="N811" s="302">
        <v>0.12765714901130457</v>
      </c>
      <c r="O811" s="302">
        <f t="shared" si="352"/>
        <v>34.196623372600619</v>
      </c>
    </row>
    <row r="812" spans="1:15" s="236" customFormat="1" x14ac:dyDescent="0.2">
      <c r="A812" s="237" t="str">
        <f>name!E$8</f>
        <v>Skilled trades occupations</v>
      </c>
      <c r="B812" s="302">
        <v>1.9793170062264929</v>
      </c>
      <c r="C812" s="302">
        <v>9.1552696186274887E-2</v>
      </c>
      <c r="D812" s="302">
        <v>0.27572558673260567</v>
      </c>
      <c r="E812" s="302">
        <f t="shared" si="350"/>
        <v>2.3465952891453732</v>
      </c>
      <c r="F812" s="303"/>
      <c r="G812" s="302">
        <v>1.5105977800301174</v>
      </c>
      <c r="H812" s="302">
        <v>6.2875390829702435E-2</v>
      </c>
      <c r="I812" s="302">
        <v>0.14455253758892611</v>
      </c>
      <c r="J812" s="302">
        <f>SUM(G812:I812)</f>
        <v>1.7180257084487458</v>
      </c>
      <c r="K812" s="303"/>
      <c r="L812" s="302">
        <v>1.4988610489099743</v>
      </c>
      <c r="M812" s="302">
        <v>0.12382286737998188</v>
      </c>
      <c r="N812" s="302">
        <v>0.16380925303971527</v>
      </c>
      <c r="O812" s="302">
        <f t="shared" si="352"/>
        <v>1.7864931693296715</v>
      </c>
    </row>
    <row r="813" spans="1:15" s="236" customFormat="1" x14ac:dyDescent="0.2">
      <c r="A813" s="237" t="str">
        <f>name!E$9</f>
        <v>Caring, leisure and other service occupations</v>
      </c>
      <c r="B813" s="302">
        <v>0.30951161253439685</v>
      </c>
      <c r="C813" s="302">
        <v>4.8930469182253203E-2</v>
      </c>
      <c r="D813" s="302">
        <v>0.12484548041434983</v>
      </c>
      <c r="E813" s="302">
        <f t="shared" si="350"/>
        <v>0.48328756213099988</v>
      </c>
      <c r="F813" s="303"/>
      <c r="G813" s="302">
        <v>0.28923844707438173</v>
      </c>
      <c r="H813" s="302">
        <v>4.3023574844102519E-2</v>
      </c>
      <c r="I813" s="302">
        <v>8.5579785497262029E-2</v>
      </c>
      <c r="J813" s="302">
        <f t="shared" ref="J813:J816" si="353">SUM(G813:I813)</f>
        <v>0.41784180741574628</v>
      </c>
      <c r="K813" s="303"/>
      <c r="L813" s="302">
        <v>0.30533723849360295</v>
      </c>
      <c r="M813" s="302">
        <v>3.975272446759897E-2</v>
      </c>
      <c r="N813" s="302">
        <v>0.12757209522087073</v>
      </c>
      <c r="O813" s="302">
        <f t="shared" si="352"/>
        <v>0.47266205818207263</v>
      </c>
    </row>
    <row r="814" spans="1:15" s="236" customFormat="1" x14ac:dyDescent="0.2">
      <c r="A814" s="237" t="str">
        <f>name!E$10</f>
        <v>Sales and customer service occupations</v>
      </c>
      <c r="B814" s="302">
        <v>6.8909956555727598</v>
      </c>
      <c r="C814" s="302">
        <v>2.5724872762986548</v>
      </c>
      <c r="D814" s="302">
        <v>1.0949900180075107</v>
      </c>
      <c r="E814" s="302">
        <f t="shared" si="350"/>
        <v>10.558472949878926</v>
      </c>
      <c r="F814" s="303"/>
      <c r="G814" s="302">
        <v>6.3770830198125115</v>
      </c>
      <c r="H814" s="302">
        <v>2.7205110364057346</v>
      </c>
      <c r="I814" s="302">
        <v>0.47003553538180742</v>
      </c>
      <c r="J814" s="302">
        <f t="shared" si="353"/>
        <v>9.5676295916000527</v>
      </c>
      <c r="K814" s="303"/>
      <c r="L814" s="302">
        <v>7.3291279537361049</v>
      </c>
      <c r="M814" s="302">
        <v>3.2762492780523083</v>
      </c>
      <c r="N814" s="302">
        <v>0.4193155569814635</v>
      </c>
      <c r="O814" s="302">
        <f t="shared" si="352"/>
        <v>11.024692788769876</v>
      </c>
    </row>
    <row r="815" spans="1:15" s="236" customFormat="1" x14ac:dyDescent="0.2">
      <c r="A815" s="237" t="str">
        <f>name!E$11</f>
        <v>Process, plant and machine operatives</v>
      </c>
      <c r="B815" s="302">
        <v>0.58388059733064412</v>
      </c>
      <c r="C815" s="302">
        <v>5.7754160040752747E-2</v>
      </c>
      <c r="D815" s="302">
        <v>7.9176137764974688E-2</v>
      </c>
      <c r="E815" s="302">
        <f t="shared" si="350"/>
        <v>0.72081089513637153</v>
      </c>
      <c r="F815" s="303"/>
      <c r="G815" s="302">
        <v>0.43689944371265177</v>
      </c>
      <c r="H815" s="302">
        <v>5.5111869950101429E-2</v>
      </c>
      <c r="I815" s="302">
        <v>5.629795174914197E-2</v>
      </c>
      <c r="J815" s="302">
        <f t="shared" si="353"/>
        <v>0.54830926541189517</v>
      </c>
      <c r="K815" s="303"/>
      <c r="L815" s="302">
        <v>0.460618012668428</v>
      </c>
      <c r="M815" s="302">
        <v>9.4659719540207785E-2</v>
      </c>
      <c r="N815" s="302">
        <v>7.3345744055041948E-2</v>
      </c>
      <c r="O815" s="302">
        <f t="shared" si="352"/>
        <v>0.62862347626367765</v>
      </c>
    </row>
    <row r="816" spans="1:15" s="236" customFormat="1" x14ac:dyDescent="0.2">
      <c r="A816" s="237" t="str">
        <f>name!E$12</f>
        <v>Elementary occupations</v>
      </c>
      <c r="B816" s="302">
        <v>1.0494039105927684</v>
      </c>
      <c r="C816" s="302">
        <v>0.2021082656064595</v>
      </c>
      <c r="D816" s="302">
        <v>0.18270163308323187</v>
      </c>
      <c r="E816" s="302">
        <f t="shared" si="350"/>
        <v>1.4342138092824597</v>
      </c>
      <c r="F816" s="303"/>
      <c r="G816" s="302">
        <v>0.81372247528263453</v>
      </c>
      <c r="H816" s="302">
        <v>0.15635472701530873</v>
      </c>
      <c r="I816" s="302">
        <v>8.206619503610231E-2</v>
      </c>
      <c r="J816" s="302">
        <f t="shared" si="353"/>
        <v>1.0521433973340455</v>
      </c>
      <c r="K816" s="303"/>
      <c r="L816" s="302">
        <v>0.78711521397799677</v>
      </c>
      <c r="M816" s="302">
        <v>0.12564211810598666</v>
      </c>
      <c r="N816" s="302">
        <v>8.7151305930603509E-2</v>
      </c>
      <c r="O816" s="302">
        <f t="shared" si="352"/>
        <v>0.99990863801458696</v>
      </c>
    </row>
    <row r="817" spans="1:15" s="236" customFormat="1" x14ac:dyDescent="0.2">
      <c r="A817" s="237"/>
      <c r="B817" s="302"/>
      <c r="C817" s="302"/>
      <c r="D817" s="302"/>
      <c r="E817" s="302"/>
      <c r="F817" s="303"/>
      <c r="G817" s="302"/>
      <c r="H817" s="302"/>
      <c r="I817" s="302"/>
      <c r="J817" s="302"/>
      <c r="K817" s="303"/>
      <c r="L817" s="302"/>
      <c r="M817" s="302"/>
      <c r="N817" s="302"/>
      <c r="O817" s="302"/>
    </row>
    <row r="818" spans="1:15" s="236" customFormat="1" x14ac:dyDescent="0.2">
      <c r="A818" s="244" t="s">
        <v>32</v>
      </c>
      <c r="B818" s="311">
        <f>SUM(B808:B816)</f>
        <v>151.25699999735104</v>
      </c>
      <c r="C818" s="311">
        <f t="shared" ref="C818:E818" si="354">SUM(C808:C816)</f>
        <v>18.003000000161652</v>
      </c>
      <c r="D818" s="311">
        <f t="shared" si="354"/>
        <v>7.6450000000790741</v>
      </c>
      <c r="E818" s="311">
        <f t="shared" si="354"/>
        <v>176.90499999759174</v>
      </c>
      <c r="F818" s="311"/>
      <c r="G818" s="311">
        <f t="shared" ref="G818:J818" si="355">SUM(G808:G816)</f>
        <v>163.3920000006672</v>
      </c>
      <c r="H818" s="311">
        <f t="shared" si="355"/>
        <v>19.095999999953882</v>
      </c>
      <c r="I818" s="311">
        <f t="shared" si="355"/>
        <v>4.3120000000922563</v>
      </c>
      <c r="J818" s="311">
        <f t="shared" si="355"/>
        <v>186.80000000071331</v>
      </c>
      <c r="K818" s="311"/>
      <c r="L818" s="311">
        <f t="shared" ref="L818:O818" si="356">SUM(L808:L816)</f>
        <v>167.15700000220568</v>
      </c>
      <c r="M818" s="311">
        <f t="shared" si="356"/>
        <v>19.603999999899639</v>
      </c>
      <c r="N818" s="311">
        <f t="shared" si="356"/>
        <v>4.1100000001637742</v>
      </c>
      <c r="O818" s="311">
        <f t="shared" si="356"/>
        <v>190.87100000226906</v>
      </c>
    </row>
    <row r="819" spans="1:15" s="236" customFormat="1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40"/>
    </row>
    <row r="820" spans="1:15" s="236" customFormat="1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40"/>
      <c r="O820" s="251" t="s">
        <v>35</v>
      </c>
    </row>
    <row r="821" spans="1:15" s="236" customFormat="1" x14ac:dyDescent="0.2">
      <c r="A821" s="242"/>
      <c r="B821" s="242"/>
      <c r="C821" s="242"/>
      <c r="D821" s="242"/>
      <c r="E821" s="242"/>
      <c r="F821" s="242"/>
      <c r="G821" s="242"/>
      <c r="H821" s="242"/>
      <c r="I821" s="242"/>
      <c r="J821" s="242"/>
      <c r="K821" s="242"/>
      <c r="L821" s="242"/>
      <c r="M821" s="242"/>
      <c r="N821" s="242"/>
      <c r="O821" s="242"/>
    </row>
    <row r="822" spans="1:15" s="236" customFormat="1" x14ac:dyDescent="0.2">
      <c r="A822" s="241" t="str">
        <f>name!A51</f>
        <v>Insurance and pensions</v>
      </c>
      <c r="B822" s="374">
        <f>$B$6</f>
        <v>2015</v>
      </c>
      <c r="C822" s="374"/>
      <c r="D822" s="374"/>
      <c r="E822" s="374"/>
      <c r="F822" s="263"/>
      <c r="G822" s="374">
        <f>$G$6</f>
        <v>2020</v>
      </c>
      <c r="H822" s="374"/>
      <c r="I822" s="374"/>
      <c r="J822" s="374"/>
      <c r="K822" s="263"/>
      <c r="L822" s="374">
        <f>$L$6</f>
        <v>2035</v>
      </c>
      <c r="M822" s="374"/>
      <c r="N822" s="374"/>
      <c r="O822" s="374"/>
    </row>
    <row r="823" spans="1:15" s="236" customFormat="1" x14ac:dyDescent="0.2">
      <c r="A823" s="254"/>
      <c r="B823" s="268" t="str">
        <f>$B$7</f>
        <v>FT</v>
      </c>
      <c r="C823" s="268" t="str">
        <f>$C$7</f>
        <v>PT</v>
      </c>
      <c r="D823" s="268" t="str">
        <f>$D$7</f>
        <v>SE</v>
      </c>
      <c r="E823" s="268" t="str">
        <f>$E$7</f>
        <v>Total</v>
      </c>
      <c r="F823" s="268"/>
      <c r="G823" s="268" t="str">
        <f>$G$7</f>
        <v>FT</v>
      </c>
      <c r="H823" s="268" t="str">
        <f>$H$7</f>
        <v>PT</v>
      </c>
      <c r="I823" s="268" t="str">
        <f>$I$7</f>
        <v>SE</v>
      </c>
      <c r="J823" s="268" t="str">
        <f>$J$7</f>
        <v>Total</v>
      </c>
      <c r="K823" s="268"/>
      <c r="L823" s="268" t="str">
        <f>$L$7</f>
        <v>FT</v>
      </c>
      <c r="M823" s="268" t="str">
        <f>$M$7</f>
        <v>PT</v>
      </c>
      <c r="N823" s="268" t="str">
        <f>$N$7</f>
        <v>SE</v>
      </c>
      <c r="O823" s="268" t="str">
        <f>$O$7</f>
        <v>Total</v>
      </c>
    </row>
    <row r="824" spans="1:15" s="236" customFormat="1" x14ac:dyDescent="0.2">
      <c r="A824" s="258"/>
      <c r="B824" s="239"/>
      <c r="C824" s="239"/>
      <c r="D824" s="239"/>
      <c r="E824" s="239"/>
      <c r="F824" s="239"/>
      <c r="G824" s="239"/>
      <c r="H824" s="239"/>
      <c r="I824" s="239"/>
      <c r="J824" s="239"/>
      <c r="K824" s="239"/>
      <c r="L824" s="239"/>
      <c r="M824" s="239"/>
      <c r="N824" s="239"/>
      <c r="O824" s="239"/>
    </row>
    <row r="825" spans="1:15" s="236" customFormat="1" x14ac:dyDescent="0.2">
      <c r="A825" s="237" t="str">
        <f>name!E$4</f>
        <v>Managers, directors and senior officials</v>
      </c>
      <c r="B825" s="302">
        <v>3.5526703745811514</v>
      </c>
      <c r="C825" s="302">
        <v>0.24062023991907242</v>
      </c>
      <c r="D825" s="302">
        <v>8.8814288450369525E-2</v>
      </c>
      <c r="E825" s="302">
        <f>SUM(B825:D825)</f>
        <v>3.8821049029505934</v>
      </c>
      <c r="F825" s="303"/>
      <c r="G825" s="302">
        <v>4.4002150696567002</v>
      </c>
      <c r="H825" s="302">
        <v>0.23234201616841885</v>
      </c>
      <c r="I825" s="302">
        <v>7.9820456385707464E-2</v>
      </c>
      <c r="J825" s="302">
        <f>SUM(G825:I825)</f>
        <v>4.7123775422108265</v>
      </c>
      <c r="K825" s="303"/>
      <c r="L825" s="302">
        <v>4.6756967060212009</v>
      </c>
      <c r="M825" s="302">
        <v>0.24499317733186279</v>
      </c>
      <c r="N825" s="302">
        <v>6.079723722551459E-2</v>
      </c>
      <c r="O825" s="302">
        <f>SUM(L825:N825)</f>
        <v>4.9814871205785787</v>
      </c>
    </row>
    <row r="826" spans="1:15" s="236" customFormat="1" x14ac:dyDescent="0.2">
      <c r="A826" s="237" t="str">
        <f>name!E$5</f>
        <v>Professional occupations</v>
      </c>
      <c r="B826" s="302">
        <v>7.0675488518270955</v>
      </c>
      <c r="C826" s="302">
        <v>0.38886718828208167</v>
      </c>
      <c r="D826" s="302">
        <v>9.6125291417754971E-2</v>
      </c>
      <c r="E826" s="302">
        <f t="shared" ref="E826:E833" si="357">SUM(B826:D826)</f>
        <v>7.5525413315269319</v>
      </c>
      <c r="F826" s="303"/>
      <c r="G826" s="302">
        <v>10.247895932303464</v>
      </c>
      <c r="H826" s="302">
        <v>0.33041342722635486</v>
      </c>
      <c r="I826" s="302">
        <v>7.6459561855530919E-2</v>
      </c>
      <c r="J826" s="302">
        <f t="shared" ref="J826:J828" si="358">SUM(G826:I826)</f>
        <v>10.654768921385351</v>
      </c>
      <c r="K826" s="303"/>
      <c r="L826" s="302">
        <v>12.321086267808727</v>
      </c>
      <c r="M826" s="302">
        <v>0.35611592901388289</v>
      </c>
      <c r="N826" s="302">
        <v>5.147994274820536E-2</v>
      </c>
      <c r="O826" s="302">
        <f t="shared" ref="O826:O833" si="359">SUM(L826:N826)</f>
        <v>12.728682139570816</v>
      </c>
    </row>
    <row r="827" spans="1:15" s="236" customFormat="1" x14ac:dyDescent="0.2">
      <c r="A827" s="237" t="str">
        <f>name!E$6</f>
        <v>Associate professional occupations</v>
      </c>
      <c r="B827" s="302">
        <v>6.2489793044732425</v>
      </c>
      <c r="C827" s="302">
        <v>0.67689809361088649</v>
      </c>
      <c r="D827" s="302">
        <v>0.19024285322974532</v>
      </c>
      <c r="E827" s="302">
        <f t="shared" si="357"/>
        <v>7.1161202513138742</v>
      </c>
      <c r="F827" s="303"/>
      <c r="G827" s="302">
        <v>7.738672899104218</v>
      </c>
      <c r="H827" s="302">
        <v>0.50718770711916328</v>
      </c>
      <c r="I827" s="302">
        <v>0.13345175380442481</v>
      </c>
      <c r="J827" s="302">
        <f t="shared" si="358"/>
        <v>8.3793123600278054</v>
      </c>
      <c r="K827" s="303"/>
      <c r="L827" s="302">
        <v>7.4926137910112027</v>
      </c>
      <c r="M827" s="302">
        <v>0.51959005114270063</v>
      </c>
      <c r="N827" s="302">
        <v>7.1576683654841905E-2</v>
      </c>
      <c r="O827" s="302">
        <f t="shared" si="359"/>
        <v>8.083780525808745</v>
      </c>
    </row>
    <row r="828" spans="1:15" s="236" customFormat="1" x14ac:dyDescent="0.2">
      <c r="A828" s="237" t="str">
        <f>name!E$7</f>
        <v>Administrative and secretarial occupations</v>
      </c>
      <c r="B828" s="302">
        <v>6.0428608713813299</v>
      </c>
      <c r="C828" s="302">
        <v>0.95515350929365561</v>
      </c>
      <c r="D828" s="302">
        <v>4.5936905558009417E-2</v>
      </c>
      <c r="E828" s="302">
        <f t="shared" si="357"/>
        <v>7.0439512862329945</v>
      </c>
      <c r="F828" s="303"/>
      <c r="G828" s="302">
        <v>6.3675636474358672</v>
      </c>
      <c r="H828" s="302">
        <v>0.59124347396502042</v>
      </c>
      <c r="I828" s="302">
        <v>3.0997456941963545E-2</v>
      </c>
      <c r="J828" s="302">
        <f t="shared" si="358"/>
        <v>6.9898045783428513</v>
      </c>
      <c r="K828" s="303"/>
      <c r="L828" s="302">
        <v>4.6843181753494276</v>
      </c>
      <c r="M828" s="302">
        <v>0.46403423009145189</v>
      </c>
      <c r="N828" s="302">
        <v>2.5316398484825784E-2</v>
      </c>
      <c r="O828" s="302">
        <f t="shared" si="359"/>
        <v>5.1736688039257048</v>
      </c>
    </row>
    <row r="829" spans="1:15" s="236" customFormat="1" x14ac:dyDescent="0.2">
      <c r="A829" s="237" t="str">
        <f>name!E$8</f>
        <v>Skilled trades occupations</v>
      </c>
      <c r="B829" s="302">
        <v>0.37518422522981099</v>
      </c>
      <c r="C829" s="302">
        <v>3.5782295478113325E-2</v>
      </c>
      <c r="D829" s="302">
        <v>0.15888294315850596</v>
      </c>
      <c r="E829" s="302">
        <f t="shared" si="357"/>
        <v>0.56984946386643032</v>
      </c>
      <c r="F829" s="303"/>
      <c r="G829" s="302">
        <v>0.36582577286481466</v>
      </c>
      <c r="H829" s="302">
        <v>1.7673227536144327E-2</v>
      </c>
      <c r="I829" s="302">
        <v>0.11201793142800893</v>
      </c>
      <c r="J829" s="302">
        <f>SUM(G829:I829)</f>
        <v>0.49551693182896789</v>
      </c>
      <c r="K829" s="303"/>
      <c r="L829" s="302">
        <v>0.41118990998644878</v>
      </c>
      <c r="M829" s="302">
        <v>2.2285333571579025E-2</v>
      </c>
      <c r="N829" s="302">
        <v>0.10155512995316467</v>
      </c>
      <c r="O829" s="302">
        <f t="shared" si="359"/>
        <v>0.53503037351119243</v>
      </c>
    </row>
    <row r="830" spans="1:15" s="236" customFormat="1" x14ac:dyDescent="0.2">
      <c r="A830" s="237" t="str">
        <f>name!E$9</f>
        <v>Caring, leisure and other service occupations</v>
      </c>
      <c r="B830" s="302">
        <v>0.76470235987866997</v>
      </c>
      <c r="C830" s="302">
        <v>1.9315278568599634E-2</v>
      </c>
      <c r="D830" s="302">
        <v>7.8204104753799523E-3</v>
      </c>
      <c r="E830" s="302">
        <f t="shared" si="357"/>
        <v>0.79183804892264953</v>
      </c>
      <c r="F830" s="303"/>
      <c r="G830" s="302">
        <v>0.81139295410012924</v>
      </c>
      <c r="H830" s="302">
        <v>1.2232999283151464E-2</v>
      </c>
      <c r="I830" s="302">
        <v>1.2505780018827715E-2</v>
      </c>
      <c r="J830" s="302">
        <f t="shared" ref="J830:J833" si="360">SUM(G830:I830)</f>
        <v>0.83613173340210845</v>
      </c>
      <c r="K830" s="303"/>
      <c r="L830" s="302">
        <v>0.94828932081634965</v>
      </c>
      <c r="M830" s="302">
        <v>8.8948486572855839E-3</v>
      </c>
      <c r="N830" s="302">
        <v>8.6448694164033193E-3</v>
      </c>
      <c r="O830" s="302">
        <f t="shared" si="359"/>
        <v>0.96582903889003857</v>
      </c>
    </row>
    <row r="831" spans="1:15" s="236" customFormat="1" x14ac:dyDescent="0.2">
      <c r="A831" s="237" t="str">
        <f>name!E$10</f>
        <v>Sales and customer service occupations</v>
      </c>
      <c r="B831" s="302">
        <v>2.4369711874032438</v>
      </c>
      <c r="C831" s="302">
        <v>0.67195419167049275</v>
      </c>
      <c r="D831" s="302">
        <v>5.6381870185871499E-2</v>
      </c>
      <c r="E831" s="302">
        <f t="shared" si="357"/>
        <v>3.1653072492596079</v>
      </c>
      <c r="F831" s="303"/>
      <c r="G831" s="302">
        <v>2.4874109927169639</v>
      </c>
      <c r="H831" s="302">
        <v>0.47518779915892845</v>
      </c>
      <c r="I831" s="302">
        <v>3.4688323311472757E-2</v>
      </c>
      <c r="J831" s="302">
        <f t="shared" si="360"/>
        <v>2.997287115187365</v>
      </c>
      <c r="K831" s="303"/>
      <c r="L831" s="302">
        <v>2.5976034070356233</v>
      </c>
      <c r="M831" s="302">
        <v>0.60178533329837514</v>
      </c>
      <c r="N831" s="302">
        <v>2.5395880751822461E-2</v>
      </c>
      <c r="O831" s="302">
        <f t="shared" si="359"/>
        <v>3.2247846210858211</v>
      </c>
    </row>
    <row r="832" spans="1:15" s="236" customFormat="1" x14ac:dyDescent="0.2">
      <c r="A832" s="237" t="str">
        <f>name!E$11</f>
        <v>Process, plant and machine operatives</v>
      </c>
      <c r="B832" s="302">
        <v>0.10384666767252321</v>
      </c>
      <c r="C832" s="302">
        <v>1.8194488180842433E-2</v>
      </c>
      <c r="D832" s="302">
        <v>1.2363495276773941E-2</v>
      </c>
      <c r="E832" s="302">
        <f t="shared" si="357"/>
        <v>0.13440465113013958</v>
      </c>
      <c r="F832" s="303"/>
      <c r="G832" s="302">
        <v>8.6615880950815127E-2</v>
      </c>
      <c r="H832" s="302">
        <v>1.0605025769969814E-2</v>
      </c>
      <c r="I832" s="302">
        <v>1.1413931559217712E-2</v>
      </c>
      <c r="J832" s="302">
        <f t="shared" si="360"/>
        <v>0.10863483828000266</v>
      </c>
      <c r="K832" s="303"/>
      <c r="L832" s="302">
        <v>8.5627578570768442E-2</v>
      </c>
      <c r="M832" s="302">
        <v>2.2656610172960015E-2</v>
      </c>
      <c r="N832" s="302">
        <v>1.1979006847553465E-2</v>
      </c>
      <c r="O832" s="302">
        <f t="shared" si="359"/>
        <v>0.12026319559128193</v>
      </c>
    </row>
    <row r="833" spans="1:15" s="236" customFormat="1" x14ac:dyDescent="0.2">
      <c r="A833" s="237" t="str">
        <f>name!E$12</f>
        <v>Elementary occupations</v>
      </c>
      <c r="B833" s="302">
        <v>0.20223615721005062</v>
      </c>
      <c r="C833" s="302">
        <v>0.10521471501901049</v>
      </c>
      <c r="D833" s="302">
        <v>9.4319422518686843E-3</v>
      </c>
      <c r="E833" s="302">
        <f t="shared" si="357"/>
        <v>0.31688281448092975</v>
      </c>
      <c r="F833" s="303"/>
      <c r="G833" s="302">
        <v>0.17840685088266328</v>
      </c>
      <c r="H833" s="302">
        <v>5.5114323768422784E-2</v>
      </c>
      <c r="I833" s="302">
        <v>9.64480470145339E-3</v>
      </c>
      <c r="J833" s="302">
        <f t="shared" si="360"/>
        <v>0.24316597935253947</v>
      </c>
      <c r="K833" s="303"/>
      <c r="L833" s="302">
        <v>0.14257484365088655</v>
      </c>
      <c r="M833" s="302">
        <v>4.7644486710020958E-2</v>
      </c>
      <c r="N833" s="302">
        <v>8.2548509254108272E-3</v>
      </c>
      <c r="O833" s="302">
        <f t="shared" si="359"/>
        <v>0.19847418128631833</v>
      </c>
    </row>
    <row r="834" spans="1:15" s="236" customFormat="1" x14ac:dyDescent="0.2">
      <c r="A834" s="237"/>
      <c r="B834" s="302"/>
      <c r="C834" s="302"/>
      <c r="D834" s="302"/>
      <c r="E834" s="302"/>
      <c r="F834" s="303"/>
      <c r="G834" s="302"/>
      <c r="H834" s="302"/>
      <c r="I834" s="302"/>
      <c r="J834" s="302"/>
      <c r="K834" s="303"/>
      <c r="L834" s="302"/>
      <c r="M834" s="302"/>
      <c r="N834" s="302"/>
      <c r="O834" s="302"/>
    </row>
    <row r="835" spans="1:15" s="236" customFormat="1" x14ac:dyDescent="0.2">
      <c r="A835" s="244" t="s">
        <v>32</v>
      </c>
      <c r="B835" s="311">
        <f>SUM(B825:B833)</f>
        <v>26.794999999657122</v>
      </c>
      <c r="C835" s="311">
        <f t="shared" ref="C835:E835" si="361">SUM(C825:C833)</f>
        <v>3.1120000000227543</v>
      </c>
      <c r="D835" s="311">
        <f t="shared" si="361"/>
        <v>0.66600000000427928</v>
      </c>
      <c r="E835" s="311">
        <f t="shared" si="361"/>
        <v>30.572999999684153</v>
      </c>
      <c r="F835" s="311"/>
      <c r="G835" s="311">
        <f t="shared" ref="G835:J835" si="362">SUM(G825:G833)</f>
        <v>32.684000000015637</v>
      </c>
      <c r="H835" s="311">
        <f t="shared" si="362"/>
        <v>2.231999999995574</v>
      </c>
      <c r="I835" s="311">
        <f t="shared" si="362"/>
        <v>0.50100000000660727</v>
      </c>
      <c r="J835" s="311">
        <f t="shared" si="362"/>
        <v>35.417000000017815</v>
      </c>
      <c r="K835" s="311"/>
      <c r="L835" s="311">
        <f t="shared" ref="L835:O835" si="363">SUM(L825:L833)</f>
        <v>33.359000000250632</v>
      </c>
      <c r="M835" s="311">
        <f t="shared" si="363"/>
        <v>2.2879999999901188</v>
      </c>
      <c r="N835" s="311">
        <f t="shared" si="363"/>
        <v>0.36500000000774241</v>
      </c>
      <c r="O835" s="311">
        <f t="shared" si="363"/>
        <v>36.012000000248499</v>
      </c>
    </row>
    <row r="836" spans="1:15" s="236" customFormat="1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40"/>
    </row>
    <row r="837" spans="1:15" s="236" customFormat="1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40"/>
      <c r="O837" s="251" t="s">
        <v>35</v>
      </c>
    </row>
    <row r="838" spans="1:15" s="236" customFormat="1" x14ac:dyDescent="0.2">
      <c r="A838" s="242"/>
      <c r="B838" s="242"/>
      <c r="C838" s="242"/>
      <c r="D838" s="242"/>
      <c r="E838" s="242"/>
      <c r="F838" s="242"/>
      <c r="G838" s="242"/>
      <c r="H838" s="242"/>
      <c r="I838" s="242"/>
      <c r="J838" s="242"/>
      <c r="K838" s="242"/>
      <c r="L838" s="242"/>
      <c r="M838" s="242"/>
      <c r="N838" s="242"/>
      <c r="O838" s="242"/>
    </row>
    <row r="839" spans="1:15" s="236" customFormat="1" x14ac:dyDescent="0.2">
      <c r="A839" s="241" t="str">
        <f>name!A52</f>
        <v>Auxiliary financial services</v>
      </c>
      <c r="B839" s="374">
        <f>$B$6</f>
        <v>2015</v>
      </c>
      <c r="C839" s="374"/>
      <c r="D839" s="374"/>
      <c r="E839" s="374"/>
      <c r="F839" s="263"/>
      <c r="G839" s="374">
        <f>$G$6</f>
        <v>2020</v>
      </c>
      <c r="H839" s="374"/>
      <c r="I839" s="374"/>
      <c r="J839" s="374"/>
      <c r="K839" s="263"/>
      <c r="L839" s="374">
        <f>$L$6</f>
        <v>2035</v>
      </c>
      <c r="M839" s="374"/>
      <c r="N839" s="374"/>
      <c r="O839" s="374"/>
    </row>
    <row r="840" spans="1:15" s="236" customFormat="1" x14ac:dyDescent="0.2">
      <c r="A840" s="254"/>
      <c r="B840" s="268" t="str">
        <f>$B$7</f>
        <v>FT</v>
      </c>
      <c r="C840" s="268" t="str">
        <f>$C$7</f>
        <v>PT</v>
      </c>
      <c r="D840" s="268" t="str">
        <f>$D$7</f>
        <v>SE</v>
      </c>
      <c r="E840" s="268" t="str">
        <f>$E$7</f>
        <v>Total</v>
      </c>
      <c r="F840" s="268"/>
      <c r="G840" s="268" t="str">
        <f>$G$7</f>
        <v>FT</v>
      </c>
      <c r="H840" s="268" t="str">
        <f>$H$7</f>
        <v>PT</v>
      </c>
      <c r="I840" s="268" t="str">
        <f>$I$7</f>
        <v>SE</v>
      </c>
      <c r="J840" s="268" t="str">
        <f>$J$7</f>
        <v>Total</v>
      </c>
      <c r="K840" s="268"/>
      <c r="L840" s="268" t="str">
        <f>$L$7</f>
        <v>FT</v>
      </c>
      <c r="M840" s="268" t="str">
        <f>$M$7</f>
        <v>PT</v>
      </c>
      <c r="N840" s="268" t="str">
        <f>$N$7</f>
        <v>SE</v>
      </c>
      <c r="O840" s="268" t="str">
        <f>$O$7</f>
        <v>Total</v>
      </c>
    </row>
    <row r="841" spans="1:15" s="236" customFormat="1" x14ac:dyDescent="0.2">
      <c r="A841" s="258"/>
      <c r="B841" s="239"/>
      <c r="C841" s="239"/>
      <c r="D841" s="239"/>
      <c r="E841" s="239"/>
      <c r="F841" s="239"/>
      <c r="G841" s="239"/>
      <c r="H841" s="239"/>
      <c r="I841" s="239"/>
      <c r="J841" s="239"/>
      <c r="K841" s="239"/>
      <c r="L841" s="239"/>
      <c r="M841" s="239"/>
      <c r="N841" s="239"/>
      <c r="O841" s="239"/>
    </row>
    <row r="842" spans="1:15" s="236" customFormat="1" x14ac:dyDescent="0.2">
      <c r="A842" s="237" t="str">
        <f>name!E$4</f>
        <v>Managers, directors and senior officials</v>
      </c>
      <c r="B842" s="302">
        <v>26.840521718132333</v>
      </c>
      <c r="C842" s="302">
        <v>1.6451552482474237</v>
      </c>
      <c r="D842" s="302">
        <v>1.2027503045512262</v>
      </c>
      <c r="E842" s="302">
        <f>SUM(B842:D842)</f>
        <v>29.688427270930983</v>
      </c>
      <c r="F842" s="303"/>
      <c r="G842" s="302">
        <v>28.499440605281876</v>
      </c>
      <c r="H842" s="302">
        <v>2.2532919679601382</v>
      </c>
      <c r="I842" s="302">
        <v>2.3788622711023311</v>
      </c>
      <c r="J842" s="302">
        <f>SUM(G842:I842)</f>
        <v>33.131594844344342</v>
      </c>
      <c r="K842" s="303"/>
      <c r="L842" s="302">
        <v>28.490953701209488</v>
      </c>
      <c r="M842" s="302">
        <v>2.6066596285449011</v>
      </c>
      <c r="N842" s="302">
        <v>3.1832340793913434</v>
      </c>
      <c r="O842" s="302">
        <f>SUM(L842:N842)</f>
        <v>34.280847409145728</v>
      </c>
    </row>
    <row r="843" spans="1:15" s="236" customFormat="1" x14ac:dyDescent="0.2">
      <c r="A843" s="237" t="str">
        <f>name!E$5</f>
        <v>Professional occupations</v>
      </c>
      <c r="B843" s="302">
        <v>37.726659272264783</v>
      </c>
      <c r="C843" s="302">
        <v>1.7073511554825591</v>
      </c>
      <c r="D843" s="302">
        <v>1.89636855471664</v>
      </c>
      <c r="E843" s="302">
        <f t="shared" ref="E843:E850" si="364">SUM(B843:D843)</f>
        <v>41.330378982463976</v>
      </c>
      <c r="F843" s="303"/>
      <c r="G843" s="302">
        <v>47.44260035097907</v>
      </c>
      <c r="H843" s="302">
        <v>2.2323635571831906</v>
      </c>
      <c r="I843" s="302">
        <v>3.3190383167775215</v>
      </c>
      <c r="J843" s="302">
        <f t="shared" ref="J843:J845" si="365">SUM(G843:I843)</f>
        <v>52.994002224939784</v>
      </c>
      <c r="K843" s="303"/>
      <c r="L843" s="302">
        <v>57.406020794153726</v>
      </c>
      <c r="M843" s="302">
        <v>2.6618276877565701</v>
      </c>
      <c r="N843" s="302">
        <v>4.2141825410514988</v>
      </c>
      <c r="O843" s="302">
        <f t="shared" ref="O843:O850" si="366">SUM(L843:N843)</f>
        <v>64.282031022961789</v>
      </c>
    </row>
    <row r="844" spans="1:15" s="236" customFormat="1" x14ac:dyDescent="0.2">
      <c r="A844" s="237" t="str">
        <f>name!E$6</f>
        <v>Associate professional occupations</v>
      </c>
      <c r="B844" s="302">
        <v>50.730810135889037</v>
      </c>
      <c r="C844" s="302">
        <v>3.2862391795050199</v>
      </c>
      <c r="D844" s="302">
        <v>3.7169827724673223</v>
      </c>
      <c r="E844" s="302">
        <f t="shared" si="364"/>
        <v>57.73403208786138</v>
      </c>
      <c r="F844" s="303"/>
      <c r="G844" s="302">
        <v>53.731334983024119</v>
      </c>
      <c r="H844" s="302">
        <v>3.3306301696730958</v>
      </c>
      <c r="I844" s="302">
        <v>5.7437138710194953</v>
      </c>
      <c r="J844" s="302">
        <f t="shared" si="365"/>
        <v>62.805679023716706</v>
      </c>
      <c r="K844" s="303"/>
      <c r="L844" s="302">
        <v>52.760606569117961</v>
      </c>
      <c r="M844" s="302">
        <v>3.7148750440961993</v>
      </c>
      <c r="N844" s="302">
        <v>5.8492000717270569</v>
      </c>
      <c r="O844" s="302">
        <f t="shared" si="366"/>
        <v>62.324681684941211</v>
      </c>
    </row>
    <row r="845" spans="1:15" s="236" customFormat="1" x14ac:dyDescent="0.2">
      <c r="A845" s="237" t="str">
        <f>name!E$7</f>
        <v>Administrative and secretarial occupations</v>
      </c>
      <c r="B845" s="302">
        <v>17.817236855473293</v>
      </c>
      <c r="C845" s="302">
        <v>5.2347527810115126</v>
      </c>
      <c r="D845" s="302">
        <v>0.84348980906582838</v>
      </c>
      <c r="E845" s="302">
        <f t="shared" si="364"/>
        <v>23.895479445550635</v>
      </c>
      <c r="F845" s="303"/>
      <c r="G845" s="302">
        <v>16.6068218967972</v>
      </c>
      <c r="H845" s="302">
        <v>4.5353137384725404</v>
      </c>
      <c r="I845" s="302">
        <v>0.79666426069130436</v>
      </c>
      <c r="J845" s="302">
        <f t="shared" si="365"/>
        <v>21.938799895961044</v>
      </c>
      <c r="K845" s="303"/>
      <c r="L845" s="302">
        <v>10.978860968704494</v>
      </c>
      <c r="M845" s="302">
        <v>3.5520845333491273</v>
      </c>
      <c r="N845" s="302">
        <v>0.83517301674377475</v>
      </c>
      <c r="O845" s="302">
        <f t="shared" si="366"/>
        <v>15.366118518797396</v>
      </c>
    </row>
    <row r="846" spans="1:15" s="236" customFormat="1" x14ac:dyDescent="0.2">
      <c r="A846" s="237" t="str">
        <f>name!E$8</f>
        <v>Skilled trades occupations</v>
      </c>
      <c r="B846" s="302">
        <v>1.5339023094462014</v>
      </c>
      <c r="C846" s="302">
        <v>0.34164680475532483</v>
      </c>
      <c r="D846" s="302">
        <v>0.31870729121939484</v>
      </c>
      <c r="E846" s="302">
        <f t="shared" si="364"/>
        <v>2.194256405420921</v>
      </c>
      <c r="F846" s="303"/>
      <c r="G846" s="302">
        <v>1.1999163552696004</v>
      </c>
      <c r="H846" s="302">
        <v>0.21671622081527958</v>
      </c>
      <c r="I846" s="302">
        <v>0.42986570411612679</v>
      </c>
      <c r="J846" s="302">
        <f>SUM(G846:I846)</f>
        <v>1.8464982802010068</v>
      </c>
      <c r="K846" s="303"/>
      <c r="L846" s="302">
        <v>1.1505099449238632</v>
      </c>
      <c r="M846" s="302">
        <v>0.22897546754324549</v>
      </c>
      <c r="N846" s="302">
        <v>0.52602290831767129</v>
      </c>
      <c r="O846" s="302">
        <f t="shared" si="366"/>
        <v>1.9055083207847801</v>
      </c>
    </row>
    <row r="847" spans="1:15" s="236" customFormat="1" x14ac:dyDescent="0.2">
      <c r="A847" s="237" t="str">
        <f>name!E$9</f>
        <v>Caring, leisure and other service occupations</v>
      </c>
      <c r="B847" s="302">
        <v>0.54774627594553738</v>
      </c>
      <c r="C847" s="302">
        <v>9.1943992204012323E-2</v>
      </c>
      <c r="D847" s="302">
        <v>0.29647075599391193</v>
      </c>
      <c r="E847" s="302">
        <f t="shared" si="364"/>
        <v>0.93616102414346158</v>
      </c>
      <c r="F847" s="303"/>
      <c r="G847" s="302">
        <v>0.50559613052868468</v>
      </c>
      <c r="H847" s="302">
        <v>7.6876207617931097E-2</v>
      </c>
      <c r="I847" s="302">
        <v>0.27464600791687549</v>
      </c>
      <c r="J847" s="302">
        <f t="shared" ref="J847:J850" si="367">SUM(G847:I847)</f>
        <v>0.85711834606349124</v>
      </c>
      <c r="K847" s="303"/>
      <c r="L847" s="302">
        <v>0.64326495470719558</v>
      </c>
      <c r="M847" s="302">
        <v>6.6917811006339145E-2</v>
      </c>
      <c r="N847" s="302">
        <v>0.46114391062342869</v>
      </c>
      <c r="O847" s="302">
        <f t="shared" si="366"/>
        <v>1.1713266763369634</v>
      </c>
    </row>
    <row r="848" spans="1:15" s="236" customFormat="1" x14ac:dyDescent="0.2">
      <c r="A848" s="237" t="str">
        <f>name!E$10</f>
        <v>Sales and customer service occupations</v>
      </c>
      <c r="B848" s="302">
        <v>4.6859635807517224</v>
      </c>
      <c r="C848" s="302">
        <v>1.0564101170174052</v>
      </c>
      <c r="D848" s="302">
        <v>0.52588545082809102</v>
      </c>
      <c r="E848" s="302">
        <f t="shared" si="364"/>
        <v>6.2682591485972186</v>
      </c>
      <c r="F848" s="303"/>
      <c r="G848" s="302">
        <v>4.2883889579909935</v>
      </c>
      <c r="H848" s="302">
        <v>1.0416401572406153</v>
      </c>
      <c r="I848" s="302">
        <v>0.41645279745327202</v>
      </c>
      <c r="J848" s="302">
        <f t="shared" si="367"/>
        <v>5.7464819126848807</v>
      </c>
      <c r="K848" s="303"/>
      <c r="L848" s="302">
        <v>4.4089453666039518</v>
      </c>
      <c r="M848" s="302">
        <v>1.2053449674222581</v>
      </c>
      <c r="N848" s="302">
        <v>0.46810114673638947</v>
      </c>
      <c r="O848" s="302">
        <f t="shared" si="366"/>
        <v>6.0823914807625989</v>
      </c>
    </row>
    <row r="849" spans="1:15" s="236" customFormat="1" x14ac:dyDescent="0.2">
      <c r="A849" s="237" t="str">
        <f>name!E$11</f>
        <v>Process, plant and machine operatives</v>
      </c>
      <c r="B849" s="302">
        <v>0.91777034489497866</v>
      </c>
      <c r="C849" s="302">
        <v>9.430927246770858E-2</v>
      </c>
      <c r="D849" s="302">
        <v>0.18667617485440713</v>
      </c>
      <c r="E849" s="302">
        <f t="shared" si="364"/>
        <v>1.1987557922170944</v>
      </c>
      <c r="F849" s="303"/>
      <c r="G849" s="302">
        <v>0.68820927325318781</v>
      </c>
      <c r="H849" s="302">
        <v>6.4088602157868116E-2</v>
      </c>
      <c r="I849" s="302">
        <v>0.45156364160115442</v>
      </c>
      <c r="J849" s="302">
        <f t="shared" si="367"/>
        <v>1.2038615170122104</v>
      </c>
      <c r="K849" s="303"/>
      <c r="L849" s="302">
        <v>0.77387955461612246</v>
      </c>
      <c r="M849" s="302">
        <v>0.13808933753756963</v>
      </c>
      <c r="N849" s="302">
        <v>0.71679988345699064</v>
      </c>
      <c r="O849" s="302">
        <f t="shared" si="366"/>
        <v>1.6287687756106828</v>
      </c>
    </row>
    <row r="850" spans="1:15" s="236" customFormat="1" x14ac:dyDescent="0.2">
      <c r="A850" s="237" t="str">
        <f>name!E$12</f>
        <v>Elementary occupations</v>
      </c>
      <c r="B850" s="302">
        <v>0.85338950449154649</v>
      </c>
      <c r="C850" s="302">
        <v>0.42019144936380387</v>
      </c>
      <c r="D850" s="302">
        <v>0.2266688864188714</v>
      </c>
      <c r="E850" s="302">
        <f t="shared" si="364"/>
        <v>1.5002498402742219</v>
      </c>
      <c r="F850" s="303"/>
      <c r="G850" s="302">
        <v>0.6566914476696375</v>
      </c>
      <c r="H850" s="302">
        <v>0.298079378847455</v>
      </c>
      <c r="I850" s="302">
        <v>0.18919312964689738</v>
      </c>
      <c r="J850" s="302">
        <f t="shared" si="367"/>
        <v>1.1439639561639898</v>
      </c>
      <c r="K850" s="303"/>
      <c r="L850" s="302">
        <v>0.50295814809860528</v>
      </c>
      <c r="M850" s="302">
        <v>0.25322552266076442</v>
      </c>
      <c r="N850" s="302">
        <v>0.24314244267534155</v>
      </c>
      <c r="O850" s="302">
        <f t="shared" si="366"/>
        <v>0.99932611343471123</v>
      </c>
    </row>
    <row r="851" spans="1:15" s="236" customFormat="1" x14ac:dyDescent="0.2">
      <c r="A851" s="237"/>
      <c r="B851" s="302"/>
      <c r="C851" s="302"/>
      <c r="D851" s="302"/>
      <c r="E851" s="302"/>
      <c r="F851" s="303"/>
      <c r="G851" s="302"/>
      <c r="H851" s="302"/>
      <c r="I851" s="302"/>
      <c r="J851" s="302"/>
      <c r="K851" s="303"/>
      <c r="L851" s="302"/>
      <c r="M851" s="302"/>
      <c r="N851" s="302"/>
      <c r="O851" s="302"/>
    </row>
    <row r="852" spans="1:15" s="236" customFormat="1" x14ac:dyDescent="0.2">
      <c r="A852" s="244" t="s">
        <v>32</v>
      </c>
      <c r="B852" s="311">
        <f>SUM(B842:B850)</f>
        <v>141.65399999728945</v>
      </c>
      <c r="C852" s="311">
        <f t="shared" ref="C852:E852" si="368">SUM(C842:C850)</f>
        <v>13.878000000054769</v>
      </c>
      <c r="D852" s="311">
        <f t="shared" si="368"/>
        <v>9.214000000115691</v>
      </c>
      <c r="E852" s="311">
        <f t="shared" si="368"/>
        <v>164.7459999974599</v>
      </c>
      <c r="F852" s="311"/>
      <c r="G852" s="311">
        <f t="shared" ref="G852:J852" si="369">SUM(G842:G850)</f>
        <v>153.61900000079439</v>
      </c>
      <c r="H852" s="311">
        <f t="shared" si="369"/>
        <v>14.048999999968112</v>
      </c>
      <c r="I852" s="311">
        <f t="shared" si="369"/>
        <v>14.000000000324979</v>
      </c>
      <c r="J852" s="311">
        <f t="shared" si="369"/>
        <v>181.66800000108745</v>
      </c>
      <c r="K852" s="311"/>
      <c r="L852" s="311">
        <f t="shared" ref="L852:O852" si="370">SUM(L842:L850)</f>
        <v>157.11600000213539</v>
      </c>
      <c r="M852" s="311">
        <f t="shared" si="370"/>
        <v>14.427999999916976</v>
      </c>
      <c r="N852" s="311">
        <f t="shared" si="370"/>
        <v>16.497000000723496</v>
      </c>
      <c r="O852" s="311">
        <f t="shared" si="370"/>
        <v>188.04100000277589</v>
      </c>
    </row>
    <row r="853" spans="1:15" s="236" customFormat="1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40"/>
    </row>
    <row r="854" spans="1:15" s="236" customFormat="1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40"/>
      <c r="O854" s="251" t="s">
        <v>35</v>
      </c>
    </row>
    <row r="855" spans="1:15" s="236" customFormat="1" x14ac:dyDescent="0.2">
      <c r="A855" s="242"/>
      <c r="B855" s="242"/>
      <c r="C855" s="242"/>
      <c r="D855" s="242"/>
      <c r="E855" s="242"/>
      <c r="F855" s="242"/>
      <c r="G855" s="242"/>
      <c r="H855" s="242"/>
      <c r="I855" s="242"/>
      <c r="J855" s="242"/>
      <c r="K855" s="242"/>
      <c r="L855" s="242"/>
      <c r="M855" s="242"/>
      <c r="N855" s="242"/>
      <c r="O855" s="242"/>
    </row>
    <row r="856" spans="1:15" s="236" customFormat="1" x14ac:dyDescent="0.2">
      <c r="A856" s="241" t="str">
        <f>name!A53</f>
        <v>Real estate</v>
      </c>
      <c r="B856" s="374">
        <f>$B$6</f>
        <v>2015</v>
      </c>
      <c r="C856" s="374"/>
      <c r="D856" s="374"/>
      <c r="E856" s="374"/>
      <c r="F856" s="263"/>
      <c r="G856" s="374">
        <f>$G$6</f>
        <v>2020</v>
      </c>
      <c r="H856" s="374"/>
      <c r="I856" s="374"/>
      <c r="J856" s="374"/>
      <c r="K856" s="263"/>
      <c r="L856" s="374">
        <f>$L$6</f>
        <v>2035</v>
      </c>
      <c r="M856" s="374"/>
      <c r="N856" s="374"/>
      <c r="O856" s="374"/>
    </row>
    <row r="857" spans="1:15" s="236" customFormat="1" x14ac:dyDescent="0.2">
      <c r="A857" s="254"/>
      <c r="B857" s="268" t="str">
        <f>$B$7</f>
        <v>FT</v>
      </c>
      <c r="C857" s="268" t="str">
        <f>$C$7</f>
        <v>PT</v>
      </c>
      <c r="D857" s="268" t="str">
        <f>$D$7</f>
        <v>SE</v>
      </c>
      <c r="E857" s="268" t="str">
        <f>$E$7</f>
        <v>Total</v>
      </c>
      <c r="F857" s="268"/>
      <c r="G857" s="268" t="str">
        <f>$G$7</f>
        <v>FT</v>
      </c>
      <c r="H857" s="268" t="str">
        <f>$H$7</f>
        <v>PT</v>
      </c>
      <c r="I857" s="268" t="str">
        <f>$I$7</f>
        <v>SE</v>
      </c>
      <c r="J857" s="268" t="str">
        <f>$J$7</f>
        <v>Total</v>
      </c>
      <c r="K857" s="268"/>
      <c r="L857" s="268" t="str">
        <f>$L$7</f>
        <v>FT</v>
      </c>
      <c r="M857" s="268" t="str">
        <f>$M$7</f>
        <v>PT</v>
      </c>
      <c r="N857" s="268" t="str">
        <f>$N$7</f>
        <v>SE</v>
      </c>
      <c r="O857" s="268" t="str">
        <f>$O$7</f>
        <v>Total</v>
      </c>
    </row>
    <row r="858" spans="1:15" s="236" customFormat="1" x14ac:dyDescent="0.2">
      <c r="A858" s="258"/>
      <c r="B858" s="239"/>
      <c r="C858" s="239"/>
      <c r="D858" s="239"/>
      <c r="E858" s="239"/>
      <c r="F858" s="239"/>
      <c r="G858" s="239"/>
      <c r="H858" s="239"/>
      <c r="I858" s="239"/>
      <c r="J858" s="239"/>
      <c r="K858" s="239"/>
      <c r="L858" s="239"/>
      <c r="M858" s="239"/>
      <c r="N858" s="239"/>
      <c r="O858" s="239"/>
    </row>
    <row r="859" spans="1:15" s="236" customFormat="1" x14ac:dyDescent="0.2">
      <c r="A859" s="237" t="str">
        <f>name!E$4</f>
        <v>Managers, directors and senior officials</v>
      </c>
      <c r="B859" s="302">
        <v>22.461200242326807</v>
      </c>
      <c r="C859" s="302">
        <v>3.7233627229884685</v>
      </c>
      <c r="D859" s="302">
        <v>4.3466763744000989</v>
      </c>
      <c r="E859" s="302">
        <f>SUM(B859:D859)</f>
        <v>30.531239339715377</v>
      </c>
      <c r="F859" s="303"/>
      <c r="G859" s="302">
        <v>28.427211954276771</v>
      </c>
      <c r="H859" s="302">
        <v>5.9994673986880294</v>
      </c>
      <c r="I859" s="302">
        <v>3.4996492531149181</v>
      </c>
      <c r="J859" s="302">
        <f>SUM(G859:I859)</f>
        <v>37.926328606079714</v>
      </c>
      <c r="K859" s="303"/>
      <c r="L859" s="302">
        <v>30.410818124275004</v>
      </c>
      <c r="M859" s="302">
        <v>6.2853481534920119</v>
      </c>
      <c r="N859" s="302">
        <v>4.0224258095849361</v>
      </c>
      <c r="O859" s="302">
        <f>SUM(L859:N859)</f>
        <v>40.718592087351951</v>
      </c>
    </row>
    <row r="860" spans="1:15" s="236" customFormat="1" x14ac:dyDescent="0.2">
      <c r="A860" s="237" t="str">
        <f>name!E$5</f>
        <v>Professional occupations</v>
      </c>
      <c r="B860" s="302">
        <v>27.347542979760803</v>
      </c>
      <c r="C860" s="302">
        <v>4.3357223214657212</v>
      </c>
      <c r="D860" s="302">
        <v>1.8312011975024634</v>
      </c>
      <c r="E860" s="302">
        <f t="shared" ref="E860:E867" si="371">SUM(B860:D860)</f>
        <v>33.514466498728986</v>
      </c>
      <c r="F860" s="303"/>
      <c r="G860" s="302">
        <v>38.461008436729728</v>
      </c>
      <c r="H860" s="302">
        <v>6.4865906204081423</v>
      </c>
      <c r="I860" s="302">
        <v>1.4362838839481096</v>
      </c>
      <c r="J860" s="302">
        <f t="shared" ref="J860:J862" si="372">SUM(G860:I860)</f>
        <v>46.383882941085979</v>
      </c>
      <c r="K860" s="303"/>
      <c r="L860" s="302">
        <v>42.183871245545014</v>
      </c>
      <c r="M860" s="302">
        <v>6.6016212688979703</v>
      </c>
      <c r="N860" s="302">
        <v>1.0539794807710097</v>
      </c>
      <c r="O860" s="302">
        <f t="shared" ref="O860:O867" si="373">SUM(L860:N860)</f>
        <v>49.839471995213998</v>
      </c>
    </row>
    <row r="861" spans="1:15" s="236" customFormat="1" x14ac:dyDescent="0.2">
      <c r="A861" s="237" t="str">
        <f>name!E$6</f>
        <v>Associate professional occupations</v>
      </c>
      <c r="B861" s="302">
        <v>22.407274255947591</v>
      </c>
      <c r="C861" s="302">
        <v>4.5858434121282361</v>
      </c>
      <c r="D861" s="302">
        <v>1.4035980120611939</v>
      </c>
      <c r="E861" s="302">
        <f t="shared" si="371"/>
        <v>28.396715680137021</v>
      </c>
      <c r="F861" s="303"/>
      <c r="G861" s="302">
        <v>28.338874247358174</v>
      </c>
      <c r="H861" s="302">
        <v>6.0372769911976558</v>
      </c>
      <c r="I861" s="302">
        <v>0.93986544717095521</v>
      </c>
      <c r="J861" s="302">
        <f t="shared" si="372"/>
        <v>35.31601668572678</v>
      </c>
      <c r="K861" s="303"/>
      <c r="L861" s="302">
        <v>27.106266408423572</v>
      </c>
      <c r="M861" s="302">
        <v>5.1683073785048563</v>
      </c>
      <c r="N861" s="302">
        <v>0.7346884961665413</v>
      </c>
      <c r="O861" s="302">
        <f t="shared" si="373"/>
        <v>33.009262283094969</v>
      </c>
    </row>
    <row r="862" spans="1:15" s="236" customFormat="1" x14ac:dyDescent="0.2">
      <c r="A862" s="237" t="str">
        <f>name!E$7</f>
        <v>Administrative and secretarial occupations</v>
      </c>
      <c r="B862" s="302">
        <v>9.1348876855435446</v>
      </c>
      <c r="C862" s="302">
        <v>8.144433250933135</v>
      </c>
      <c r="D862" s="302">
        <v>0.57943653385504934</v>
      </c>
      <c r="E862" s="302">
        <f t="shared" si="371"/>
        <v>17.858757470331728</v>
      </c>
      <c r="F862" s="303"/>
      <c r="G862" s="302">
        <v>9.3457021844371369</v>
      </c>
      <c r="H862" s="302">
        <v>7.6121957161256812</v>
      </c>
      <c r="I862" s="302">
        <v>0.39216256904520186</v>
      </c>
      <c r="J862" s="302">
        <f t="shared" si="372"/>
        <v>17.350060469608021</v>
      </c>
      <c r="K862" s="303"/>
      <c r="L862" s="302">
        <v>7.5522855214077254</v>
      </c>
      <c r="M862" s="302">
        <v>5.9827390202576174</v>
      </c>
      <c r="N862" s="302">
        <v>0.24480354105502347</v>
      </c>
      <c r="O862" s="302">
        <f t="shared" si="373"/>
        <v>13.779828082720368</v>
      </c>
    </row>
    <row r="863" spans="1:15" s="236" customFormat="1" x14ac:dyDescent="0.2">
      <c r="A863" s="237" t="str">
        <f>name!E$8</f>
        <v>Skilled trades occupations</v>
      </c>
      <c r="B863" s="302">
        <v>4.8439160302784341</v>
      </c>
      <c r="C863" s="302">
        <v>0.7145907566463725</v>
      </c>
      <c r="D863" s="302">
        <v>2.0361630836397042</v>
      </c>
      <c r="E863" s="302">
        <f t="shared" si="371"/>
        <v>7.5946698705645108</v>
      </c>
      <c r="F863" s="303"/>
      <c r="G863" s="302">
        <v>4.9341588560732941</v>
      </c>
      <c r="H863" s="302">
        <v>0.82526435779657192</v>
      </c>
      <c r="I863" s="302">
        <v>1.2843491117409631</v>
      </c>
      <c r="J863" s="302">
        <f>SUM(G863:I863)</f>
        <v>7.0437723256108287</v>
      </c>
      <c r="K863" s="303"/>
      <c r="L863" s="302">
        <v>5.795396111542388</v>
      </c>
      <c r="M863" s="302">
        <v>1.1928819700136786</v>
      </c>
      <c r="N863" s="302">
        <v>1.5896333999705989</v>
      </c>
      <c r="O863" s="302">
        <f t="shared" si="373"/>
        <v>8.5779114815266659</v>
      </c>
    </row>
    <row r="864" spans="1:15" s="236" customFormat="1" x14ac:dyDescent="0.2">
      <c r="A864" s="237" t="str">
        <f>name!E$9</f>
        <v>Caring, leisure and other service occupations</v>
      </c>
      <c r="B864" s="302">
        <v>1.6827537688907457</v>
      </c>
      <c r="C864" s="302">
        <v>0.88946266589093093</v>
      </c>
      <c r="D864" s="302">
        <v>0.52297113927792982</v>
      </c>
      <c r="E864" s="302">
        <f t="shared" si="371"/>
        <v>3.0951875740596062</v>
      </c>
      <c r="F864" s="303"/>
      <c r="G864" s="302">
        <v>1.7161549196454806</v>
      </c>
      <c r="H864" s="302">
        <v>0.94485427336387839</v>
      </c>
      <c r="I864" s="302">
        <v>0.36179736564467868</v>
      </c>
      <c r="J864" s="302">
        <f t="shared" ref="J864:J867" si="374">SUM(G864:I864)</f>
        <v>3.0228065586540378</v>
      </c>
      <c r="K864" s="303"/>
      <c r="L864" s="302">
        <v>1.5888270623161411</v>
      </c>
      <c r="M864" s="302">
        <v>0.77112960847682444</v>
      </c>
      <c r="N864" s="302">
        <v>0.62224817324299997</v>
      </c>
      <c r="O864" s="302">
        <f t="shared" si="373"/>
        <v>2.9822048440359654</v>
      </c>
    </row>
    <row r="865" spans="1:15" s="236" customFormat="1" x14ac:dyDescent="0.2">
      <c r="A865" s="237" t="str">
        <f>name!E$10</f>
        <v>Sales and customer service occupations</v>
      </c>
      <c r="B865" s="302">
        <v>7.311497635868724</v>
      </c>
      <c r="C865" s="302">
        <v>2.5909903073923206</v>
      </c>
      <c r="D865" s="302">
        <v>1.0050369532151853</v>
      </c>
      <c r="E865" s="302">
        <f t="shared" si="371"/>
        <v>10.907524896476231</v>
      </c>
      <c r="F865" s="303"/>
      <c r="G865" s="302">
        <v>6.9946406266584669</v>
      </c>
      <c r="H865" s="302">
        <v>2.5402614271732871</v>
      </c>
      <c r="I865" s="302">
        <v>0.6008397708642208</v>
      </c>
      <c r="J865" s="302">
        <f t="shared" si="374"/>
        <v>10.135741824695975</v>
      </c>
      <c r="K865" s="303"/>
      <c r="L865" s="302">
        <v>6.2438079362624084</v>
      </c>
      <c r="M865" s="302">
        <v>2.1653282888999819</v>
      </c>
      <c r="N865" s="302">
        <v>0.49660293093731717</v>
      </c>
      <c r="O865" s="302">
        <f t="shared" si="373"/>
        <v>8.9057391560997079</v>
      </c>
    </row>
    <row r="866" spans="1:15" s="236" customFormat="1" x14ac:dyDescent="0.2">
      <c r="A866" s="237" t="str">
        <f>name!E$11</f>
        <v>Process, plant and machine operatives</v>
      </c>
      <c r="B866" s="302">
        <v>0.66676980700930744</v>
      </c>
      <c r="C866" s="302">
        <v>0.15196049283700744</v>
      </c>
      <c r="D866" s="302">
        <v>7.0234397167879867E-2</v>
      </c>
      <c r="E866" s="302">
        <f t="shared" si="371"/>
        <v>0.88896469701419467</v>
      </c>
      <c r="F866" s="303"/>
      <c r="G866" s="302">
        <v>0.6425474223257176</v>
      </c>
      <c r="H866" s="302">
        <v>0.17090425456498423</v>
      </c>
      <c r="I866" s="302">
        <v>6.2982070224471262E-2</v>
      </c>
      <c r="J866" s="302">
        <f t="shared" si="374"/>
        <v>0.87643374711517308</v>
      </c>
      <c r="K866" s="303"/>
      <c r="L866" s="302">
        <v>0.64365925496891274</v>
      </c>
      <c r="M866" s="302">
        <v>0.15173495027419029</v>
      </c>
      <c r="N866" s="302">
        <v>9.1267762351870937E-2</v>
      </c>
      <c r="O866" s="302">
        <f t="shared" si="373"/>
        <v>0.88666196759497395</v>
      </c>
    </row>
    <row r="867" spans="1:15" s="236" customFormat="1" x14ac:dyDescent="0.2">
      <c r="A867" s="237" t="str">
        <f>name!E$12</f>
        <v>Elementary occupations</v>
      </c>
      <c r="B867" s="302">
        <v>1.1911575932894425</v>
      </c>
      <c r="C867" s="302">
        <v>1.2566340698320837</v>
      </c>
      <c r="D867" s="302">
        <v>1.1616823090898654</v>
      </c>
      <c r="E867" s="302">
        <f t="shared" si="371"/>
        <v>3.6094739722113918</v>
      </c>
      <c r="F867" s="303"/>
      <c r="G867" s="302">
        <v>1.1387013526084613</v>
      </c>
      <c r="H867" s="302">
        <v>0.97218496059820747</v>
      </c>
      <c r="I867" s="302">
        <v>0.61107052820857166</v>
      </c>
      <c r="J867" s="302">
        <f t="shared" si="374"/>
        <v>2.7219568414152406</v>
      </c>
      <c r="K867" s="303"/>
      <c r="L867" s="302">
        <v>1.0760683360293568</v>
      </c>
      <c r="M867" s="302">
        <v>8.7909361104803088E-2</v>
      </c>
      <c r="N867" s="302">
        <v>0.95635040595028986</v>
      </c>
      <c r="O867" s="302">
        <f t="shared" si="373"/>
        <v>2.1203281030844501</v>
      </c>
    </row>
    <row r="868" spans="1:15" s="236" customFormat="1" x14ac:dyDescent="0.2">
      <c r="A868" s="237"/>
      <c r="B868" s="302"/>
      <c r="C868" s="302"/>
      <c r="D868" s="302"/>
      <c r="E868" s="302"/>
      <c r="F868" s="303"/>
      <c r="G868" s="302"/>
      <c r="H868" s="302"/>
      <c r="I868" s="302"/>
      <c r="J868" s="302"/>
      <c r="K868" s="303"/>
      <c r="L868" s="302"/>
      <c r="M868" s="302"/>
      <c r="N868" s="302"/>
      <c r="O868" s="302"/>
    </row>
    <row r="869" spans="1:15" s="236" customFormat="1" x14ac:dyDescent="0.2">
      <c r="A869" s="244" t="s">
        <v>32</v>
      </c>
      <c r="B869" s="311">
        <f>SUM(B859:B867)</f>
        <v>97.04699999891541</v>
      </c>
      <c r="C869" s="311">
        <f t="shared" ref="C869:E869" si="375">SUM(C859:C867)</f>
        <v>26.393000000114277</v>
      </c>
      <c r="D869" s="311">
        <f t="shared" si="375"/>
        <v>12.957000000209371</v>
      </c>
      <c r="E869" s="311">
        <f t="shared" si="375"/>
        <v>136.39699999923903</v>
      </c>
      <c r="F869" s="311"/>
      <c r="G869" s="311">
        <f t="shared" ref="G869:J869" si="376">SUM(G859:G867)</f>
        <v>119.99900000011324</v>
      </c>
      <c r="H869" s="311">
        <f t="shared" si="376"/>
        <v>31.588999999916439</v>
      </c>
      <c r="I869" s="311">
        <f t="shared" si="376"/>
        <v>9.1889999999620908</v>
      </c>
      <c r="J869" s="311">
        <f t="shared" si="376"/>
        <v>160.77699999999174</v>
      </c>
      <c r="K869" s="311"/>
      <c r="L869" s="311">
        <f t="shared" ref="L869:O869" si="377">SUM(L859:L867)</f>
        <v>122.60100000077051</v>
      </c>
      <c r="M869" s="311">
        <f t="shared" si="377"/>
        <v>28.406999999921933</v>
      </c>
      <c r="N869" s="311">
        <f t="shared" si="377"/>
        <v>9.8120000000305865</v>
      </c>
      <c r="O869" s="311">
        <f t="shared" si="377"/>
        <v>160.82000000072304</v>
      </c>
    </row>
    <row r="870" spans="1:15" s="236" customFormat="1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40"/>
    </row>
    <row r="871" spans="1:15" s="236" customFormat="1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40"/>
      <c r="O871" s="251" t="s">
        <v>35</v>
      </c>
    </row>
    <row r="872" spans="1:15" s="236" customFormat="1" x14ac:dyDescent="0.2">
      <c r="A872" s="242"/>
      <c r="B872" s="242"/>
      <c r="C872" s="242"/>
      <c r="D872" s="242"/>
      <c r="E872" s="242"/>
      <c r="F872" s="242"/>
      <c r="G872" s="242"/>
      <c r="H872" s="242"/>
      <c r="I872" s="242"/>
      <c r="J872" s="242"/>
      <c r="K872" s="242"/>
      <c r="L872" s="242"/>
      <c r="M872" s="242"/>
      <c r="N872" s="242"/>
      <c r="O872" s="242"/>
    </row>
    <row r="873" spans="1:15" s="236" customFormat="1" x14ac:dyDescent="0.2">
      <c r="A873" s="241" t="str">
        <f>name!A54</f>
        <v>Legal and accounting</v>
      </c>
      <c r="B873" s="374">
        <f>$B$6</f>
        <v>2015</v>
      </c>
      <c r="C873" s="374"/>
      <c r="D873" s="374"/>
      <c r="E873" s="374"/>
      <c r="F873" s="263"/>
      <c r="G873" s="374">
        <f>$G$6</f>
        <v>2020</v>
      </c>
      <c r="H873" s="374"/>
      <c r="I873" s="374"/>
      <c r="J873" s="374"/>
      <c r="K873" s="263"/>
      <c r="L873" s="374">
        <f>$L$6</f>
        <v>2035</v>
      </c>
      <c r="M873" s="374"/>
      <c r="N873" s="374"/>
      <c r="O873" s="374"/>
    </row>
    <row r="874" spans="1:15" s="236" customFormat="1" x14ac:dyDescent="0.2">
      <c r="A874" s="254"/>
      <c r="B874" s="268" t="str">
        <f>$B$7</f>
        <v>FT</v>
      </c>
      <c r="C874" s="268" t="str">
        <f>$C$7</f>
        <v>PT</v>
      </c>
      <c r="D874" s="268" t="str">
        <f>$D$7</f>
        <v>SE</v>
      </c>
      <c r="E874" s="268" t="str">
        <f>$E$7</f>
        <v>Total</v>
      </c>
      <c r="F874" s="268"/>
      <c r="G874" s="268" t="str">
        <f>$G$7</f>
        <v>FT</v>
      </c>
      <c r="H874" s="268" t="str">
        <f>$H$7</f>
        <v>PT</v>
      </c>
      <c r="I874" s="268" t="str">
        <f>$I$7</f>
        <v>SE</v>
      </c>
      <c r="J874" s="268" t="str">
        <f>$J$7</f>
        <v>Total</v>
      </c>
      <c r="K874" s="268"/>
      <c r="L874" s="268" t="str">
        <f>$L$7</f>
        <v>FT</v>
      </c>
      <c r="M874" s="268" t="str">
        <f>$M$7</f>
        <v>PT</v>
      </c>
      <c r="N874" s="268" t="str">
        <f>$N$7</f>
        <v>SE</v>
      </c>
      <c r="O874" s="268" t="str">
        <f>$O$7</f>
        <v>Total</v>
      </c>
    </row>
    <row r="875" spans="1:15" s="236" customFormat="1" x14ac:dyDescent="0.2">
      <c r="A875" s="258"/>
      <c r="B875" s="239"/>
      <c r="C875" s="239"/>
      <c r="D875" s="239"/>
      <c r="E875" s="239"/>
      <c r="F875" s="239"/>
      <c r="G875" s="239"/>
      <c r="H875" s="239"/>
      <c r="I875" s="239"/>
      <c r="J875" s="239"/>
      <c r="K875" s="239"/>
      <c r="L875" s="239"/>
      <c r="M875" s="239"/>
      <c r="N875" s="239"/>
      <c r="O875" s="239"/>
    </row>
    <row r="876" spans="1:15" s="236" customFormat="1" x14ac:dyDescent="0.2">
      <c r="A876" s="237" t="str">
        <f>name!E$4</f>
        <v>Managers, directors and senior officials</v>
      </c>
      <c r="B876" s="302">
        <v>21.715612172958785</v>
      </c>
      <c r="C876" s="302">
        <v>3.0726563493133425</v>
      </c>
      <c r="D876" s="302">
        <v>3.4397693269449992</v>
      </c>
      <c r="E876" s="302">
        <f>SUM(B876:D876)</f>
        <v>28.228037849217124</v>
      </c>
      <c r="F876" s="303"/>
      <c r="G876" s="302">
        <v>21.700123537000486</v>
      </c>
      <c r="H876" s="302">
        <v>5.3647115741785836</v>
      </c>
      <c r="I876" s="302">
        <v>4.5608170560466625</v>
      </c>
      <c r="J876" s="302">
        <f>SUM(G876:I876)</f>
        <v>31.625652167225734</v>
      </c>
      <c r="K876" s="303"/>
      <c r="L876" s="302">
        <v>23.835378411848026</v>
      </c>
      <c r="M876" s="302">
        <v>6.9247208585370812</v>
      </c>
      <c r="N876" s="302">
        <v>5.4164145254451705</v>
      </c>
      <c r="O876" s="302">
        <f>SUM(L876:N876)</f>
        <v>36.176513795830282</v>
      </c>
    </row>
    <row r="877" spans="1:15" s="236" customFormat="1" x14ac:dyDescent="0.2">
      <c r="A877" s="237" t="str">
        <f>name!E$5</f>
        <v>Professional occupations</v>
      </c>
      <c r="B877" s="302">
        <v>68.176933454041887</v>
      </c>
      <c r="C877" s="302">
        <v>7.2493808773708226</v>
      </c>
      <c r="D877" s="302">
        <v>16.222254026790925</v>
      </c>
      <c r="E877" s="302">
        <f t="shared" ref="E877:E884" si="378">SUM(B877:D877)</f>
        <v>91.648568358203633</v>
      </c>
      <c r="F877" s="303"/>
      <c r="G877" s="302">
        <v>81.388755430566491</v>
      </c>
      <c r="H877" s="302">
        <v>12.219486095976325</v>
      </c>
      <c r="I877" s="302">
        <v>17.270328464600571</v>
      </c>
      <c r="J877" s="302">
        <f t="shared" ref="J877:J879" si="379">SUM(G877:I877)</f>
        <v>110.87856999114338</v>
      </c>
      <c r="K877" s="303"/>
      <c r="L877" s="302">
        <v>101.15431452942991</v>
      </c>
      <c r="M877" s="302">
        <v>15.808545119354468</v>
      </c>
      <c r="N877" s="302">
        <v>17.838287359359288</v>
      </c>
      <c r="O877" s="302">
        <f t="shared" ref="O877:O884" si="380">SUM(L877:N877)</f>
        <v>134.80114700814366</v>
      </c>
    </row>
    <row r="878" spans="1:15" s="236" customFormat="1" x14ac:dyDescent="0.2">
      <c r="A878" s="237" t="str">
        <f>name!E$6</f>
        <v>Associate professional occupations</v>
      </c>
      <c r="B878" s="302">
        <v>34.373428513793854</v>
      </c>
      <c r="C878" s="302">
        <v>4.8019767080275191</v>
      </c>
      <c r="D878" s="302">
        <v>6.7927591414486947</v>
      </c>
      <c r="E878" s="302">
        <f t="shared" si="378"/>
        <v>45.968164363270063</v>
      </c>
      <c r="F878" s="303"/>
      <c r="G878" s="302">
        <v>35.730419216273212</v>
      </c>
      <c r="H878" s="302">
        <v>6.6219490033121611</v>
      </c>
      <c r="I878" s="302">
        <v>7.0269545088603937</v>
      </c>
      <c r="J878" s="302">
        <f t="shared" si="379"/>
        <v>49.379322728445764</v>
      </c>
      <c r="K878" s="303"/>
      <c r="L878" s="302">
        <v>37.479668671650437</v>
      </c>
      <c r="M878" s="302">
        <v>7.5933860374050965</v>
      </c>
      <c r="N878" s="302">
        <v>7.8386278377150544</v>
      </c>
      <c r="O878" s="302">
        <f t="shared" si="380"/>
        <v>52.911682546770585</v>
      </c>
    </row>
    <row r="879" spans="1:15" s="236" customFormat="1" x14ac:dyDescent="0.2">
      <c r="A879" s="237" t="str">
        <f>name!E$7</f>
        <v>Administrative and secretarial occupations</v>
      </c>
      <c r="B879" s="302">
        <v>16.79251514121189</v>
      </c>
      <c r="C879" s="302">
        <v>8.0333919796172637</v>
      </c>
      <c r="D879" s="302">
        <v>2.2694709762281349</v>
      </c>
      <c r="E879" s="302">
        <f t="shared" si="378"/>
        <v>27.095378097057289</v>
      </c>
      <c r="F879" s="303"/>
      <c r="G879" s="302">
        <v>14.796749410043136</v>
      </c>
      <c r="H879" s="302">
        <v>9.7153980259942578</v>
      </c>
      <c r="I879" s="302">
        <v>2.1350100565753753</v>
      </c>
      <c r="J879" s="302">
        <f t="shared" si="379"/>
        <v>26.64715749261277</v>
      </c>
      <c r="K879" s="303"/>
      <c r="L879" s="302">
        <v>10.111505378769918</v>
      </c>
      <c r="M879" s="302">
        <v>8.8889260321566947</v>
      </c>
      <c r="N879" s="302">
        <v>2.1706181898970263</v>
      </c>
      <c r="O879" s="302">
        <f t="shared" si="380"/>
        <v>21.17104960082364</v>
      </c>
    </row>
    <row r="880" spans="1:15" s="236" customFormat="1" x14ac:dyDescent="0.2">
      <c r="A880" s="237" t="str">
        <f>name!E$8</f>
        <v>Skilled trades occupations</v>
      </c>
      <c r="B880" s="302">
        <v>2.9676189337507486</v>
      </c>
      <c r="C880" s="302">
        <v>0.47084638920443372</v>
      </c>
      <c r="D880" s="302">
        <v>0.43200186739928342</v>
      </c>
      <c r="E880" s="302">
        <f t="shared" si="378"/>
        <v>3.8704671903544661</v>
      </c>
      <c r="F880" s="303"/>
      <c r="G880" s="302">
        <v>2.2059456315911148</v>
      </c>
      <c r="H880" s="302">
        <v>0.31686571458028523</v>
      </c>
      <c r="I880" s="302">
        <v>0.42624649692363842</v>
      </c>
      <c r="J880" s="302">
        <f>SUM(G880:I880)</f>
        <v>2.9490578430950385</v>
      </c>
      <c r="K880" s="303"/>
      <c r="L880" s="302">
        <v>2.3770633729053663</v>
      </c>
      <c r="M880" s="302">
        <v>0.51251004680952061</v>
      </c>
      <c r="N880" s="302">
        <v>0.60177224907637672</v>
      </c>
      <c r="O880" s="302">
        <f t="shared" si="380"/>
        <v>3.4913456687912636</v>
      </c>
    </row>
    <row r="881" spans="1:15" s="236" customFormat="1" x14ac:dyDescent="0.2">
      <c r="A881" s="237" t="str">
        <f>name!E$9</f>
        <v>Caring, leisure and other service occupations</v>
      </c>
      <c r="B881" s="302">
        <v>0.4259523115816789</v>
      </c>
      <c r="C881" s="302">
        <v>0.10556598288548062</v>
      </c>
      <c r="D881" s="302">
        <v>0.21368679809299099</v>
      </c>
      <c r="E881" s="302">
        <f t="shared" si="378"/>
        <v>0.74520509256015044</v>
      </c>
      <c r="F881" s="303"/>
      <c r="G881" s="302">
        <v>0.36215040466540599</v>
      </c>
      <c r="H881" s="302">
        <v>0.11554889750199779</v>
      </c>
      <c r="I881" s="302">
        <v>0.24272329173676371</v>
      </c>
      <c r="J881" s="302">
        <f t="shared" ref="J881:J884" si="381">SUM(G881:I881)</f>
        <v>0.72042259390416752</v>
      </c>
      <c r="K881" s="303"/>
      <c r="L881" s="302">
        <v>0.40918348664714649</v>
      </c>
      <c r="M881" s="302">
        <v>0.11940486871508049</v>
      </c>
      <c r="N881" s="302">
        <v>0.43758759171128581</v>
      </c>
      <c r="O881" s="302">
        <f t="shared" si="380"/>
        <v>0.96617594707351284</v>
      </c>
    </row>
    <row r="882" spans="1:15" s="236" customFormat="1" x14ac:dyDescent="0.2">
      <c r="A882" s="237" t="str">
        <f>name!E$10</f>
        <v>Sales and customer service occupations</v>
      </c>
      <c r="B882" s="302">
        <v>3.8663628602563884</v>
      </c>
      <c r="C882" s="302">
        <v>1.2086121597110346</v>
      </c>
      <c r="D882" s="302">
        <v>0.57338266548238681</v>
      </c>
      <c r="E882" s="302">
        <f t="shared" si="378"/>
        <v>5.6483576854498105</v>
      </c>
      <c r="F882" s="303"/>
      <c r="G882" s="302">
        <v>3.3065985444789368</v>
      </c>
      <c r="H882" s="302">
        <v>1.4445642853484146</v>
      </c>
      <c r="I882" s="302">
        <v>0.46194208583968444</v>
      </c>
      <c r="J882" s="302">
        <f t="shared" si="381"/>
        <v>5.2131049156670359</v>
      </c>
      <c r="K882" s="303"/>
      <c r="L882" s="302">
        <v>3.3803884386760283</v>
      </c>
      <c r="M882" s="302">
        <v>1.7082523935749729</v>
      </c>
      <c r="N882" s="302">
        <v>0.46857139354491723</v>
      </c>
      <c r="O882" s="302">
        <f t="shared" si="380"/>
        <v>5.5572122257959187</v>
      </c>
    </row>
    <row r="883" spans="1:15" s="236" customFormat="1" x14ac:dyDescent="0.2">
      <c r="A883" s="237" t="str">
        <f>name!E$11</f>
        <v>Process, plant and machine operatives</v>
      </c>
      <c r="B883" s="302">
        <v>0.62293486548452881</v>
      </c>
      <c r="C883" s="302">
        <v>0.28776146249335788</v>
      </c>
      <c r="D883" s="302">
        <v>0.20225871283669114</v>
      </c>
      <c r="E883" s="302">
        <f t="shared" si="378"/>
        <v>1.1129550408145779</v>
      </c>
      <c r="F883" s="303"/>
      <c r="G883" s="302">
        <v>0.4252624691368902</v>
      </c>
      <c r="H883" s="302">
        <v>0.28240011860352165</v>
      </c>
      <c r="I883" s="302">
        <v>0.23232741662273637</v>
      </c>
      <c r="J883" s="302">
        <f t="shared" si="381"/>
        <v>0.93999000436314828</v>
      </c>
      <c r="K883" s="303"/>
      <c r="L883" s="302">
        <v>0.47368276750752247</v>
      </c>
      <c r="M883" s="302">
        <v>0.42669123068413456</v>
      </c>
      <c r="N883" s="302">
        <v>0.44126723610315211</v>
      </c>
      <c r="O883" s="302">
        <f t="shared" si="380"/>
        <v>1.341641234294809</v>
      </c>
    </row>
    <row r="884" spans="1:15" s="236" customFormat="1" x14ac:dyDescent="0.2">
      <c r="A884" s="237" t="str">
        <f>name!E$12</f>
        <v>Elementary occupations</v>
      </c>
      <c r="B884" s="302">
        <v>0.82464174293546455</v>
      </c>
      <c r="C884" s="302">
        <v>0.84680809110364175</v>
      </c>
      <c r="D884" s="302">
        <v>0.60941648482125244</v>
      </c>
      <c r="E884" s="302">
        <f t="shared" si="378"/>
        <v>2.2808663188603586</v>
      </c>
      <c r="F884" s="303"/>
      <c r="G884" s="302">
        <v>0.62499535748197177</v>
      </c>
      <c r="H884" s="302">
        <v>0.82207628462726279</v>
      </c>
      <c r="I884" s="302">
        <v>0.36165062374213131</v>
      </c>
      <c r="J884" s="302">
        <f t="shared" si="381"/>
        <v>1.8087222658513658</v>
      </c>
      <c r="K884" s="303"/>
      <c r="L884" s="302">
        <v>0.34081494474925023</v>
      </c>
      <c r="M884" s="302">
        <v>0.79056341292850352</v>
      </c>
      <c r="N884" s="302">
        <v>0.67785361873337968</v>
      </c>
      <c r="O884" s="302">
        <f t="shared" si="380"/>
        <v>1.8092319764111335</v>
      </c>
    </row>
    <row r="885" spans="1:15" s="236" customFormat="1" x14ac:dyDescent="0.2">
      <c r="A885" s="237"/>
      <c r="B885" s="302"/>
      <c r="C885" s="302"/>
      <c r="D885" s="302"/>
      <c r="E885" s="302"/>
      <c r="F885" s="303"/>
      <c r="G885" s="302"/>
      <c r="H885" s="302"/>
      <c r="I885" s="302"/>
      <c r="J885" s="302"/>
      <c r="K885" s="303"/>
      <c r="L885" s="302"/>
      <c r="M885" s="302"/>
      <c r="N885" s="302"/>
      <c r="O885" s="302"/>
    </row>
    <row r="886" spans="1:15" s="236" customFormat="1" x14ac:dyDescent="0.2">
      <c r="A886" s="244" t="s">
        <v>32</v>
      </c>
      <c r="B886" s="311">
        <f>SUM(B876:B884)</f>
        <v>149.76599999601521</v>
      </c>
      <c r="C886" s="311">
        <f t="shared" ref="C886:E886" si="382">SUM(C876:C884)</f>
        <v>26.076999999726894</v>
      </c>
      <c r="D886" s="311">
        <f t="shared" si="382"/>
        <v>30.75500000004536</v>
      </c>
      <c r="E886" s="311">
        <f t="shared" si="382"/>
        <v>206.59799999578746</v>
      </c>
      <c r="F886" s="311"/>
      <c r="G886" s="311">
        <f t="shared" ref="G886:J886" si="383">SUM(G876:G884)</f>
        <v>160.54100000123765</v>
      </c>
      <c r="H886" s="311">
        <f t="shared" si="383"/>
        <v>36.903000000122802</v>
      </c>
      <c r="I886" s="311">
        <f t="shared" si="383"/>
        <v>32.718000000947953</v>
      </c>
      <c r="J886" s="311">
        <f t="shared" si="383"/>
        <v>230.16200000230842</v>
      </c>
      <c r="K886" s="311"/>
      <c r="L886" s="311">
        <f t="shared" ref="L886:O886" si="384">SUM(L876:L884)</f>
        <v>179.56200000218357</v>
      </c>
      <c r="M886" s="311">
        <f t="shared" si="384"/>
        <v>42.77300000016556</v>
      </c>
      <c r="N886" s="311">
        <f t="shared" si="384"/>
        <v>35.891000001585653</v>
      </c>
      <c r="O886" s="311">
        <f t="shared" si="384"/>
        <v>258.22600000393481</v>
      </c>
    </row>
    <row r="887" spans="1:15" s="236" customFormat="1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40"/>
    </row>
    <row r="888" spans="1:15" s="236" customFormat="1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40"/>
      <c r="O888" s="251" t="s">
        <v>35</v>
      </c>
    </row>
    <row r="889" spans="1:15" s="236" customFormat="1" x14ac:dyDescent="0.2">
      <c r="A889" s="242"/>
      <c r="B889" s="242"/>
      <c r="C889" s="242"/>
      <c r="D889" s="242"/>
      <c r="E889" s="242"/>
      <c r="F889" s="242"/>
      <c r="G889" s="242"/>
      <c r="H889" s="242"/>
      <c r="I889" s="242"/>
      <c r="J889" s="242"/>
      <c r="K889" s="242"/>
      <c r="L889" s="242"/>
      <c r="M889" s="242"/>
      <c r="N889" s="242"/>
      <c r="O889" s="242"/>
    </row>
    <row r="890" spans="1:15" s="236" customFormat="1" x14ac:dyDescent="0.2">
      <c r="A890" s="241" t="str">
        <f>name!A55</f>
        <v>Head offices, etc</v>
      </c>
      <c r="B890" s="374">
        <f>$B$6</f>
        <v>2015</v>
      </c>
      <c r="C890" s="374"/>
      <c r="D890" s="374"/>
      <c r="E890" s="374"/>
      <c r="F890" s="263"/>
      <c r="G890" s="374">
        <f>$G$6</f>
        <v>2020</v>
      </c>
      <c r="H890" s="374"/>
      <c r="I890" s="374"/>
      <c r="J890" s="374"/>
      <c r="K890" s="263"/>
      <c r="L890" s="374">
        <f>$L$6</f>
        <v>2035</v>
      </c>
      <c r="M890" s="374"/>
      <c r="N890" s="374"/>
      <c r="O890" s="374"/>
    </row>
    <row r="891" spans="1:15" s="236" customFormat="1" x14ac:dyDescent="0.2">
      <c r="A891" s="254"/>
      <c r="B891" s="268" t="str">
        <f>$B$7</f>
        <v>FT</v>
      </c>
      <c r="C891" s="268" t="str">
        <f>$C$7</f>
        <v>PT</v>
      </c>
      <c r="D891" s="268" t="str">
        <f>$D$7</f>
        <v>SE</v>
      </c>
      <c r="E891" s="268" t="str">
        <f>$E$7</f>
        <v>Total</v>
      </c>
      <c r="F891" s="268"/>
      <c r="G891" s="268" t="str">
        <f>$G$7</f>
        <v>FT</v>
      </c>
      <c r="H891" s="268" t="str">
        <f>$H$7</f>
        <v>PT</v>
      </c>
      <c r="I891" s="268" t="str">
        <f>$I$7</f>
        <v>SE</v>
      </c>
      <c r="J891" s="268" t="str">
        <f>$J$7</f>
        <v>Total</v>
      </c>
      <c r="K891" s="268"/>
      <c r="L891" s="268" t="str">
        <f>$L$7</f>
        <v>FT</v>
      </c>
      <c r="M891" s="268" t="str">
        <f>$M$7</f>
        <v>PT</v>
      </c>
      <c r="N891" s="268" t="str">
        <f>$N$7</f>
        <v>SE</v>
      </c>
      <c r="O891" s="268" t="str">
        <f>$O$7</f>
        <v>Total</v>
      </c>
    </row>
    <row r="892" spans="1:15" s="236" customFormat="1" x14ac:dyDescent="0.2">
      <c r="A892" s="258"/>
      <c r="B892" s="239"/>
      <c r="C892" s="239"/>
      <c r="D892" s="239"/>
      <c r="E892" s="239"/>
      <c r="F892" s="239"/>
      <c r="G892" s="239"/>
      <c r="H892" s="239"/>
      <c r="I892" s="239"/>
      <c r="J892" s="239"/>
      <c r="K892" s="239"/>
      <c r="L892" s="239"/>
      <c r="M892" s="239"/>
      <c r="N892" s="239"/>
      <c r="O892" s="239"/>
    </row>
    <row r="893" spans="1:15" s="236" customFormat="1" x14ac:dyDescent="0.2">
      <c r="A893" s="237" t="str">
        <f>name!E$4</f>
        <v>Managers, directors and senior officials</v>
      </c>
      <c r="B893" s="302">
        <v>29.242558644202514</v>
      </c>
      <c r="C893" s="302">
        <v>6.1189757824236972</v>
      </c>
      <c r="D893" s="302">
        <v>3.0419561289384993</v>
      </c>
      <c r="E893" s="302">
        <f>SUM(B893:D893)</f>
        <v>38.403490555564716</v>
      </c>
      <c r="F893" s="303"/>
      <c r="G893" s="302">
        <v>24.384564439875277</v>
      </c>
      <c r="H893" s="302">
        <v>7.1568282411492419</v>
      </c>
      <c r="I893" s="302">
        <v>3.130737546574021</v>
      </c>
      <c r="J893" s="302">
        <f>SUM(G893:I893)</f>
        <v>34.672130227598537</v>
      </c>
      <c r="K893" s="303"/>
      <c r="L893" s="302">
        <v>25.425228305718132</v>
      </c>
      <c r="M893" s="302">
        <v>9.2950165827625995</v>
      </c>
      <c r="N893" s="302">
        <v>3.5713662364653063</v>
      </c>
      <c r="O893" s="302">
        <f>SUM(L893:N893)</f>
        <v>38.291611124946044</v>
      </c>
    </row>
    <row r="894" spans="1:15" s="236" customFormat="1" x14ac:dyDescent="0.2">
      <c r="A894" s="237" t="str">
        <f>name!E$5</f>
        <v>Professional occupations</v>
      </c>
      <c r="B894" s="302">
        <v>90.239771871424949</v>
      </c>
      <c r="C894" s="302">
        <v>14.201277767084537</v>
      </c>
      <c r="D894" s="302">
        <v>13.773167298450801</v>
      </c>
      <c r="E894" s="302">
        <f t="shared" ref="E894:E901" si="385">SUM(B894:D894)</f>
        <v>118.21421693696028</v>
      </c>
      <c r="F894" s="303"/>
      <c r="G894" s="302">
        <v>88.964660321193875</v>
      </c>
      <c r="H894" s="302">
        <v>16.196683486651942</v>
      </c>
      <c r="I894" s="302">
        <v>11.607258246660356</v>
      </c>
      <c r="J894" s="302">
        <f t="shared" ref="J894:J896" si="386">SUM(G894:I894)</f>
        <v>116.76860205450616</v>
      </c>
      <c r="K894" s="303"/>
      <c r="L894" s="302">
        <v>106.48469964850543</v>
      </c>
      <c r="M894" s="302">
        <v>21.261198124572271</v>
      </c>
      <c r="N894" s="302">
        <v>11.810139386241685</v>
      </c>
      <c r="O894" s="302">
        <f t="shared" ref="O894:O901" si="387">SUM(L894:N894)</f>
        <v>139.55603715931937</v>
      </c>
    </row>
    <row r="895" spans="1:15" s="236" customFormat="1" x14ac:dyDescent="0.2">
      <c r="A895" s="237" t="str">
        <f>name!E$6</f>
        <v>Associate professional occupations</v>
      </c>
      <c r="B895" s="302">
        <v>44.435221367309481</v>
      </c>
      <c r="C895" s="302">
        <v>9.5119428651626503</v>
      </c>
      <c r="D895" s="302">
        <v>6.4245125052955032</v>
      </c>
      <c r="E895" s="302">
        <f t="shared" si="385"/>
        <v>60.371676737767636</v>
      </c>
      <c r="F895" s="303"/>
      <c r="G895" s="302">
        <v>38.279494844066633</v>
      </c>
      <c r="H895" s="302">
        <v>8.9681703283764076</v>
      </c>
      <c r="I895" s="302">
        <v>4.9367671534990007</v>
      </c>
      <c r="J895" s="302">
        <f t="shared" si="386"/>
        <v>52.184432325942041</v>
      </c>
      <c r="K895" s="303"/>
      <c r="L895" s="302">
        <v>38.931419764320033</v>
      </c>
      <c r="M895" s="302">
        <v>10.066958959598439</v>
      </c>
      <c r="N895" s="302">
        <v>5.2996291315604598</v>
      </c>
      <c r="O895" s="302">
        <f t="shared" si="387"/>
        <v>54.298007855478929</v>
      </c>
    </row>
    <row r="896" spans="1:15" s="236" customFormat="1" x14ac:dyDescent="0.2">
      <c r="A896" s="237" t="str">
        <f>name!E$7</f>
        <v>Administrative and secretarial occupations</v>
      </c>
      <c r="B896" s="302">
        <v>18.863410730143638</v>
      </c>
      <c r="C896" s="302">
        <v>14.944023372972046</v>
      </c>
      <c r="D896" s="302">
        <v>2.3886489966240263</v>
      </c>
      <c r="E896" s="302">
        <f t="shared" si="385"/>
        <v>36.19608309973971</v>
      </c>
      <c r="F896" s="303"/>
      <c r="G896" s="302">
        <v>13.645476009186519</v>
      </c>
      <c r="H896" s="302">
        <v>11.754395067701932</v>
      </c>
      <c r="I896" s="302">
        <v>1.6102164073185945</v>
      </c>
      <c r="J896" s="302">
        <f t="shared" si="386"/>
        <v>27.010087484207048</v>
      </c>
      <c r="K896" s="303"/>
      <c r="L896" s="302">
        <v>9.7419663137462322</v>
      </c>
      <c r="M896" s="302">
        <v>10.744706982626365</v>
      </c>
      <c r="N896" s="302">
        <v>1.5005388939455933</v>
      </c>
      <c r="O896" s="302">
        <f t="shared" si="387"/>
        <v>21.987212190318189</v>
      </c>
    </row>
    <row r="897" spans="1:15" s="236" customFormat="1" x14ac:dyDescent="0.2">
      <c r="A897" s="237" t="str">
        <f>name!E$8</f>
        <v>Skilled trades occupations</v>
      </c>
      <c r="B897" s="302">
        <v>4.3381554946412431</v>
      </c>
      <c r="C897" s="302">
        <v>1.0413422794070919</v>
      </c>
      <c r="D897" s="302">
        <v>0.36596294650757527</v>
      </c>
      <c r="E897" s="302">
        <f t="shared" si="385"/>
        <v>5.7454607205559105</v>
      </c>
      <c r="F897" s="303"/>
      <c r="G897" s="302">
        <v>2.6880071645886323</v>
      </c>
      <c r="H897" s="302">
        <v>0.48993453251991603</v>
      </c>
      <c r="I897" s="302">
        <v>0.29031193283629447</v>
      </c>
      <c r="J897" s="302">
        <f>SUM(G897:I897)</f>
        <v>3.4682536299448428</v>
      </c>
      <c r="K897" s="303"/>
      <c r="L897" s="302">
        <v>2.5464073643289793</v>
      </c>
      <c r="M897" s="302">
        <v>0.73677458304763921</v>
      </c>
      <c r="N897" s="302">
        <v>0.40037150688975848</v>
      </c>
      <c r="O897" s="302">
        <f t="shared" si="387"/>
        <v>3.6835534542663768</v>
      </c>
    </row>
    <row r="898" spans="1:15" s="236" customFormat="1" x14ac:dyDescent="0.2">
      <c r="A898" s="237" t="str">
        <f>name!E$9</f>
        <v>Caring, leisure and other service occupations</v>
      </c>
      <c r="B898" s="302">
        <v>0.52393331900817031</v>
      </c>
      <c r="C898" s="302">
        <v>0.20997527621798498</v>
      </c>
      <c r="D898" s="302">
        <v>0.18656993509764142</v>
      </c>
      <c r="E898" s="302">
        <f t="shared" si="385"/>
        <v>0.92047853032379667</v>
      </c>
      <c r="F898" s="303"/>
      <c r="G898" s="302">
        <v>0.37337738021784134</v>
      </c>
      <c r="H898" s="302">
        <v>0.15807884034994762</v>
      </c>
      <c r="I898" s="302">
        <v>0.16595056335984615</v>
      </c>
      <c r="J898" s="302">
        <f t="shared" ref="J898:J901" si="388">SUM(G898:I898)</f>
        <v>0.69740678392763511</v>
      </c>
      <c r="K898" s="303"/>
      <c r="L898" s="302">
        <v>0.4194191247012975</v>
      </c>
      <c r="M898" s="302">
        <v>0.16550758540425323</v>
      </c>
      <c r="N898" s="302">
        <v>0.28587749400783941</v>
      </c>
      <c r="O898" s="302">
        <f t="shared" si="387"/>
        <v>0.8708042041133901</v>
      </c>
    </row>
    <row r="899" spans="1:15" s="236" customFormat="1" x14ac:dyDescent="0.2">
      <c r="A899" s="237" t="str">
        <f>name!E$10</f>
        <v>Sales and customer service occupations</v>
      </c>
      <c r="B899" s="302">
        <v>4.5953062860957665</v>
      </c>
      <c r="C899" s="302">
        <v>2.3283081738851594</v>
      </c>
      <c r="D899" s="302">
        <v>0.54831577695076417</v>
      </c>
      <c r="E899" s="302">
        <f t="shared" si="385"/>
        <v>7.4719302369316898</v>
      </c>
      <c r="F899" s="303"/>
      <c r="G899" s="302">
        <v>3.2341511804401875</v>
      </c>
      <c r="H899" s="302">
        <v>1.8375167306921054</v>
      </c>
      <c r="I899" s="302">
        <v>0.32452248006508638</v>
      </c>
      <c r="J899" s="302">
        <f t="shared" si="388"/>
        <v>5.3961903911973792</v>
      </c>
      <c r="K899" s="303"/>
      <c r="L899" s="302">
        <v>3.3611698944611814</v>
      </c>
      <c r="M899" s="302">
        <v>2.2018583581611368</v>
      </c>
      <c r="N899" s="302">
        <v>0.31239955640357164</v>
      </c>
      <c r="O899" s="302">
        <f t="shared" si="387"/>
        <v>5.87542780902589</v>
      </c>
    </row>
    <row r="900" spans="1:15" s="236" customFormat="1" x14ac:dyDescent="0.2">
      <c r="A900" s="237" t="str">
        <f>name!E$11</f>
        <v>Process, plant and machine operatives</v>
      </c>
      <c r="B900" s="302">
        <v>0.90491221682951073</v>
      </c>
      <c r="C900" s="302">
        <v>0.60849928179791302</v>
      </c>
      <c r="D900" s="302">
        <v>0.20027180336165873</v>
      </c>
      <c r="E900" s="302">
        <f t="shared" si="385"/>
        <v>1.7136833019890827</v>
      </c>
      <c r="F900" s="303"/>
      <c r="G900" s="302">
        <v>0.52572808899294121</v>
      </c>
      <c r="H900" s="302">
        <v>0.44250922390085706</v>
      </c>
      <c r="I900" s="302">
        <v>0.1669588596503698</v>
      </c>
      <c r="J900" s="302">
        <f t="shared" si="388"/>
        <v>1.1351961725441679</v>
      </c>
      <c r="K900" s="303"/>
      <c r="L900" s="302">
        <v>0.539659690156855</v>
      </c>
      <c r="M900" s="302">
        <v>0.60271581012049924</v>
      </c>
      <c r="N900" s="302">
        <v>0.30556919490634765</v>
      </c>
      <c r="O900" s="302">
        <f t="shared" si="387"/>
        <v>1.4479446951837018</v>
      </c>
    </row>
    <row r="901" spans="1:15" s="236" customFormat="1" x14ac:dyDescent="0.2">
      <c r="A901" s="237" t="str">
        <f>name!E$12</f>
        <v>Elementary occupations</v>
      </c>
      <c r="B901" s="302">
        <v>1.0607300649731028</v>
      </c>
      <c r="C901" s="302">
        <v>1.6176552004808431</v>
      </c>
      <c r="D901" s="302">
        <v>0.68359460879577749</v>
      </c>
      <c r="E901" s="302">
        <f t="shared" si="385"/>
        <v>3.3619798742497236</v>
      </c>
      <c r="F901" s="303"/>
      <c r="G901" s="302">
        <v>0.66554057302706826</v>
      </c>
      <c r="H901" s="302">
        <v>1.0288835488625272</v>
      </c>
      <c r="I901" s="302">
        <v>0.28127681063113685</v>
      </c>
      <c r="J901" s="302">
        <f t="shared" si="388"/>
        <v>1.9757009325207324</v>
      </c>
      <c r="K901" s="303"/>
      <c r="L901" s="302">
        <v>0.36802989657630808</v>
      </c>
      <c r="M901" s="302">
        <v>0.99426301395516381</v>
      </c>
      <c r="N901" s="302">
        <v>0.48010860060469401</v>
      </c>
      <c r="O901" s="302">
        <f t="shared" si="387"/>
        <v>1.8424015111361658</v>
      </c>
    </row>
    <row r="902" spans="1:15" s="236" customFormat="1" x14ac:dyDescent="0.2">
      <c r="A902" s="237"/>
      <c r="B902" s="302"/>
      <c r="C902" s="302"/>
      <c r="D902" s="302"/>
      <c r="E902" s="302"/>
      <c r="F902" s="303"/>
      <c r="G902" s="302"/>
      <c r="H902" s="302"/>
      <c r="I902" s="302"/>
      <c r="J902" s="302"/>
      <c r="K902" s="303"/>
      <c r="L902" s="302"/>
      <c r="M902" s="302"/>
      <c r="N902" s="302"/>
      <c r="O902" s="302"/>
    </row>
    <row r="903" spans="1:15" s="236" customFormat="1" x14ac:dyDescent="0.2">
      <c r="A903" s="244" t="s">
        <v>32</v>
      </c>
      <c r="B903" s="311">
        <f>SUM(B893:B901)</f>
        <v>194.20399999462839</v>
      </c>
      <c r="C903" s="311">
        <f t="shared" ref="C903:E903" si="389">SUM(C893:C901)</f>
        <v>50.581999999431915</v>
      </c>
      <c r="D903" s="311">
        <f t="shared" si="389"/>
        <v>27.613000000022247</v>
      </c>
      <c r="E903" s="311">
        <f t="shared" si="389"/>
        <v>272.39899999408254</v>
      </c>
      <c r="F903" s="311"/>
      <c r="G903" s="311">
        <f t="shared" ref="G903:J903" si="390">SUM(G893:G901)</f>
        <v>172.761000001589</v>
      </c>
      <c r="H903" s="311">
        <f t="shared" si="390"/>
        <v>48.033000000204886</v>
      </c>
      <c r="I903" s="311">
        <f t="shared" si="390"/>
        <v>22.514000000594713</v>
      </c>
      <c r="J903" s="311">
        <f t="shared" si="390"/>
        <v>243.30800000238861</v>
      </c>
      <c r="K903" s="311"/>
      <c r="L903" s="311">
        <f t="shared" ref="L903:O903" si="391">SUM(L893:L901)</f>
        <v>187.81800000251445</v>
      </c>
      <c r="M903" s="311">
        <f t="shared" si="391"/>
        <v>56.06900000024838</v>
      </c>
      <c r="N903" s="311">
        <f t="shared" si="391"/>
        <v>23.966000001025257</v>
      </c>
      <c r="O903" s="311">
        <f t="shared" si="391"/>
        <v>267.85300000378805</v>
      </c>
    </row>
    <row r="904" spans="1:15" s="236" customFormat="1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40"/>
    </row>
    <row r="905" spans="1:15" s="236" customFormat="1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40"/>
      <c r="O905" s="251" t="s">
        <v>35</v>
      </c>
    </row>
    <row r="906" spans="1:15" s="236" customFormat="1" x14ac:dyDescent="0.2">
      <c r="A906" s="242"/>
      <c r="B906" s="242"/>
      <c r="C906" s="242"/>
      <c r="D906" s="242"/>
      <c r="E906" s="242"/>
      <c r="F906" s="242"/>
      <c r="G906" s="242"/>
      <c r="H906" s="242"/>
      <c r="I906" s="242"/>
      <c r="J906" s="242"/>
      <c r="K906" s="242"/>
      <c r="L906" s="242"/>
      <c r="M906" s="242"/>
      <c r="N906" s="242"/>
      <c r="O906" s="242"/>
    </row>
    <row r="907" spans="1:15" s="236" customFormat="1" x14ac:dyDescent="0.2">
      <c r="A907" s="241" t="str">
        <f>name!A56</f>
        <v>Architectural and related</v>
      </c>
      <c r="B907" s="374">
        <f>$B$6</f>
        <v>2015</v>
      </c>
      <c r="C907" s="374"/>
      <c r="D907" s="374"/>
      <c r="E907" s="374"/>
      <c r="F907" s="263"/>
      <c r="G907" s="374">
        <f>$G$6</f>
        <v>2020</v>
      </c>
      <c r="H907" s="374"/>
      <c r="I907" s="374"/>
      <c r="J907" s="374"/>
      <c r="K907" s="263"/>
      <c r="L907" s="374">
        <f>$L$6</f>
        <v>2035</v>
      </c>
      <c r="M907" s="374"/>
      <c r="N907" s="374"/>
      <c r="O907" s="374"/>
    </row>
    <row r="908" spans="1:15" s="236" customFormat="1" x14ac:dyDescent="0.2">
      <c r="A908" s="254"/>
      <c r="B908" s="268" t="str">
        <f>$B$7</f>
        <v>FT</v>
      </c>
      <c r="C908" s="268" t="str">
        <f>$C$7</f>
        <v>PT</v>
      </c>
      <c r="D908" s="268" t="str">
        <f>$D$7</f>
        <v>SE</v>
      </c>
      <c r="E908" s="268" t="str">
        <f>$E$7</f>
        <v>Total</v>
      </c>
      <c r="F908" s="268"/>
      <c r="G908" s="268" t="str">
        <f>$G$7</f>
        <v>FT</v>
      </c>
      <c r="H908" s="268" t="str">
        <f>$H$7</f>
        <v>PT</v>
      </c>
      <c r="I908" s="268" t="str">
        <f>$I$7</f>
        <v>SE</v>
      </c>
      <c r="J908" s="268" t="str">
        <f>$J$7</f>
        <v>Total</v>
      </c>
      <c r="K908" s="268"/>
      <c r="L908" s="268" t="str">
        <f>$L$7</f>
        <v>FT</v>
      </c>
      <c r="M908" s="268" t="str">
        <f>$M$7</f>
        <v>PT</v>
      </c>
      <c r="N908" s="268" t="str">
        <f>$N$7</f>
        <v>SE</v>
      </c>
      <c r="O908" s="268" t="str">
        <f>$O$7</f>
        <v>Total</v>
      </c>
    </row>
    <row r="909" spans="1:15" s="236" customFormat="1" x14ac:dyDescent="0.2">
      <c r="A909" s="258"/>
      <c r="B909" s="239"/>
      <c r="C909" s="239"/>
      <c r="D909" s="239"/>
      <c r="E909" s="239"/>
      <c r="F909" s="239"/>
      <c r="G909" s="239"/>
      <c r="H909" s="239"/>
      <c r="I909" s="239"/>
      <c r="J909" s="239"/>
      <c r="K909" s="239"/>
      <c r="L909" s="239"/>
      <c r="M909" s="239"/>
      <c r="N909" s="239"/>
      <c r="O909" s="239"/>
    </row>
    <row r="910" spans="1:15" s="236" customFormat="1" x14ac:dyDescent="0.2">
      <c r="A910" s="237" t="str">
        <f>name!E$4</f>
        <v>Managers, directors and senior officials</v>
      </c>
      <c r="B910" s="302">
        <v>11.956085627783137</v>
      </c>
      <c r="C910" s="302">
        <v>0.91382620110044888</v>
      </c>
      <c r="D910" s="302">
        <v>1.1675684391363679</v>
      </c>
      <c r="E910" s="302">
        <f>SUM(B910:D910)</f>
        <v>14.037480268019953</v>
      </c>
      <c r="F910" s="303"/>
      <c r="G910" s="302">
        <v>12.512326580476866</v>
      </c>
      <c r="H910" s="302">
        <v>1.7434617563369759</v>
      </c>
      <c r="I910" s="302">
        <v>1.9015488641377836</v>
      </c>
      <c r="J910" s="302">
        <f>SUM(G910:I910)</f>
        <v>16.157337200951623</v>
      </c>
      <c r="K910" s="303"/>
      <c r="L910" s="302">
        <v>11.88092019145463</v>
      </c>
      <c r="M910" s="302">
        <v>2.0520039396103917</v>
      </c>
      <c r="N910" s="302">
        <v>2.1468970839709347</v>
      </c>
      <c r="O910" s="302">
        <f>SUM(L910:N910)</f>
        <v>16.079821215035956</v>
      </c>
    </row>
    <row r="911" spans="1:15" s="236" customFormat="1" x14ac:dyDescent="0.2">
      <c r="A911" s="237" t="str">
        <f>name!E$5</f>
        <v>Professional occupations</v>
      </c>
      <c r="B911" s="302">
        <v>36.348238299558417</v>
      </c>
      <c r="C911" s="302">
        <v>2.1271325928264981</v>
      </c>
      <c r="D911" s="302">
        <v>5.7428568393402672</v>
      </c>
      <c r="E911" s="302">
        <f t="shared" ref="E911:E918" si="392">SUM(B911:D911)</f>
        <v>44.218227731725186</v>
      </c>
      <c r="F911" s="303"/>
      <c r="G911" s="302">
        <v>44.537864100315694</v>
      </c>
      <c r="H911" s="302">
        <v>3.9312735764329587</v>
      </c>
      <c r="I911" s="302">
        <v>7.6520433803248995</v>
      </c>
      <c r="J911" s="302">
        <f t="shared" ref="J911:J913" si="393">SUM(G911:I911)</f>
        <v>56.121181057073549</v>
      </c>
      <c r="K911" s="303"/>
      <c r="L911" s="302">
        <v>48.933183841696199</v>
      </c>
      <c r="M911" s="302">
        <v>4.7012900577269967</v>
      </c>
      <c r="N911" s="302">
        <v>6.8824525391694102</v>
      </c>
      <c r="O911" s="302">
        <f t="shared" ref="O911:O918" si="394">SUM(L911:N911)</f>
        <v>60.516926438592606</v>
      </c>
    </row>
    <row r="912" spans="1:15" s="236" customFormat="1" x14ac:dyDescent="0.2">
      <c r="A912" s="237" t="str">
        <f>name!E$6</f>
        <v>Associate professional occupations</v>
      </c>
      <c r="B912" s="302">
        <v>17.521464471281845</v>
      </c>
      <c r="C912" s="302">
        <v>1.4218970844007326</v>
      </c>
      <c r="D912" s="302">
        <v>2.1334149659009616</v>
      </c>
      <c r="E912" s="302">
        <f t="shared" si="392"/>
        <v>21.07677652158354</v>
      </c>
      <c r="F912" s="303"/>
      <c r="G912" s="302">
        <v>18.807312737130239</v>
      </c>
      <c r="H912" s="302">
        <v>2.2031099483416217</v>
      </c>
      <c r="I912" s="302">
        <v>2.723584463297017</v>
      </c>
      <c r="J912" s="302">
        <f t="shared" si="393"/>
        <v>23.734007148768875</v>
      </c>
      <c r="K912" s="303"/>
      <c r="L912" s="302">
        <v>17.581152720852032</v>
      </c>
      <c r="M912" s="302">
        <v>2.1994467384243346</v>
      </c>
      <c r="N912" s="302">
        <v>2.5961462982617252</v>
      </c>
      <c r="O912" s="302">
        <f t="shared" si="394"/>
        <v>22.376745757538092</v>
      </c>
    </row>
    <row r="913" spans="1:15" s="236" customFormat="1" x14ac:dyDescent="0.2">
      <c r="A913" s="237" t="str">
        <f>name!E$7</f>
        <v>Administrative and secretarial occupations</v>
      </c>
      <c r="B913" s="302">
        <v>6.4043726425302632</v>
      </c>
      <c r="C913" s="302">
        <v>2.2598681091533273</v>
      </c>
      <c r="D913" s="302">
        <v>0.61280064655847977</v>
      </c>
      <c r="E913" s="302">
        <f t="shared" si="392"/>
        <v>9.2770413982420692</v>
      </c>
      <c r="F913" s="303"/>
      <c r="G913" s="302">
        <v>5.6713755418918517</v>
      </c>
      <c r="H913" s="302">
        <v>2.6980279921930168</v>
      </c>
      <c r="I913" s="302">
        <v>0.62661452348199964</v>
      </c>
      <c r="J913" s="302">
        <f t="shared" si="393"/>
        <v>8.996018057566868</v>
      </c>
      <c r="K913" s="303"/>
      <c r="L913" s="302">
        <v>3.9437019120447299</v>
      </c>
      <c r="M913" s="302">
        <v>2.1549553801407675</v>
      </c>
      <c r="N913" s="302">
        <v>0.59036175687968118</v>
      </c>
      <c r="O913" s="302">
        <f t="shared" si="394"/>
        <v>6.6890190490651786</v>
      </c>
    </row>
    <row r="914" spans="1:15" s="236" customFormat="1" x14ac:dyDescent="0.2">
      <c r="A914" s="237" t="str">
        <f>name!E$8</f>
        <v>Skilled trades occupations</v>
      </c>
      <c r="B914" s="302">
        <v>1.892975963693132</v>
      </c>
      <c r="C914" s="302">
        <v>0.15275433063024788</v>
      </c>
      <c r="D914" s="302">
        <v>0.15327158661129828</v>
      </c>
      <c r="E914" s="302">
        <f t="shared" si="392"/>
        <v>2.1990018809346781</v>
      </c>
      <c r="F914" s="303"/>
      <c r="G914" s="302">
        <v>1.4726168834261439</v>
      </c>
      <c r="H914" s="302">
        <v>0.12856917438497353</v>
      </c>
      <c r="I914" s="302">
        <v>0.1818724875081297</v>
      </c>
      <c r="J914" s="302">
        <f>SUM(G914:I914)</f>
        <v>1.7830585453192471</v>
      </c>
      <c r="K914" s="303"/>
      <c r="L914" s="302">
        <v>1.1961978995138411</v>
      </c>
      <c r="M914" s="302">
        <v>0.17158566276268483</v>
      </c>
      <c r="N914" s="302">
        <v>0.22455209702174544</v>
      </c>
      <c r="O914" s="302">
        <f t="shared" si="394"/>
        <v>1.5923356592982714</v>
      </c>
    </row>
    <row r="915" spans="1:15" s="236" customFormat="1" x14ac:dyDescent="0.2">
      <c r="A915" s="237" t="str">
        <f>name!E$9</f>
        <v>Caring, leisure and other service occupations</v>
      </c>
      <c r="B915" s="302">
        <v>0.19689033047811083</v>
      </c>
      <c r="C915" s="302">
        <v>3.1365048437177405E-2</v>
      </c>
      <c r="D915" s="302">
        <v>7.352436705746114E-2</v>
      </c>
      <c r="E915" s="302">
        <f t="shared" si="392"/>
        <v>0.30177974597274937</v>
      </c>
      <c r="F915" s="303"/>
      <c r="G915" s="302">
        <v>0.176608677764268</v>
      </c>
      <c r="H915" s="302">
        <v>3.904820167479002E-2</v>
      </c>
      <c r="I915" s="302">
        <v>0.10241046742391348</v>
      </c>
      <c r="J915" s="302">
        <f t="shared" ref="J915:J918" si="395">SUM(G915:I915)</f>
        <v>0.3180673468629715</v>
      </c>
      <c r="K915" s="303"/>
      <c r="L915" s="302">
        <v>0.18604592801331291</v>
      </c>
      <c r="M915" s="302">
        <v>3.7494912521411773E-2</v>
      </c>
      <c r="N915" s="302">
        <v>0.18376852554251807</v>
      </c>
      <c r="O915" s="302">
        <f t="shared" si="394"/>
        <v>0.40730936607724277</v>
      </c>
    </row>
    <row r="916" spans="1:15" s="236" customFormat="1" x14ac:dyDescent="0.2">
      <c r="A916" s="237" t="str">
        <f>name!E$10</f>
        <v>Sales and customer service occupations</v>
      </c>
      <c r="B916" s="302">
        <v>1.6656104251392521</v>
      </c>
      <c r="C916" s="302">
        <v>0.34980978742688223</v>
      </c>
      <c r="D916" s="302">
        <v>0.17759972088637943</v>
      </c>
      <c r="E916" s="302">
        <f t="shared" si="392"/>
        <v>2.1930199334525136</v>
      </c>
      <c r="F916" s="303"/>
      <c r="G916" s="302">
        <v>1.4446786619665413</v>
      </c>
      <c r="H916" s="302">
        <v>0.43534595188032688</v>
      </c>
      <c r="I916" s="302">
        <v>0.17906944463745725</v>
      </c>
      <c r="J916" s="302">
        <f t="shared" si="395"/>
        <v>2.0590940584843254</v>
      </c>
      <c r="K916" s="303"/>
      <c r="L916" s="302">
        <v>1.4279882554877177</v>
      </c>
      <c r="M916" s="302">
        <v>0.46942400023062747</v>
      </c>
      <c r="N916" s="302">
        <v>0.17231888194381617</v>
      </c>
      <c r="O916" s="302">
        <f t="shared" si="394"/>
        <v>2.0697311376621617</v>
      </c>
    </row>
    <row r="917" spans="1:15" s="236" customFormat="1" x14ac:dyDescent="0.2">
      <c r="A917" s="237" t="str">
        <f>name!E$11</f>
        <v>Process, plant and machine operatives</v>
      </c>
      <c r="B917" s="302">
        <v>0.39302706804284471</v>
      </c>
      <c r="C917" s="302">
        <v>8.9930680198994112E-2</v>
      </c>
      <c r="D917" s="302">
        <v>5.9818006174100699E-2</v>
      </c>
      <c r="E917" s="302">
        <f t="shared" si="392"/>
        <v>0.5427757544159395</v>
      </c>
      <c r="F917" s="303"/>
      <c r="G917" s="302">
        <v>0.29111859745450158</v>
      </c>
      <c r="H917" s="302">
        <v>0.11681766666899362</v>
      </c>
      <c r="I917" s="302">
        <v>8.3238193400284183E-2</v>
      </c>
      <c r="J917" s="302">
        <f t="shared" si="395"/>
        <v>0.49117445752377942</v>
      </c>
      <c r="K917" s="303"/>
      <c r="L917" s="302">
        <v>0.27222012434811232</v>
      </c>
      <c r="M917" s="302">
        <v>0.13853978717896104</v>
      </c>
      <c r="N917" s="302">
        <v>0.11797786708497392</v>
      </c>
      <c r="O917" s="302">
        <f t="shared" si="394"/>
        <v>0.52873777861204729</v>
      </c>
    </row>
    <row r="918" spans="1:15" s="236" customFormat="1" x14ac:dyDescent="0.2">
      <c r="A918" s="237" t="str">
        <f>name!E$12</f>
        <v>Elementary occupations</v>
      </c>
      <c r="B918" s="302">
        <v>0.41633516929461989</v>
      </c>
      <c r="C918" s="302">
        <v>0.24341616574149735</v>
      </c>
      <c r="D918" s="302">
        <v>0.14714542835746564</v>
      </c>
      <c r="E918" s="302">
        <f t="shared" si="392"/>
        <v>0.80689676339358285</v>
      </c>
      <c r="F918" s="303"/>
      <c r="G918" s="302">
        <v>0.32509822047759634</v>
      </c>
      <c r="H918" s="302">
        <v>0.24134573214188226</v>
      </c>
      <c r="I918" s="302">
        <v>9.0618176285778076E-2</v>
      </c>
      <c r="J918" s="302">
        <f t="shared" si="395"/>
        <v>0.65706212890525673</v>
      </c>
      <c r="K918" s="303"/>
      <c r="L918" s="302">
        <v>0.17458912787245257</v>
      </c>
      <c r="M918" s="302">
        <v>0.20725952146344373</v>
      </c>
      <c r="N918" s="302">
        <v>0.13952495083257052</v>
      </c>
      <c r="O918" s="302">
        <f t="shared" si="394"/>
        <v>0.52137360016846679</v>
      </c>
    </row>
    <row r="919" spans="1:15" s="236" customFormat="1" x14ac:dyDescent="0.2">
      <c r="A919" s="237"/>
      <c r="B919" s="302"/>
      <c r="C919" s="302"/>
      <c r="D919" s="302"/>
      <c r="E919" s="302"/>
      <c r="F919" s="303"/>
      <c r="G919" s="302"/>
      <c r="H919" s="302"/>
      <c r="I919" s="302"/>
      <c r="J919" s="302"/>
      <c r="K919" s="303"/>
      <c r="L919" s="302"/>
      <c r="M919" s="302"/>
      <c r="N919" s="302"/>
      <c r="O919" s="302"/>
    </row>
    <row r="920" spans="1:15" s="236" customFormat="1" x14ac:dyDescent="0.2">
      <c r="A920" s="244" t="s">
        <v>32</v>
      </c>
      <c r="B920" s="311">
        <f>SUM(B910:B918)</f>
        <v>76.794999997801625</v>
      </c>
      <c r="C920" s="311">
        <f t="shared" ref="C920:E920" si="396">SUM(C910:C918)</f>
        <v>7.5899999999158059</v>
      </c>
      <c r="D920" s="311">
        <f t="shared" si="396"/>
        <v>10.268000000022781</v>
      </c>
      <c r="E920" s="311">
        <f t="shared" si="396"/>
        <v>94.652999997740224</v>
      </c>
      <c r="F920" s="311"/>
      <c r="G920" s="311">
        <f t="shared" ref="G920:J920" si="397">SUM(G910:G918)</f>
        <v>85.239000000903687</v>
      </c>
      <c r="H920" s="311">
        <f t="shared" si="397"/>
        <v>11.537000000055539</v>
      </c>
      <c r="I920" s="311">
        <f t="shared" si="397"/>
        <v>13.541000000497263</v>
      </c>
      <c r="J920" s="311">
        <f t="shared" si="397"/>
        <v>110.31700000145651</v>
      </c>
      <c r="K920" s="311"/>
      <c r="L920" s="311">
        <f t="shared" ref="L920:O920" si="398">SUM(L910:L918)</f>
        <v>85.596000001283031</v>
      </c>
      <c r="M920" s="311">
        <f t="shared" si="398"/>
        <v>12.132000000059621</v>
      </c>
      <c r="N920" s="311">
        <f t="shared" si="398"/>
        <v>13.054000000707376</v>
      </c>
      <c r="O920" s="311">
        <f t="shared" si="398"/>
        <v>110.78200000205003</v>
      </c>
    </row>
    <row r="921" spans="1:15" s="236" customFormat="1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40"/>
    </row>
    <row r="922" spans="1:15" s="236" customFormat="1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40"/>
      <c r="O922" s="251" t="s">
        <v>35</v>
      </c>
    </row>
    <row r="923" spans="1:15" s="236" customFormat="1" x14ac:dyDescent="0.2">
      <c r="A923" s="242"/>
      <c r="B923" s="242"/>
      <c r="C923" s="242"/>
      <c r="D923" s="242"/>
      <c r="E923" s="242"/>
      <c r="F923" s="242"/>
      <c r="G923" s="242"/>
      <c r="H923" s="242"/>
      <c r="I923" s="242"/>
      <c r="J923" s="242"/>
      <c r="K923" s="242"/>
      <c r="L923" s="242"/>
      <c r="M923" s="242"/>
      <c r="N923" s="242"/>
      <c r="O923" s="242"/>
    </row>
    <row r="924" spans="1:15" s="236" customFormat="1" x14ac:dyDescent="0.2">
      <c r="A924" s="241" t="str">
        <f>name!A57</f>
        <v>Scientific research and development</v>
      </c>
      <c r="B924" s="374">
        <f>$B$6</f>
        <v>2015</v>
      </c>
      <c r="C924" s="374"/>
      <c r="D924" s="374"/>
      <c r="E924" s="374"/>
      <c r="F924" s="263"/>
      <c r="G924" s="374">
        <f>$G$6</f>
        <v>2020</v>
      </c>
      <c r="H924" s="374"/>
      <c r="I924" s="374"/>
      <c r="J924" s="374"/>
      <c r="K924" s="263"/>
      <c r="L924" s="374">
        <f>$L$6</f>
        <v>2035</v>
      </c>
      <c r="M924" s="374"/>
      <c r="N924" s="374"/>
      <c r="O924" s="374"/>
    </row>
    <row r="925" spans="1:15" s="236" customFormat="1" x14ac:dyDescent="0.2">
      <c r="A925" s="254"/>
      <c r="B925" s="268" t="str">
        <f>$B$7</f>
        <v>FT</v>
      </c>
      <c r="C925" s="268" t="str">
        <f>$C$7</f>
        <v>PT</v>
      </c>
      <c r="D925" s="268" t="str">
        <f>$D$7</f>
        <v>SE</v>
      </c>
      <c r="E925" s="268" t="str">
        <f>$E$7</f>
        <v>Total</v>
      </c>
      <c r="F925" s="268"/>
      <c r="G925" s="268" t="str">
        <f>$G$7</f>
        <v>FT</v>
      </c>
      <c r="H925" s="268" t="str">
        <f>$H$7</f>
        <v>PT</v>
      </c>
      <c r="I925" s="268" t="str">
        <f>$I$7</f>
        <v>SE</v>
      </c>
      <c r="J925" s="268" t="str">
        <f>$J$7</f>
        <v>Total</v>
      </c>
      <c r="K925" s="268"/>
      <c r="L925" s="268" t="str">
        <f>$L$7</f>
        <v>FT</v>
      </c>
      <c r="M925" s="268" t="str">
        <f>$M$7</f>
        <v>PT</v>
      </c>
      <c r="N925" s="268" t="str">
        <f>$N$7</f>
        <v>SE</v>
      </c>
      <c r="O925" s="268" t="str">
        <f>$O$7</f>
        <v>Total</v>
      </c>
    </row>
    <row r="926" spans="1:15" s="236" customFormat="1" x14ac:dyDescent="0.2">
      <c r="A926" s="258"/>
      <c r="B926" s="239"/>
      <c r="C926" s="239"/>
      <c r="D926" s="239"/>
      <c r="E926" s="239"/>
      <c r="F926" s="239"/>
      <c r="G926" s="239"/>
      <c r="H926" s="239"/>
      <c r="I926" s="239"/>
      <c r="J926" s="239"/>
      <c r="K926" s="239"/>
      <c r="L926" s="239"/>
      <c r="M926" s="239"/>
      <c r="N926" s="239"/>
      <c r="O926" s="239"/>
    </row>
    <row r="927" spans="1:15" s="236" customFormat="1" x14ac:dyDescent="0.2">
      <c r="A927" s="237" t="str">
        <f>name!E$4</f>
        <v>Managers, directors and senior officials</v>
      </c>
      <c r="B927" s="302">
        <v>1.6297382869457915</v>
      </c>
      <c r="C927" s="302">
        <v>0.13279242839961536</v>
      </c>
      <c r="D927" s="302">
        <v>0.63081149096909828</v>
      </c>
      <c r="E927" s="302">
        <f>SUM(B927:D927)</f>
        <v>2.3933422063145051</v>
      </c>
      <c r="F927" s="303"/>
      <c r="G927" s="302">
        <v>1.8728626652975577</v>
      </c>
      <c r="H927" s="302">
        <v>0.13267783879516173</v>
      </c>
      <c r="I927" s="302">
        <v>0.81776537906655566</v>
      </c>
      <c r="J927" s="302">
        <f>SUM(G927:I927)</f>
        <v>2.823305883159275</v>
      </c>
      <c r="K927" s="303"/>
      <c r="L927" s="302">
        <v>1.9709737135242691</v>
      </c>
      <c r="M927" s="302">
        <v>0.17339775161622298</v>
      </c>
      <c r="N927" s="302">
        <v>1.1027866736094822</v>
      </c>
      <c r="O927" s="302">
        <f>SUM(L927:N927)</f>
        <v>3.2471581387499739</v>
      </c>
    </row>
    <row r="928" spans="1:15" s="236" customFormat="1" x14ac:dyDescent="0.2">
      <c r="A928" s="237" t="str">
        <f>name!E$5</f>
        <v>Professional occupations</v>
      </c>
      <c r="B928" s="302">
        <v>7.9223821168214306</v>
      </c>
      <c r="C928" s="302">
        <v>0.81148791596290648</v>
      </c>
      <c r="D928" s="302">
        <v>2.5077570840375132</v>
      </c>
      <c r="E928" s="302">
        <f t="shared" ref="E928:E935" si="399">SUM(B928:D928)</f>
        <v>11.241627116821849</v>
      </c>
      <c r="F928" s="303"/>
      <c r="G928" s="302">
        <v>10.134382061697888</v>
      </c>
      <c r="H928" s="302">
        <v>0.74534763510994029</v>
      </c>
      <c r="I928" s="302">
        <v>2.8908357958325541</v>
      </c>
      <c r="J928" s="302">
        <f t="shared" ref="J928:J930" si="400">SUM(G928:I928)</f>
        <v>13.770565492640383</v>
      </c>
      <c r="K928" s="303"/>
      <c r="L928" s="302">
        <v>12.840226869175853</v>
      </c>
      <c r="M928" s="302">
        <v>1.053428355096057</v>
      </c>
      <c r="N928" s="302">
        <v>3.3030866839446906</v>
      </c>
      <c r="O928" s="302">
        <f t="shared" ref="O928:O935" si="401">SUM(L928:N928)</f>
        <v>17.196741908216602</v>
      </c>
    </row>
    <row r="929" spans="1:15" s="236" customFormat="1" x14ac:dyDescent="0.2">
      <c r="A929" s="237" t="str">
        <f>name!E$6</f>
        <v>Associate professional occupations</v>
      </c>
      <c r="B929" s="302">
        <v>2.1676890051181199</v>
      </c>
      <c r="C929" s="302">
        <v>0.32073482073479076</v>
      </c>
      <c r="D929" s="302">
        <v>0.71974185759202303</v>
      </c>
      <c r="E929" s="302">
        <f t="shared" si="399"/>
        <v>3.2081656834449337</v>
      </c>
      <c r="F929" s="303"/>
      <c r="G929" s="302">
        <v>2.6357776258989842</v>
      </c>
      <c r="H929" s="302">
        <v>0.25509951338753811</v>
      </c>
      <c r="I929" s="302">
        <v>0.75709450678398549</v>
      </c>
      <c r="J929" s="302">
        <f t="shared" si="400"/>
        <v>3.6479716460705078</v>
      </c>
      <c r="K929" s="303"/>
      <c r="L929" s="302">
        <v>2.7395749712012241</v>
      </c>
      <c r="M929" s="302">
        <v>0.27239875723948542</v>
      </c>
      <c r="N929" s="302">
        <v>0.88999087095746066</v>
      </c>
      <c r="O929" s="302">
        <f t="shared" si="401"/>
        <v>3.9019645993981698</v>
      </c>
    </row>
    <row r="930" spans="1:15" s="236" customFormat="1" x14ac:dyDescent="0.2">
      <c r="A930" s="237" t="str">
        <f>name!E$7</f>
        <v>Administrative and secretarial occupations</v>
      </c>
      <c r="B930" s="302">
        <v>0.65072442349144599</v>
      </c>
      <c r="C930" s="302">
        <v>0.2674397464929944</v>
      </c>
      <c r="D930" s="302">
        <v>0.34223674349097782</v>
      </c>
      <c r="E930" s="302">
        <f t="shared" si="399"/>
        <v>1.2604009134754182</v>
      </c>
      <c r="F930" s="303"/>
      <c r="G930" s="302">
        <v>0.68126147111198621</v>
      </c>
      <c r="H930" s="302">
        <v>0.19923383558256991</v>
      </c>
      <c r="I930" s="302">
        <v>0.35818016489858662</v>
      </c>
      <c r="J930" s="302">
        <f t="shared" si="400"/>
        <v>1.2386754715931427</v>
      </c>
      <c r="K930" s="303"/>
      <c r="L930" s="302">
        <v>0.55956346472082574</v>
      </c>
      <c r="M930" s="302">
        <v>0.16291095915722478</v>
      </c>
      <c r="N930" s="302">
        <v>0.34710062700605643</v>
      </c>
      <c r="O930" s="302">
        <f t="shared" si="401"/>
        <v>1.0695750508841069</v>
      </c>
    </row>
    <row r="931" spans="1:15" s="236" customFormat="1" x14ac:dyDescent="0.2">
      <c r="A931" s="237" t="str">
        <f>name!E$8</f>
        <v>Skilled trades occupations</v>
      </c>
      <c r="B931" s="302">
        <v>0.32574830480982081</v>
      </c>
      <c r="C931" s="302">
        <v>7.7018306174817988E-2</v>
      </c>
      <c r="D931" s="302">
        <v>0.13450639524904973</v>
      </c>
      <c r="E931" s="302">
        <f t="shared" si="399"/>
        <v>0.53727300623368857</v>
      </c>
      <c r="F931" s="303"/>
      <c r="G931" s="302">
        <v>0.2617260765761204</v>
      </c>
      <c r="H931" s="302">
        <v>2.7276829011990834E-2</v>
      </c>
      <c r="I931" s="302">
        <v>0.13658365921265087</v>
      </c>
      <c r="J931" s="302">
        <f>SUM(G931:I931)</f>
        <v>0.42558656480076212</v>
      </c>
      <c r="K931" s="303"/>
      <c r="L931" s="302">
        <v>0.20806173864934618</v>
      </c>
      <c r="M931" s="302">
        <v>3.4391599813997802E-2</v>
      </c>
      <c r="N931" s="302">
        <v>0.20137736553371968</v>
      </c>
      <c r="O931" s="302">
        <f t="shared" si="401"/>
        <v>0.4438307039970637</v>
      </c>
    </row>
    <row r="932" spans="1:15" s="236" customFormat="1" x14ac:dyDescent="0.2">
      <c r="A932" s="237" t="str">
        <f>name!E$9</f>
        <v>Caring, leisure and other service occupations</v>
      </c>
      <c r="B932" s="302">
        <v>0.31627362681588489</v>
      </c>
      <c r="C932" s="302">
        <v>5.9465549226718387E-2</v>
      </c>
      <c r="D932" s="302">
        <v>0.14942003890368327</v>
      </c>
      <c r="E932" s="302">
        <f t="shared" si="399"/>
        <v>0.52515921494628648</v>
      </c>
      <c r="F932" s="303"/>
      <c r="G932" s="302">
        <v>0.32690761161646253</v>
      </c>
      <c r="H932" s="302">
        <v>3.6474858488052368E-2</v>
      </c>
      <c r="I932" s="302">
        <v>0.16481574408077745</v>
      </c>
      <c r="J932" s="302">
        <f t="shared" ref="J932:J935" si="402">SUM(G932:I932)</f>
        <v>0.52819821418529234</v>
      </c>
      <c r="K932" s="303"/>
      <c r="L932" s="302">
        <v>0.37814561063913105</v>
      </c>
      <c r="M932" s="302">
        <v>4.4826276286804467E-2</v>
      </c>
      <c r="N932" s="302">
        <v>0.17936730438770654</v>
      </c>
      <c r="O932" s="302">
        <f t="shared" si="401"/>
        <v>0.602339191313642</v>
      </c>
    </row>
    <row r="933" spans="1:15" s="236" customFormat="1" x14ac:dyDescent="0.2">
      <c r="A933" s="237" t="str">
        <f>name!E$10</f>
        <v>Sales and customer service occupations</v>
      </c>
      <c r="B933" s="302">
        <v>0.17003009715929959</v>
      </c>
      <c r="C933" s="302">
        <v>0.11389700774684999</v>
      </c>
      <c r="D933" s="302">
        <v>0.1307516267421458</v>
      </c>
      <c r="E933" s="302">
        <f t="shared" si="399"/>
        <v>0.41467873164829538</v>
      </c>
      <c r="F933" s="303"/>
      <c r="G933" s="302">
        <v>0.17557768306151672</v>
      </c>
      <c r="H933" s="302">
        <v>7.0092156493838612E-2</v>
      </c>
      <c r="I933" s="302">
        <v>0.12389696339653537</v>
      </c>
      <c r="J933" s="302">
        <f t="shared" si="402"/>
        <v>0.3695668029518907</v>
      </c>
      <c r="K933" s="303"/>
      <c r="L933" s="302">
        <v>0.21942724935949343</v>
      </c>
      <c r="M933" s="302">
        <v>7.9407414341999341E-2</v>
      </c>
      <c r="N933" s="302">
        <v>0.18357415854202425</v>
      </c>
      <c r="O933" s="302">
        <f t="shared" si="401"/>
        <v>0.482408822243517</v>
      </c>
    </row>
    <row r="934" spans="1:15" s="236" customFormat="1" x14ac:dyDescent="0.2">
      <c r="A934" s="237" t="str">
        <f>name!E$11</f>
        <v>Process, plant and machine operatives</v>
      </c>
      <c r="B934" s="302">
        <v>6.7142310168682023E-2</v>
      </c>
      <c r="C934" s="302">
        <v>7.2047520645986143E-2</v>
      </c>
      <c r="D934" s="302">
        <v>6.1896182360978345E-2</v>
      </c>
      <c r="E934" s="302">
        <f t="shared" si="399"/>
        <v>0.20108601317564653</v>
      </c>
      <c r="F934" s="303"/>
      <c r="G934" s="302">
        <v>5.2291014658484701E-2</v>
      </c>
      <c r="H934" s="302">
        <v>4.082506961502206E-2</v>
      </c>
      <c r="I934" s="302">
        <v>7.2287172830621763E-2</v>
      </c>
      <c r="J934" s="302">
        <f t="shared" si="402"/>
        <v>0.16540325710412851</v>
      </c>
      <c r="K934" s="303"/>
      <c r="L934" s="302">
        <v>4.5052835648734267E-2</v>
      </c>
      <c r="M934" s="302">
        <v>4.5912149984363472E-2</v>
      </c>
      <c r="N934" s="302">
        <v>0.12022192148617245</v>
      </c>
      <c r="O934" s="302">
        <f t="shared" si="401"/>
        <v>0.21118690711927018</v>
      </c>
    </row>
    <row r="935" spans="1:15" s="236" customFormat="1" x14ac:dyDescent="0.2">
      <c r="A935" s="237" t="str">
        <f>name!E$12</f>
        <v>Elementary occupations</v>
      </c>
      <c r="B935" s="302">
        <v>5.4271828527446928E-2</v>
      </c>
      <c r="C935" s="302">
        <v>3.3116704559426752E-2</v>
      </c>
      <c r="D935" s="302">
        <v>0.91387858065524508</v>
      </c>
      <c r="E935" s="302">
        <f t="shared" si="399"/>
        <v>1.0012671137421187</v>
      </c>
      <c r="F935" s="303"/>
      <c r="G935" s="302">
        <v>4.5213790531938261E-2</v>
      </c>
      <c r="H935" s="302">
        <v>1.6972263522161721E-2</v>
      </c>
      <c r="I935" s="302">
        <v>0.75754061401323103</v>
      </c>
      <c r="J935" s="302">
        <f t="shared" si="402"/>
        <v>0.81972666806733097</v>
      </c>
      <c r="K935" s="303"/>
      <c r="L935" s="302">
        <v>2.5973547397514323E-2</v>
      </c>
      <c r="M935" s="302">
        <v>1.5326736471762727E-2</v>
      </c>
      <c r="N935" s="302">
        <v>1.6344943947621515</v>
      </c>
      <c r="O935" s="302">
        <f t="shared" si="401"/>
        <v>1.6757946786314286</v>
      </c>
    </row>
    <row r="936" spans="1:15" s="236" customFormat="1" x14ac:dyDescent="0.2">
      <c r="A936" s="237"/>
      <c r="B936" s="302"/>
      <c r="C936" s="302"/>
      <c r="D936" s="302"/>
      <c r="E936" s="302"/>
      <c r="F936" s="303"/>
      <c r="G936" s="302"/>
      <c r="H936" s="302"/>
      <c r="I936" s="302"/>
      <c r="J936" s="302"/>
      <c r="K936" s="303"/>
      <c r="L936" s="302"/>
      <c r="M936" s="302"/>
      <c r="N936" s="302"/>
      <c r="O936" s="302"/>
    </row>
    <row r="937" spans="1:15" s="236" customFormat="1" x14ac:dyDescent="0.2">
      <c r="A937" s="244" t="s">
        <v>32</v>
      </c>
      <c r="B937" s="311">
        <f>SUM(B927:B935)</f>
        <v>13.303999999857925</v>
      </c>
      <c r="C937" s="311">
        <f t="shared" ref="C937:E937" si="403">SUM(C927:C935)</f>
        <v>1.8879999999441064</v>
      </c>
      <c r="D937" s="311">
        <f t="shared" si="403"/>
        <v>5.5910000000007152</v>
      </c>
      <c r="E937" s="311">
        <f t="shared" si="403"/>
        <v>20.782999999802744</v>
      </c>
      <c r="F937" s="311"/>
      <c r="G937" s="311">
        <f t="shared" ref="G937:J937" si="404">SUM(G927:G935)</f>
        <v>16.186000000450942</v>
      </c>
      <c r="H937" s="311">
        <f t="shared" si="404"/>
        <v>1.5240000000062754</v>
      </c>
      <c r="I937" s="311">
        <f t="shared" si="404"/>
        <v>6.0790000001154976</v>
      </c>
      <c r="J937" s="311">
        <f t="shared" si="404"/>
        <v>23.789000000572717</v>
      </c>
      <c r="K937" s="311"/>
      <c r="L937" s="311">
        <f t="shared" ref="L937:O937" si="405">SUM(L927:L935)</f>
        <v>18.987000000316385</v>
      </c>
      <c r="M937" s="311">
        <f t="shared" si="405"/>
        <v>1.8820000000079184</v>
      </c>
      <c r="N937" s="311">
        <f t="shared" si="405"/>
        <v>7.9620000002294642</v>
      </c>
      <c r="O937" s="311">
        <f t="shared" si="405"/>
        <v>28.831000000553779</v>
      </c>
    </row>
    <row r="938" spans="1:15" s="236" customFormat="1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40"/>
    </row>
    <row r="939" spans="1:15" s="236" customFormat="1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40"/>
      <c r="O939" s="251" t="s">
        <v>35</v>
      </c>
    </row>
    <row r="940" spans="1:15" s="236" customFormat="1" x14ac:dyDescent="0.2">
      <c r="A940" s="242"/>
      <c r="B940" s="242"/>
      <c r="C940" s="242"/>
      <c r="D940" s="242"/>
      <c r="E940" s="242"/>
      <c r="F940" s="242"/>
      <c r="G940" s="242"/>
      <c r="H940" s="242"/>
      <c r="I940" s="242"/>
      <c r="J940" s="242"/>
      <c r="K940" s="242"/>
      <c r="L940" s="242"/>
      <c r="M940" s="242"/>
      <c r="N940" s="242"/>
      <c r="O940" s="242"/>
    </row>
    <row r="941" spans="1:15" s="236" customFormat="1" x14ac:dyDescent="0.2">
      <c r="A941" s="241" t="str">
        <f>name!A58</f>
        <v>Advertising, etc</v>
      </c>
      <c r="B941" s="374">
        <f>$B$6</f>
        <v>2015</v>
      </c>
      <c r="C941" s="374"/>
      <c r="D941" s="374"/>
      <c r="E941" s="374"/>
      <c r="F941" s="263"/>
      <c r="G941" s="374">
        <f>$G$6</f>
        <v>2020</v>
      </c>
      <c r="H941" s="374"/>
      <c r="I941" s="374"/>
      <c r="J941" s="374"/>
      <c r="K941" s="263"/>
      <c r="L941" s="374">
        <f>$L$6</f>
        <v>2035</v>
      </c>
      <c r="M941" s="374"/>
      <c r="N941" s="374"/>
      <c r="O941" s="374"/>
    </row>
    <row r="942" spans="1:15" s="236" customFormat="1" x14ac:dyDescent="0.2">
      <c r="A942" s="254"/>
      <c r="B942" s="268" t="str">
        <f>$B$7</f>
        <v>FT</v>
      </c>
      <c r="C942" s="268" t="str">
        <f>$C$7</f>
        <v>PT</v>
      </c>
      <c r="D942" s="268" t="str">
        <f>$D$7</f>
        <v>SE</v>
      </c>
      <c r="E942" s="268" t="str">
        <f>$E$7</f>
        <v>Total</v>
      </c>
      <c r="F942" s="268"/>
      <c r="G942" s="268" t="str">
        <f>$G$7</f>
        <v>FT</v>
      </c>
      <c r="H942" s="268" t="str">
        <f>$H$7</f>
        <v>PT</v>
      </c>
      <c r="I942" s="268" t="str">
        <f>$I$7</f>
        <v>SE</v>
      </c>
      <c r="J942" s="268" t="str">
        <f>$J$7</f>
        <v>Total</v>
      </c>
      <c r="K942" s="268"/>
      <c r="L942" s="268" t="str">
        <f>$L$7</f>
        <v>FT</v>
      </c>
      <c r="M942" s="268" t="str">
        <f>$M$7</f>
        <v>PT</v>
      </c>
      <c r="N942" s="268" t="str">
        <f>$N$7</f>
        <v>SE</v>
      </c>
      <c r="O942" s="268" t="str">
        <f>$O$7</f>
        <v>Total</v>
      </c>
    </row>
    <row r="943" spans="1:15" s="236" customFormat="1" x14ac:dyDescent="0.2">
      <c r="A943" s="258"/>
      <c r="B943" s="239"/>
      <c r="C943" s="239"/>
      <c r="D943" s="239"/>
      <c r="E943" s="239"/>
      <c r="F943" s="239"/>
      <c r="G943" s="239"/>
      <c r="H943" s="239"/>
      <c r="I943" s="239"/>
      <c r="J943" s="239"/>
      <c r="K943" s="239"/>
      <c r="L943" s="239"/>
      <c r="M943" s="239"/>
      <c r="N943" s="239"/>
      <c r="O943" s="239"/>
    </row>
    <row r="944" spans="1:15" s="236" customFormat="1" x14ac:dyDescent="0.2">
      <c r="A944" s="237" t="str">
        <f>name!E$4</f>
        <v>Managers, directors and senior officials</v>
      </c>
      <c r="B944" s="302">
        <v>10.388108770270678</v>
      </c>
      <c r="C944" s="302">
        <v>1.5478664984098707</v>
      </c>
      <c r="D944" s="302">
        <v>2.6109652554470344</v>
      </c>
      <c r="E944" s="302">
        <f>SUM(B944:D944)</f>
        <v>14.546940524127583</v>
      </c>
      <c r="F944" s="303"/>
      <c r="G944" s="302">
        <v>10.417968908600384</v>
      </c>
      <c r="H944" s="302">
        <v>1.5265949030291288</v>
      </c>
      <c r="I944" s="302">
        <v>3.1337875450817028</v>
      </c>
      <c r="J944" s="302">
        <f>SUM(G944:I944)</f>
        <v>15.078351356711215</v>
      </c>
      <c r="K944" s="303"/>
      <c r="L944" s="302">
        <v>12.140204616441821</v>
      </c>
      <c r="M944" s="302">
        <v>2.0522511716220873</v>
      </c>
      <c r="N944" s="302">
        <v>4.04353239088005</v>
      </c>
      <c r="O944" s="302">
        <f>SUM(L944:N944)</f>
        <v>18.235988178943959</v>
      </c>
    </row>
    <row r="945" spans="1:15" s="236" customFormat="1" x14ac:dyDescent="0.2">
      <c r="A945" s="237" t="str">
        <f>name!E$5</f>
        <v>Professional occupations</v>
      </c>
      <c r="B945" s="302">
        <v>33.115259484499504</v>
      </c>
      <c r="C945" s="302">
        <v>3.6294997062074241</v>
      </c>
      <c r="D945" s="302">
        <v>11.779949642682608</v>
      </c>
      <c r="E945" s="302">
        <f t="shared" ref="E945:E952" si="406">SUM(B945:D945)</f>
        <v>48.524708833389539</v>
      </c>
      <c r="F945" s="303"/>
      <c r="G945" s="302">
        <v>39.897238732465865</v>
      </c>
      <c r="H945" s="302">
        <v>3.4852380185772849</v>
      </c>
      <c r="I945" s="302">
        <v>11.140485704680719</v>
      </c>
      <c r="J945" s="302">
        <f t="shared" ref="J945:J947" si="407">SUM(G945:I945)</f>
        <v>54.522962455723871</v>
      </c>
      <c r="K945" s="303"/>
      <c r="L945" s="302">
        <v>52.536419979979321</v>
      </c>
      <c r="M945" s="302">
        <v>4.6823220688433365</v>
      </c>
      <c r="N945" s="302">
        <v>13.77120063814159</v>
      </c>
      <c r="O945" s="302">
        <f t="shared" ref="O945:O952" si="408">SUM(L945:N945)</f>
        <v>70.989942686964241</v>
      </c>
    </row>
    <row r="946" spans="1:15" s="236" customFormat="1" x14ac:dyDescent="0.2">
      <c r="A946" s="237" t="str">
        <f>name!E$6</f>
        <v>Associate professional occupations</v>
      </c>
      <c r="B946" s="302">
        <v>17.035545380501922</v>
      </c>
      <c r="C946" s="302">
        <v>2.4141777461940128</v>
      </c>
      <c r="D946" s="302">
        <v>5.5447248062690369</v>
      </c>
      <c r="E946" s="302">
        <f t="shared" si="406"/>
        <v>24.994447932964974</v>
      </c>
      <c r="F946" s="303"/>
      <c r="G946" s="302">
        <v>17.771914565313033</v>
      </c>
      <c r="H946" s="302">
        <v>1.8740780828209314</v>
      </c>
      <c r="I946" s="302">
        <v>5.1598908434199204</v>
      </c>
      <c r="J946" s="302">
        <f t="shared" si="407"/>
        <v>24.805883491553882</v>
      </c>
      <c r="K946" s="303"/>
      <c r="L946" s="302">
        <v>19.840639424354556</v>
      </c>
      <c r="M946" s="302">
        <v>2.2588761146903251</v>
      </c>
      <c r="N946" s="302">
        <v>7.0857518621586753</v>
      </c>
      <c r="O946" s="302">
        <f t="shared" si="408"/>
        <v>29.185267401203554</v>
      </c>
    </row>
    <row r="947" spans="1:15" s="236" customFormat="1" x14ac:dyDescent="0.2">
      <c r="A947" s="237" t="str">
        <f>name!E$7</f>
        <v>Administrative and secretarial occupations</v>
      </c>
      <c r="B947" s="302">
        <v>9.2319124435676887</v>
      </c>
      <c r="C947" s="302">
        <v>3.9464938141716428</v>
      </c>
      <c r="D947" s="302">
        <v>2.0780663840173794</v>
      </c>
      <c r="E947" s="302">
        <f t="shared" si="406"/>
        <v>15.25647264175671</v>
      </c>
      <c r="F947" s="303"/>
      <c r="G947" s="302">
        <v>8.0888882074603732</v>
      </c>
      <c r="H947" s="302">
        <v>2.8571073496026429</v>
      </c>
      <c r="I947" s="302">
        <v>1.8908403717832021</v>
      </c>
      <c r="J947" s="302">
        <f t="shared" si="407"/>
        <v>12.836835928846218</v>
      </c>
      <c r="K947" s="303"/>
      <c r="L947" s="302">
        <v>5.8980524947951158</v>
      </c>
      <c r="M947" s="302">
        <v>2.7142712304772485</v>
      </c>
      <c r="N947" s="302">
        <v>2.2726430898721013</v>
      </c>
      <c r="O947" s="302">
        <f t="shared" si="408"/>
        <v>10.884966815144466</v>
      </c>
    </row>
    <row r="948" spans="1:15" s="236" customFormat="1" x14ac:dyDescent="0.2">
      <c r="A948" s="237" t="str">
        <f>name!E$8</f>
        <v>Skilled trades occupations</v>
      </c>
      <c r="B948" s="302">
        <v>1.3103005898681437</v>
      </c>
      <c r="C948" s="302">
        <v>0.24706580743577025</v>
      </c>
      <c r="D948" s="302">
        <v>0.31293945944696999</v>
      </c>
      <c r="E948" s="302">
        <f t="shared" si="406"/>
        <v>1.8703058567508841</v>
      </c>
      <c r="F948" s="303"/>
      <c r="G948" s="302">
        <v>0.9899385713148533</v>
      </c>
      <c r="H948" s="302">
        <v>8.5016192981359012E-2</v>
      </c>
      <c r="I948" s="302">
        <v>0.28619316884748769</v>
      </c>
      <c r="J948" s="302">
        <f>SUM(G948:I948)</f>
        <v>1.3611479331437</v>
      </c>
      <c r="K948" s="303"/>
      <c r="L948" s="302">
        <v>1.2029923199223285</v>
      </c>
      <c r="M948" s="302">
        <v>0.14860302324459532</v>
      </c>
      <c r="N948" s="302">
        <v>0.48299182246806005</v>
      </c>
      <c r="O948" s="302">
        <f t="shared" si="408"/>
        <v>1.8345871656349839</v>
      </c>
    </row>
    <row r="949" spans="1:15" s="236" customFormat="1" x14ac:dyDescent="0.2">
      <c r="A949" s="237" t="str">
        <f>name!E$9</f>
        <v>Caring, leisure and other service occupations</v>
      </c>
      <c r="B949" s="302">
        <v>0.21964087124334136</v>
      </c>
      <c r="C949" s="302">
        <v>5.3155424495468069E-2</v>
      </c>
      <c r="D949" s="302">
        <v>0.15996091967951112</v>
      </c>
      <c r="E949" s="302">
        <f t="shared" si="406"/>
        <v>0.43275721541832057</v>
      </c>
      <c r="F949" s="303"/>
      <c r="G949" s="302">
        <v>0.18495650874124478</v>
      </c>
      <c r="H949" s="302">
        <v>3.2579646661324083E-2</v>
      </c>
      <c r="I949" s="302">
        <v>0.16482945548546094</v>
      </c>
      <c r="J949" s="302">
        <f t="shared" ref="J949:J952" si="409">SUM(G949:I949)</f>
        <v>0.38236561088802978</v>
      </c>
      <c r="K949" s="303"/>
      <c r="L949" s="302">
        <v>0.22063144812138874</v>
      </c>
      <c r="M949" s="302">
        <v>3.503538745685781E-2</v>
      </c>
      <c r="N949" s="302">
        <v>0.30173911953821925</v>
      </c>
      <c r="O949" s="302">
        <f t="shared" si="408"/>
        <v>0.55740595511646585</v>
      </c>
    </row>
    <row r="950" spans="1:15" s="236" customFormat="1" x14ac:dyDescent="0.2">
      <c r="A950" s="237" t="str">
        <f>name!E$10</f>
        <v>Sales and customer service occupations</v>
      </c>
      <c r="B950" s="302">
        <v>2.0449707358622611</v>
      </c>
      <c r="C950" s="302">
        <v>0.60136324184919798</v>
      </c>
      <c r="D950" s="302">
        <v>0.47363865105327491</v>
      </c>
      <c r="E950" s="302">
        <f t="shared" si="406"/>
        <v>3.1199726287647342</v>
      </c>
      <c r="F950" s="303"/>
      <c r="G950" s="302">
        <v>1.7465415406053844</v>
      </c>
      <c r="H950" s="302">
        <v>0.41793697065984847</v>
      </c>
      <c r="I950" s="302">
        <v>0.33916400057970247</v>
      </c>
      <c r="J950" s="302">
        <f t="shared" si="409"/>
        <v>2.503642511844935</v>
      </c>
      <c r="K950" s="303"/>
      <c r="L950" s="302">
        <v>1.8970487912317426</v>
      </c>
      <c r="M950" s="302">
        <v>0.51240178621861987</v>
      </c>
      <c r="N950" s="302">
        <v>0.38219198731843962</v>
      </c>
      <c r="O950" s="302">
        <f t="shared" si="408"/>
        <v>2.7916425647688023</v>
      </c>
    </row>
    <row r="951" spans="1:15" s="236" customFormat="1" x14ac:dyDescent="0.2">
      <c r="A951" s="237" t="str">
        <f>name!E$11</f>
        <v>Process, plant and machine operatives</v>
      </c>
      <c r="B951" s="302">
        <v>0.27687264781906301</v>
      </c>
      <c r="C951" s="302">
        <v>0.14833673707675279</v>
      </c>
      <c r="D951" s="302">
        <v>0.17345862324680661</v>
      </c>
      <c r="E951" s="302">
        <f t="shared" si="406"/>
        <v>0.59866800814262244</v>
      </c>
      <c r="F951" s="303"/>
      <c r="G951" s="302">
        <v>0.18835137018489773</v>
      </c>
      <c r="H951" s="302">
        <v>7.5319429506201047E-2</v>
      </c>
      <c r="I951" s="302">
        <v>0.18155026266095309</v>
      </c>
      <c r="J951" s="302">
        <f t="shared" si="409"/>
        <v>0.44522106235205183</v>
      </c>
      <c r="K951" s="303"/>
      <c r="L951" s="302">
        <v>0.21663275103393773</v>
      </c>
      <c r="M951" s="302">
        <v>0.12443918269181194</v>
      </c>
      <c r="N951" s="302">
        <v>0.46692939049388477</v>
      </c>
      <c r="O951" s="302">
        <f t="shared" si="408"/>
        <v>0.80800132421963444</v>
      </c>
    </row>
    <row r="952" spans="1:15" s="236" customFormat="1" x14ac:dyDescent="0.2">
      <c r="A952" s="237" t="str">
        <f>name!E$12</f>
        <v>Elementary occupations</v>
      </c>
      <c r="B952" s="302">
        <v>0.41038907446313039</v>
      </c>
      <c r="C952" s="302">
        <v>0.42004102401997495</v>
      </c>
      <c r="D952" s="302">
        <v>0.59729625817514198</v>
      </c>
      <c r="E952" s="302">
        <f t="shared" si="406"/>
        <v>1.4277263566582472</v>
      </c>
      <c r="F952" s="303"/>
      <c r="G952" s="302">
        <v>0.31220159584265333</v>
      </c>
      <c r="H952" s="302">
        <v>0.23912940619307371</v>
      </c>
      <c r="I952" s="302">
        <v>0.34525864794812178</v>
      </c>
      <c r="J952" s="302">
        <f t="shared" si="409"/>
        <v>0.89658964998384882</v>
      </c>
      <c r="K952" s="303"/>
      <c r="L952" s="302">
        <v>0.17037817509918562</v>
      </c>
      <c r="M952" s="302">
        <v>0.23880003480241557</v>
      </c>
      <c r="N952" s="302">
        <v>0.81801970012217673</v>
      </c>
      <c r="O952" s="302">
        <f t="shared" si="408"/>
        <v>1.227197910023778</v>
      </c>
    </row>
    <row r="953" spans="1:15" s="236" customFormat="1" x14ac:dyDescent="0.2">
      <c r="A953" s="237"/>
      <c r="B953" s="302"/>
      <c r="C953" s="302"/>
      <c r="D953" s="302"/>
      <c r="E953" s="302"/>
      <c r="F953" s="303"/>
      <c r="G953" s="302"/>
      <c r="H953" s="302"/>
      <c r="I953" s="302"/>
      <c r="J953" s="302"/>
      <c r="K953" s="303"/>
      <c r="L953" s="302"/>
      <c r="M953" s="302"/>
      <c r="N953" s="302"/>
      <c r="O953" s="302"/>
    </row>
    <row r="954" spans="1:15" s="236" customFormat="1" x14ac:dyDescent="0.2">
      <c r="A954" s="244" t="s">
        <v>32</v>
      </c>
      <c r="B954" s="311">
        <f>SUM(B944:B952)</f>
        <v>74.032999998095733</v>
      </c>
      <c r="C954" s="311">
        <f t="shared" ref="C954:E954" si="410">SUM(C944:C952)</f>
        <v>13.007999999860115</v>
      </c>
      <c r="D954" s="311">
        <f t="shared" si="410"/>
        <v>23.731000000017762</v>
      </c>
      <c r="E954" s="311">
        <f t="shared" si="410"/>
        <v>110.77199999797362</v>
      </c>
      <c r="F954" s="311"/>
      <c r="G954" s="311">
        <f t="shared" ref="G954:J954" si="411">SUM(G944:G952)</f>
        <v>79.5980000005287</v>
      </c>
      <c r="H954" s="311">
        <f t="shared" si="411"/>
        <v>10.593000000031795</v>
      </c>
      <c r="I954" s="311">
        <f t="shared" si="411"/>
        <v>22.642000000487268</v>
      </c>
      <c r="J954" s="311">
        <f t="shared" si="411"/>
        <v>112.83300000104774</v>
      </c>
      <c r="K954" s="311"/>
      <c r="L954" s="311">
        <f t="shared" ref="L954:O954" si="412">SUM(L944:L952)</f>
        <v>94.123000000979388</v>
      </c>
      <c r="M954" s="311">
        <f t="shared" si="412"/>
        <v>12.767000000047299</v>
      </c>
      <c r="N954" s="311">
        <f t="shared" si="412"/>
        <v>29.625000000993197</v>
      </c>
      <c r="O954" s="311">
        <f t="shared" si="412"/>
        <v>136.51500000201992</v>
      </c>
    </row>
    <row r="955" spans="1:15" s="236" customFormat="1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40"/>
    </row>
    <row r="956" spans="1:15" s="236" customFormat="1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40"/>
      <c r="O956" s="251" t="s">
        <v>35</v>
      </c>
    </row>
    <row r="957" spans="1:15" s="236" customFormat="1" x14ac:dyDescent="0.2">
      <c r="A957" s="242"/>
      <c r="B957" s="242"/>
      <c r="C957" s="242"/>
      <c r="D957" s="242"/>
      <c r="E957" s="242"/>
      <c r="F957" s="242"/>
      <c r="G957" s="242"/>
      <c r="H957" s="242"/>
      <c r="I957" s="242"/>
      <c r="J957" s="242"/>
      <c r="K957" s="242"/>
      <c r="L957" s="242"/>
      <c r="M957" s="242"/>
      <c r="N957" s="242"/>
      <c r="O957" s="242"/>
    </row>
    <row r="958" spans="1:15" s="236" customFormat="1" x14ac:dyDescent="0.2">
      <c r="A958" s="241" t="str">
        <f>name!A59</f>
        <v>Other professional</v>
      </c>
      <c r="B958" s="374">
        <f>$B$6</f>
        <v>2015</v>
      </c>
      <c r="C958" s="374"/>
      <c r="D958" s="374"/>
      <c r="E958" s="374"/>
      <c r="F958" s="263"/>
      <c r="G958" s="374">
        <f>$G$6</f>
        <v>2020</v>
      </c>
      <c r="H958" s="374"/>
      <c r="I958" s="374"/>
      <c r="J958" s="374"/>
      <c r="K958" s="263"/>
      <c r="L958" s="374">
        <f>$L$6</f>
        <v>2035</v>
      </c>
      <c r="M958" s="374"/>
      <c r="N958" s="374"/>
      <c r="O958" s="374"/>
    </row>
    <row r="959" spans="1:15" s="236" customFormat="1" x14ac:dyDescent="0.2">
      <c r="A959" s="254"/>
      <c r="B959" s="268" t="str">
        <f>$B$7</f>
        <v>FT</v>
      </c>
      <c r="C959" s="268" t="str">
        <f>$C$7</f>
        <v>PT</v>
      </c>
      <c r="D959" s="268" t="str">
        <f>$D$7</f>
        <v>SE</v>
      </c>
      <c r="E959" s="268" t="str">
        <f>$E$7</f>
        <v>Total</v>
      </c>
      <c r="F959" s="268"/>
      <c r="G959" s="268" t="str">
        <f>$G$7</f>
        <v>FT</v>
      </c>
      <c r="H959" s="268" t="str">
        <f>$H$7</f>
        <v>PT</v>
      </c>
      <c r="I959" s="268" t="str">
        <f>$I$7</f>
        <v>SE</v>
      </c>
      <c r="J959" s="268" t="str">
        <f>$J$7</f>
        <v>Total</v>
      </c>
      <c r="K959" s="268"/>
      <c r="L959" s="268" t="str">
        <f>$L$7</f>
        <v>FT</v>
      </c>
      <c r="M959" s="268" t="str">
        <f>$M$7</f>
        <v>PT</v>
      </c>
      <c r="N959" s="268" t="str">
        <f>$N$7</f>
        <v>SE</v>
      </c>
      <c r="O959" s="268" t="str">
        <f>$O$7</f>
        <v>Total</v>
      </c>
    </row>
    <row r="960" spans="1:15" s="236" customFormat="1" x14ac:dyDescent="0.2">
      <c r="A960" s="258"/>
      <c r="B960" s="239"/>
      <c r="C960" s="239"/>
      <c r="D960" s="239"/>
      <c r="E960" s="239"/>
      <c r="F960" s="239"/>
      <c r="G960" s="239"/>
      <c r="H960" s="239"/>
      <c r="I960" s="239"/>
      <c r="J960" s="239"/>
      <c r="K960" s="239"/>
      <c r="L960" s="239"/>
      <c r="M960" s="239"/>
      <c r="N960" s="239"/>
      <c r="O960" s="239"/>
    </row>
    <row r="961" spans="1:15" s="236" customFormat="1" x14ac:dyDescent="0.2">
      <c r="A961" s="237" t="str">
        <f>name!E$4</f>
        <v>Managers, directors and senior officials</v>
      </c>
      <c r="B961" s="302">
        <v>4.4510999923843988</v>
      </c>
      <c r="C961" s="302">
        <v>0.49686139237886801</v>
      </c>
      <c r="D961" s="302">
        <v>1.2318373424771152</v>
      </c>
      <c r="E961" s="302">
        <f>SUM(B961:D961)</f>
        <v>6.1797987272403816</v>
      </c>
      <c r="F961" s="303"/>
      <c r="G961" s="302">
        <v>4.7341876841122597</v>
      </c>
      <c r="H961" s="302">
        <v>0.76473082279216786</v>
      </c>
      <c r="I961" s="302">
        <v>1.7008087241935872</v>
      </c>
      <c r="J961" s="302">
        <f>SUM(G961:I961)</f>
        <v>7.1997272310980147</v>
      </c>
      <c r="K961" s="303"/>
      <c r="L961" s="302">
        <v>5.355905710172908</v>
      </c>
      <c r="M961" s="302">
        <v>1.0422375354892313</v>
      </c>
      <c r="N961" s="302">
        <v>2.2540863975963679</v>
      </c>
      <c r="O961" s="302">
        <f>SUM(L961:N961)</f>
        <v>8.6522296432585062</v>
      </c>
    </row>
    <row r="962" spans="1:15" s="236" customFormat="1" x14ac:dyDescent="0.2">
      <c r="A962" s="237" t="str">
        <f>name!E$5</f>
        <v>Professional occupations</v>
      </c>
      <c r="B962" s="302">
        <v>11.953663299060823</v>
      </c>
      <c r="C962" s="302">
        <v>1.0576725366697324</v>
      </c>
      <c r="D962" s="302">
        <v>5.3827770811307856</v>
      </c>
      <c r="E962" s="302">
        <f t="shared" ref="E962:E969" si="413">SUM(B962:D962)</f>
        <v>18.394112916861342</v>
      </c>
      <c r="F962" s="303"/>
      <c r="G962" s="302">
        <v>15.013987177263461</v>
      </c>
      <c r="H962" s="302">
        <v>1.6899614980850539</v>
      </c>
      <c r="I962" s="302">
        <v>6.1793024260286007</v>
      </c>
      <c r="J962" s="302">
        <f t="shared" ref="J962:J964" si="414">SUM(G962:I962)</f>
        <v>22.883251101377112</v>
      </c>
      <c r="K962" s="303"/>
      <c r="L962" s="302">
        <v>19.783297493844742</v>
      </c>
      <c r="M962" s="302">
        <v>2.3590905920025325</v>
      </c>
      <c r="N962" s="302">
        <v>7.9574370397161678</v>
      </c>
      <c r="O962" s="302">
        <f t="shared" ref="O962:O969" si="415">SUM(L962:N962)</f>
        <v>30.099825125563441</v>
      </c>
    </row>
    <row r="963" spans="1:15" s="236" customFormat="1" x14ac:dyDescent="0.2">
      <c r="A963" s="237" t="str">
        <f>name!E$6</f>
        <v>Associate professional occupations</v>
      </c>
      <c r="B963" s="302">
        <v>6.7184989209936656</v>
      </c>
      <c r="C963" s="302">
        <v>0.87472799488755926</v>
      </c>
      <c r="D963" s="302">
        <v>2.6730433413208177</v>
      </c>
      <c r="E963" s="302">
        <f t="shared" si="413"/>
        <v>10.266270257202041</v>
      </c>
      <c r="F963" s="303"/>
      <c r="G963" s="302">
        <v>7.3655304544710845</v>
      </c>
      <c r="H963" s="302">
        <v>1.1792869350602253</v>
      </c>
      <c r="I963" s="302">
        <v>2.9689495189088122</v>
      </c>
      <c r="J963" s="302">
        <f t="shared" si="414"/>
        <v>11.513766908440122</v>
      </c>
      <c r="K963" s="303"/>
      <c r="L963" s="302">
        <v>7.9736838106126395</v>
      </c>
      <c r="M963" s="302">
        <v>1.5006002602274062</v>
      </c>
      <c r="N963" s="302">
        <v>3.2866360417409606</v>
      </c>
      <c r="O963" s="302">
        <f t="shared" si="415"/>
        <v>12.760920112581006</v>
      </c>
    </row>
    <row r="964" spans="1:15" s="236" customFormat="1" x14ac:dyDescent="0.2">
      <c r="A964" s="237" t="str">
        <f>name!E$7</f>
        <v>Administrative and secretarial occupations</v>
      </c>
      <c r="B964" s="302">
        <v>2.3611479476756556</v>
      </c>
      <c r="C964" s="302">
        <v>1.0498614425516608</v>
      </c>
      <c r="D964" s="302">
        <v>0.59500891230484021</v>
      </c>
      <c r="E964" s="302">
        <f t="shared" si="413"/>
        <v>4.0060183025321567</v>
      </c>
      <c r="F964" s="303"/>
      <c r="G964" s="302">
        <v>2.2959893898996637</v>
      </c>
      <c r="H964" s="302">
        <v>1.3251369342348975</v>
      </c>
      <c r="I964" s="302">
        <v>0.70280072676064054</v>
      </c>
      <c r="J964" s="302">
        <f t="shared" si="414"/>
        <v>4.3239270508952021</v>
      </c>
      <c r="K964" s="303"/>
      <c r="L964" s="302">
        <v>1.8962981065374069</v>
      </c>
      <c r="M964" s="302">
        <v>1.2875050760932198</v>
      </c>
      <c r="N964" s="302">
        <v>0.88980828887122931</v>
      </c>
      <c r="O964" s="302">
        <f t="shared" si="415"/>
        <v>4.0736114715018559</v>
      </c>
    </row>
    <row r="965" spans="1:15" s="236" customFormat="1" x14ac:dyDescent="0.2">
      <c r="A965" s="237" t="str">
        <f>name!E$8</f>
        <v>Skilled trades occupations</v>
      </c>
      <c r="B965" s="302">
        <v>0.74306418521874884</v>
      </c>
      <c r="C965" s="302">
        <v>0.11512545943383207</v>
      </c>
      <c r="D965" s="302">
        <v>0.21325665159430879</v>
      </c>
      <c r="E965" s="302">
        <f t="shared" si="413"/>
        <v>1.0714462962468898</v>
      </c>
      <c r="F965" s="303"/>
      <c r="G965" s="302">
        <v>0.57614178413181327</v>
      </c>
      <c r="H965" s="302">
        <v>7.1918820593958474E-2</v>
      </c>
      <c r="I965" s="302">
        <v>0.19020171579190678</v>
      </c>
      <c r="J965" s="302">
        <f>SUM(G965:I965)</f>
        <v>0.83826232051767857</v>
      </c>
      <c r="K965" s="303"/>
      <c r="L965" s="302">
        <v>0.54786713354606698</v>
      </c>
      <c r="M965" s="302">
        <v>0.11733287360003609</v>
      </c>
      <c r="N965" s="302">
        <v>0.18750706749079535</v>
      </c>
      <c r="O965" s="302">
        <f t="shared" si="415"/>
        <v>0.85270707463689843</v>
      </c>
    </row>
    <row r="966" spans="1:15" s="236" customFormat="1" x14ac:dyDescent="0.2">
      <c r="A966" s="237" t="str">
        <f>name!E$9</f>
        <v>Caring, leisure and other service occupations</v>
      </c>
      <c r="B966" s="302">
        <v>0.25990858363198094</v>
      </c>
      <c r="C966" s="302">
        <v>0.24943780233956805</v>
      </c>
      <c r="D966" s="302">
        <v>0.31304397261459288</v>
      </c>
      <c r="E966" s="302">
        <f t="shared" si="413"/>
        <v>0.82239035858614185</v>
      </c>
      <c r="F966" s="303"/>
      <c r="G966" s="302">
        <v>0.25290694886907839</v>
      </c>
      <c r="H966" s="302">
        <v>0.34096070516142901</v>
      </c>
      <c r="I966" s="302">
        <v>0.34751729847552293</v>
      </c>
      <c r="J966" s="302">
        <f t="shared" ref="J966:J969" si="416">SUM(G966:I966)</f>
        <v>0.94138495250603038</v>
      </c>
      <c r="K966" s="303"/>
      <c r="L966" s="302">
        <v>0.28145014180086947</v>
      </c>
      <c r="M966" s="302">
        <v>0.51349849410508286</v>
      </c>
      <c r="N966" s="302">
        <v>0.33886443968014612</v>
      </c>
      <c r="O966" s="302">
        <f t="shared" si="415"/>
        <v>1.1338130755860985</v>
      </c>
    </row>
    <row r="967" spans="1:15" s="236" customFormat="1" x14ac:dyDescent="0.2">
      <c r="A967" s="237" t="str">
        <f>name!E$10</f>
        <v>Sales and customer service occupations</v>
      </c>
      <c r="B967" s="302">
        <v>0.82314989979386999</v>
      </c>
      <c r="C967" s="302">
        <v>0.26339901452262976</v>
      </c>
      <c r="D967" s="302">
        <v>0.19816059854203374</v>
      </c>
      <c r="E967" s="302">
        <f t="shared" si="413"/>
        <v>1.2847095128585335</v>
      </c>
      <c r="F967" s="303"/>
      <c r="G967" s="302">
        <v>0.75273777864174762</v>
      </c>
      <c r="H967" s="302">
        <v>0.33572384545114609</v>
      </c>
      <c r="I967" s="302">
        <v>0.17441182889816872</v>
      </c>
      <c r="J967" s="302">
        <f t="shared" si="416"/>
        <v>1.2628734529910624</v>
      </c>
      <c r="K967" s="303"/>
      <c r="L967" s="302">
        <v>0.84306255054616941</v>
      </c>
      <c r="M967" s="302">
        <v>0.52676019908931704</v>
      </c>
      <c r="N967" s="302">
        <v>0.19507901686342841</v>
      </c>
      <c r="O967" s="302">
        <f t="shared" si="415"/>
        <v>1.5649017664989149</v>
      </c>
    </row>
    <row r="968" spans="1:15" s="236" customFormat="1" x14ac:dyDescent="0.2">
      <c r="A968" s="237" t="str">
        <f>name!E$11</f>
        <v>Process, plant and machine operatives</v>
      </c>
      <c r="B968" s="302">
        <v>0.20450666279089666</v>
      </c>
      <c r="C968" s="302">
        <v>0.12691010255425719</v>
      </c>
      <c r="D968" s="302">
        <v>7.3804637334471818E-2</v>
      </c>
      <c r="E968" s="302">
        <f t="shared" si="413"/>
        <v>0.4052214026796257</v>
      </c>
      <c r="F968" s="303"/>
      <c r="G968" s="302">
        <v>0.15201193939224975</v>
      </c>
      <c r="H968" s="302">
        <v>0.12379993810311024</v>
      </c>
      <c r="I968" s="302">
        <v>9.3521783973436773E-2</v>
      </c>
      <c r="J968" s="302">
        <f t="shared" si="416"/>
        <v>0.36933366146879676</v>
      </c>
      <c r="K968" s="303"/>
      <c r="L968" s="302">
        <v>0.1509067072215815</v>
      </c>
      <c r="M968" s="302">
        <v>0.19438021429028093</v>
      </c>
      <c r="N968" s="302">
        <v>0.20060042676142917</v>
      </c>
      <c r="O968" s="302">
        <f t="shared" si="415"/>
        <v>0.54588734827329166</v>
      </c>
    </row>
    <row r="969" spans="1:15" s="236" customFormat="1" x14ac:dyDescent="0.2">
      <c r="A969" s="237" t="str">
        <f>name!E$12</f>
        <v>Elementary occupations</v>
      </c>
      <c r="B969" s="302">
        <v>1.3479605077550025</v>
      </c>
      <c r="C969" s="302">
        <v>1.142004254666855</v>
      </c>
      <c r="D969" s="302">
        <v>2.3580674628054257</v>
      </c>
      <c r="E969" s="302">
        <f t="shared" si="413"/>
        <v>4.8480322252272838</v>
      </c>
      <c r="F969" s="303"/>
      <c r="G969" s="302">
        <v>1.0635068435120443</v>
      </c>
      <c r="H969" s="302">
        <v>1.2664805004993995</v>
      </c>
      <c r="I969" s="302">
        <v>1.8994859772465145</v>
      </c>
      <c r="J969" s="302">
        <f t="shared" si="416"/>
        <v>4.2294733212579585</v>
      </c>
      <c r="K969" s="303"/>
      <c r="L969" s="302">
        <v>0.8115283462502364</v>
      </c>
      <c r="M969" s="302">
        <v>1.1135947550794127</v>
      </c>
      <c r="N969" s="302">
        <v>3.2129812819640406</v>
      </c>
      <c r="O969" s="302">
        <f t="shared" si="415"/>
        <v>5.1381043832936903</v>
      </c>
    </row>
    <row r="970" spans="1:15" s="236" customFormat="1" x14ac:dyDescent="0.2">
      <c r="A970" s="237"/>
      <c r="B970" s="302"/>
      <c r="C970" s="302"/>
      <c r="D970" s="302"/>
      <c r="E970" s="302"/>
      <c r="F970" s="303"/>
      <c r="G970" s="302"/>
      <c r="H970" s="302"/>
      <c r="I970" s="302"/>
      <c r="J970" s="302"/>
      <c r="K970" s="303"/>
      <c r="L970" s="302"/>
      <c r="M970" s="302"/>
      <c r="N970" s="302"/>
      <c r="O970" s="302"/>
    </row>
    <row r="971" spans="1:15" s="236" customFormat="1" x14ac:dyDescent="0.2">
      <c r="A971" s="244" t="s">
        <v>32</v>
      </c>
      <c r="B971" s="311">
        <f>SUM(B961:B969)</f>
        <v>28.862999999305039</v>
      </c>
      <c r="C971" s="311">
        <f t="shared" ref="C971:E971" si="417">SUM(C961:C969)</f>
        <v>5.3760000000049626</v>
      </c>
      <c r="D971" s="311">
        <f t="shared" si="417"/>
        <v>13.039000000124391</v>
      </c>
      <c r="E971" s="311">
        <f t="shared" si="417"/>
        <v>47.2779999994344</v>
      </c>
      <c r="F971" s="311"/>
      <c r="G971" s="311">
        <f t="shared" ref="G971:J971" si="418">SUM(G961:G969)</f>
        <v>32.207000000293398</v>
      </c>
      <c r="H971" s="311">
        <f t="shared" si="418"/>
        <v>7.0979999999813881</v>
      </c>
      <c r="I971" s="311">
        <f t="shared" si="418"/>
        <v>14.257000000277191</v>
      </c>
      <c r="J971" s="311">
        <f t="shared" si="418"/>
        <v>53.562000000551969</v>
      </c>
      <c r="K971" s="311"/>
      <c r="L971" s="311">
        <f t="shared" ref="L971:O971" si="419">SUM(L961:L969)</f>
        <v>37.644000000532621</v>
      </c>
      <c r="M971" s="311">
        <f t="shared" si="419"/>
        <v>8.6549999999765195</v>
      </c>
      <c r="N971" s="311">
        <f t="shared" si="419"/>
        <v>18.523000000684565</v>
      </c>
      <c r="O971" s="311">
        <f t="shared" si="419"/>
        <v>64.8220000011937</v>
      </c>
    </row>
    <row r="972" spans="1:15" s="236" customFormat="1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40"/>
    </row>
    <row r="973" spans="1:15" s="236" customFormat="1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40"/>
      <c r="O973" s="251" t="s">
        <v>35</v>
      </c>
    </row>
    <row r="974" spans="1:15" s="236" customFormat="1" x14ac:dyDescent="0.2">
      <c r="A974" s="242"/>
      <c r="B974" s="242"/>
      <c r="C974" s="242"/>
      <c r="D974" s="242"/>
      <c r="E974" s="242"/>
      <c r="F974" s="242"/>
      <c r="G974" s="242"/>
      <c r="H974" s="242"/>
      <c r="I974" s="242"/>
      <c r="J974" s="242"/>
      <c r="K974" s="242"/>
      <c r="L974" s="242"/>
      <c r="M974" s="242"/>
      <c r="N974" s="242"/>
      <c r="O974" s="242"/>
    </row>
    <row r="975" spans="1:15" s="236" customFormat="1" x14ac:dyDescent="0.2">
      <c r="A975" s="241" t="str">
        <f>name!A60</f>
        <v>Veterinary</v>
      </c>
      <c r="B975" s="374">
        <f>$B$6</f>
        <v>2015</v>
      </c>
      <c r="C975" s="374"/>
      <c r="D975" s="374"/>
      <c r="E975" s="374"/>
      <c r="F975" s="263"/>
      <c r="G975" s="374">
        <f>$G$6</f>
        <v>2020</v>
      </c>
      <c r="H975" s="374"/>
      <c r="I975" s="374"/>
      <c r="J975" s="374"/>
      <c r="K975" s="263"/>
      <c r="L975" s="374">
        <f>$L$6</f>
        <v>2035</v>
      </c>
      <c r="M975" s="374"/>
      <c r="N975" s="374"/>
      <c r="O975" s="374"/>
    </row>
    <row r="976" spans="1:15" s="236" customFormat="1" x14ac:dyDescent="0.2">
      <c r="A976" s="254"/>
      <c r="B976" s="268" t="str">
        <f>$B$7</f>
        <v>FT</v>
      </c>
      <c r="C976" s="268" t="str">
        <f>$C$7</f>
        <v>PT</v>
      </c>
      <c r="D976" s="268" t="str">
        <f>$D$7</f>
        <v>SE</v>
      </c>
      <c r="E976" s="268" t="str">
        <f>$E$7</f>
        <v>Total</v>
      </c>
      <c r="F976" s="268"/>
      <c r="G976" s="268" t="str">
        <f>$G$7</f>
        <v>FT</v>
      </c>
      <c r="H976" s="268" t="str">
        <f>$H$7</f>
        <v>PT</v>
      </c>
      <c r="I976" s="268" t="str">
        <f>$I$7</f>
        <v>SE</v>
      </c>
      <c r="J976" s="268" t="str">
        <f>$J$7</f>
        <v>Total</v>
      </c>
      <c r="K976" s="268"/>
      <c r="L976" s="268" t="str">
        <f>$L$7</f>
        <v>FT</v>
      </c>
      <c r="M976" s="268" t="str">
        <f>$M$7</f>
        <v>PT</v>
      </c>
      <c r="N976" s="268" t="str">
        <f>$N$7</f>
        <v>SE</v>
      </c>
      <c r="O976" s="268" t="str">
        <f>$O$7</f>
        <v>Total</v>
      </c>
    </row>
    <row r="977" spans="1:15" s="236" customFormat="1" x14ac:dyDescent="0.2">
      <c r="A977" s="258"/>
      <c r="B977" s="239"/>
      <c r="C977" s="239"/>
      <c r="D977" s="239"/>
      <c r="E977" s="239"/>
      <c r="F977" s="239"/>
      <c r="G977" s="239"/>
      <c r="H977" s="239"/>
      <c r="I977" s="239"/>
      <c r="J977" s="239"/>
      <c r="K977" s="239"/>
      <c r="L977" s="239"/>
      <c r="M977" s="239"/>
      <c r="N977" s="239"/>
      <c r="O977" s="239"/>
    </row>
    <row r="978" spans="1:15" s="236" customFormat="1" x14ac:dyDescent="0.2">
      <c r="A978" s="237" t="str">
        <f>name!E$4</f>
        <v>Managers, directors and senior officials</v>
      </c>
      <c r="B978" s="302">
        <v>0.21768332665640328</v>
      </c>
      <c r="C978" s="302">
        <v>1.9567913731072129E-2</v>
      </c>
      <c r="D978" s="302">
        <v>3.9977302693716417E-2</v>
      </c>
      <c r="E978" s="302">
        <f>SUM(B978:D978)</f>
        <v>0.27722854308119182</v>
      </c>
      <c r="F978" s="303"/>
      <c r="G978" s="302">
        <v>0.13320958929614174</v>
      </c>
      <c r="H978" s="302">
        <v>2.7403866927642299E-2</v>
      </c>
      <c r="I978" s="302">
        <v>3.1795524853487946E-2</v>
      </c>
      <c r="J978" s="302">
        <f>SUM(G978:I978)</f>
        <v>0.19240898107727197</v>
      </c>
      <c r="K978" s="303"/>
      <c r="L978" s="302">
        <v>0.1428750978907774</v>
      </c>
      <c r="M978" s="302">
        <v>3.0180088053465528E-2</v>
      </c>
      <c r="N978" s="302">
        <v>4.397060040131355E-2</v>
      </c>
      <c r="O978" s="302">
        <f>SUM(L978:N978)</f>
        <v>0.21702578634555647</v>
      </c>
    </row>
    <row r="979" spans="1:15" s="236" customFormat="1" x14ac:dyDescent="0.2">
      <c r="A979" s="237" t="str">
        <f>name!E$5</f>
        <v>Professional occupations</v>
      </c>
      <c r="B979" s="302">
        <v>1.4230811615037167</v>
      </c>
      <c r="C979" s="302">
        <v>0.25097383615619501</v>
      </c>
      <c r="D979" s="302">
        <v>0.38462512986905439</v>
      </c>
      <c r="E979" s="302">
        <f t="shared" ref="E979:E986" si="420">SUM(B979:D979)</f>
        <v>2.0586801275289659</v>
      </c>
      <c r="F979" s="303"/>
      <c r="G979" s="302">
        <v>0.96979977513986537</v>
      </c>
      <c r="H979" s="302">
        <v>0.33740696016289412</v>
      </c>
      <c r="I979" s="302">
        <v>0.30501624465826543</v>
      </c>
      <c r="J979" s="302">
        <f t="shared" ref="J979:J981" si="421">SUM(G979:I979)</f>
        <v>1.6122229799610248</v>
      </c>
      <c r="K979" s="303"/>
      <c r="L979" s="302">
        <v>1.1311118483871918</v>
      </c>
      <c r="M979" s="302">
        <v>0.45520388109576188</v>
      </c>
      <c r="N979" s="302">
        <v>0.43242468335479517</v>
      </c>
      <c r="O979" s="302">
        <f t="shared" ref="O979:O986" si="422">SUM(L979:N979)</f>
        <v>2.0187404128377491</v>
      </c>
    </row>
    <row r="980" spans="1:15" s="236" customFormat="1" x14ac:dyDescent="0.2">
      <c r="A980" s="237" t="str">
        <f>name!E$6</f>
        <v>Associate professional occupations</v>
      </c>
      <c r="B980" s="302">
        <v>0.57710191274031586</v>
      </c>
      <c r="C980" s="302">
        <v>0.11255114415483758</v>
      </c>
      <c r="D980" s="302">
        <v>0.17867512647255046</v>
      </c>
      <c r="E980" s="302">
        <f t="shared" si="420"/>
        <v>0.8683281833677039</v>
      </c>
      <c r="F980" s="303"/>
      <c r="G980" s="302">
        <v>0.36311953518010975</v>
      </c>
      <c r="H980" s="302">
        <v>0.1446964108652414</v>
      </c>
      <c r="I980" s="302">
        <v>0.10609604948091172</v>
      </c>
      <c r="J980" s="302">
        <f t="shared" si="421"/>
        <v>0.61391199552626285</v>
      </c>
      <c r="K980" s="303"/>
      <c r="L980" s="302">
        <v>0.40530236363814937</v>
      </c>
      <c r="M980" s="302">
        <v>0.17202724875328079</v>
      </c>
      <c r="N980" s="302">
        <v>0.14779557740727575</v>
      </c>
      <c r="O980" s="302">
        <f t="shared" si="422"/>
        <v>0.72512518979870599</v>
      </c>
    </row>
    <row r="981" spans="1:15" s="236" customFormat="1" x14ac:dyDescent="0.2">
      <c r="A981" s="237" t="str">
        <f>name!E$7</f>
        <v>Administrative and secretarial occupations</v>
      </c>
      <c r="B981" s="302">
        <v>0.2735547860777815</v>
      </c>
      <c r="C981" s="302">
        <v>3.0758960145018208E-2</v>
      </c>
      <c r="D981" s="302">
        <v>4.1698851529768308E-2</v>
      </c>
      <c r="E981" s="302">
        <f t="shared" si="420"/>
        <v>0.34601259775256804</v>
      </c>
      <c r="F981" s="303"/>
      <c r="G981" s="302">
        <v>0.14811193355515195</v>
      </c>
      <c r="H981" s="302">
        <v>3.2786031517160336E-2</v>
      </c>
      <c r="I981" s="302">
        <v>1.818251633772151E-2</v>
      </c>
      <c r="J981" s="302">
        <f t="shared" si="421"/>
        <v>0.19908048141003379</v>
      </c>
      <c r="K981" s="303"/>
      <c r="L981" s="302">
        <v>0.14194288623901444</v>
      </c>
      <c r="M981" s="302">
        <v>2.3082994203712879E-2</v>
      </c>
      <c r="N981" s="302">
        <v>1.2411654289864802E-2</v>
      </c>
      <c r="O981" s="302">
        <f t="shared" si="422"/>
        <v>0.17743753473259211</v>
      </c>
    </row>
    <row r="982" spans="1:15" s="236" customFormat="1" x14ac:dyDescent="0.2">
      <c r="A982" s="237" t="str">
        <f>name!E$8</f>
        <v>Skilled trades occupations</v>
      </c>
      <c r="B982" s="302">
        <v>2.861282303728447E-2</v>
      </c>
      <c r="C982" s="302">
        <v>8.3762125136597216E-3</v>
      </c>
      <c r="D982" s="302">
        <v>5.3581186901505498E-3</v>
      </c>
      <c r="E982" s="302">
        <f t="shared" si="420"/>
        <v>4.2347154241094739E-2</v>
      </c>
      <c r="F982" s="303"/>
      <c r="G982" s="302">
        <v>1.1643675162048206E-2</v>
      </c>
      <c r="H982" s="302">
        <v>5.5108279797481848E-3</v>
      </c>
      <c r="I982" s="302">
        <v>3.7140981777449883E-3</v>
      </c>
      <c r="J982" s="302">
        <f>SUM(G982:I982)</f>
        <v>2.0868601319541377E-2</v>
      </c>
      <c r="K982" s="303"/>
      <c r="L982" s="302">
        <v>6.0912303126423577E-3</v>
      </c>
      <c r="M982" s="302">
        <v>3.4760984141868089E-3</v>
      </c>
      <c r="N982" s="302">
        <v>4.5875227324042867E-3</v>
      </c>
      <c r="O982" s="302">
        <f t="shared" si="422"/>
        <v>1.4154851459233453E-2</v>
      </c>
    </row>
    <row r="983" spans="1:15" s="236" customFormat="1" x14ac:dyDescent="0.2">
      <c r="A983" s="237" t="str">
        <f>name!E$9</f>
        <v>Caring, leisure and other service occupations</v>
      </c>
      <c r="B983" s="302">
        <v>1.1707750360809923</v>
      </c>
      <c r="C983" s="302">
        <v>0.23081123756011085</v>
      </c>
      <c r="D983" s="302">
        <v>0.52387337364933406</v>
      </c>
      <c r="E983" s="302">
        <f t="shared" si="420"/>
        <v>1.9254596472904373</v>
      </c>
      <c r="F983" s="303"/>
      <c r="G983" s="302">
        <v>0.65335314846875536</v>
      </c>
      <c r="H983" s="302">
        <v>0.25844108542893945</v>
      </c>
      <c r="I983" s="302">
        <v>0.34491416269793562</v>
      </c>
      <c r="J983" s="302">
        <f t="shared" ref="J983:J986" si="423">SUM(G983:I983)</f>
        <v>1.2567083965956303</v>
      </c>
      <c r="K983" s="303"/>
      <c r="L983" s="302">
        <v>0.87813585531243499</v>
      </c>
      <c r="M983" s="302">
        <v>0.30278298663377928</v>
      </c>
      <c r="N983" s="302">
        <v>0.45662756280900257</v>
      </c>
      <c r="O983" s="302">
        <f t="shared" si="422"/>
        <v>1.6375464047552168</v>
      </c>
    </row>
    <row r="984" spans="1:15" s="236" customFormat="1" x14ac:dyDescent="0.2">
      <c r="A984" s="237" t="str">
        <f>name!E$10</f>
        <v>Sales and customer service occupations</v>
      </c>
      <c r="B984" s="302">
        <v>4.1680493483813884E-2</v>
      </c>
      <c r="C984" s="302">
        <v>9.5796775496229235E-3</v>
      </c>
      <c r="D984" s="302">
        <v>1.035728240315833E-2</v>
      </c>
      <c r="E984" s="302">
        <f t="shared" si="420"/>
        <v>6.1617453436595138E-2</v>
      </c>
      <c r="F984" s="303"/>
      <c r="G984" s="302">
        <v>2.2344480881400515E-2</v>
      </c>
      <c r="H984" s="302">
        <v>1.0268744038222291E-2</v>
      </c>
      <c r="I984" s="302">
        <v>4.5380072558076617E-3</v>
      </c>
      <c r="J984" s="302">
        <f t="shared" si="423"/>
        <v>3.7151232175430468E-2</v>
      </c>
      <c r="K984" s="303"/>
      <c r="L984" s="302">
        <v>2.4522835643790118E-2</v>
      </c>
      <c r="M984" s="302">
        <v>1.1140729999824682E-2</v>
      </c>
      <c r="N984" s="302">
        <v>8.7768904897343909E-3</v>
      </c>
      <c r="O984" s="302">
        <f t="shared" si="422"/>
        <v>4.4440456133349196E-2</v>
      </c>
    </row>
    <row r="985" spans="1:15" s="236" customFormat="1" x14ac:dyDescent="0.2">
      <c r="A985" s="237" t="str">
        <f>name!E$11</f>
        <v>Process, plant and machine operatives</v>
      </c>
      <c r="B985" s="302">
        <v>7.4962315629179682E-3</v>
      </c>
      <c r="C985" s="302">
        <v>1.2059049189962806E-2</v>
      </c>
      <c r="D985" s="302">
        <v>2.1171506050973732E-3</v>
      </c>
      <c r="E985" s="302">
        <f t="shared" si="420"/>
        <v>2.1672431357978146E-2</v>
      </c>
      <c r="F985" s="303"/>
      <c r="G985" s="302">
        <v>2.9554307183008942E-3</v>
      </c>
      <c r="H985" s="302">
        <v>8.3647501528650789E-3</v>
      </c>
      <c r="I985" s="302">
        <v>1.6993652414341292E-3</v>
      </c>
      <c r="J985" s="302">
        <f t="shared" si="423"/>
        <v>1.3019546112600103E-2</v>
      </c>
      <c r="K985" s="303"/>
      <c r="L985" s="302">
        <v>2.1548354493495141E-3</v>
      </c>
      <c r="M985" s="302">
        <v>7.1282965149561421E-3</v>
      </c>
      <c r="N985" s="302">
        <v>1.2847638585078355E-3</v>
      </c>
      <c r="O985" s="302">
        <f t="shared" si="422"/>
        <v>1.0567895822813492E-2</v>
      </c>
    </row>
    <row r="986" spans="1:15" s="236" customFormat="1" x14ac:dyDescent="0.2">
      <c r="A986" s="237" t="str">
        <f>name!E$12</f>
        <v>Elementary occupations</v>
      </c>
      <c r="B986" s="302">
        <v>3.4014228813042641E-2</v>
      </c>
      <c r="C986" s="302">
        <v>4.5321968987268757E-2</v>
      </c>
      <c r="D986" s="302">
        <v>5.3176640067439879E-3</v>
      </c>
      <c r="E986" s="302">
        <f t="shared" si="420"/>
        <v>8.4653861807055392E-2</v>
      </c>
      <c r="F986" s="303"/>
      <c r="G986" s="302">
        <v>1.4462431618725281E-2</v>
      </c>
      <c r="H986" s="302">
        <v>3.2121322914927121E-2</v>
      </c>
      <c r="I986" s="302">
        <v>2.0440313647118002E-3</v>
      </c>
      <c r="J986" s="302">
        <f t="shared" si="423"/>
        <v>4.8627785898364202E-2</v>
      </c>
      <c r="K986" s="303"/>
      <c r="L986" s="302">
        <v>7.8630471453237354E-3</v>
      </c>
      <c r="M986" s="302">
        <v>2.6977676331753981E-2</v>
      </c>
      <c r="N986" s="302">
        <v>1.120744668849984E-3</v>
      </c>
      <c r="O986" s="302">
        <f t="shared" si="422"/>
        <v>3.5961468145927697E-2</v>
      </c>
    </row>
    <row r="987" spans="1:15" s="236" customFormat="1" x14ac:dyDescent="0.2">
      <c r="A987" s="237"/>
      <c r="B987" s="302"/>
      <c r="C987" s="302"/>
      <c r="D987" s="302"/>
      <c r="E987" s="302"/>
      <c r="F987" s="303"/>
      <c r="G987" s="302"/>
      <c r="H987" s="302"/>
      <c r="I987" s="302"/>
      <c r="J987" s="302"/>
      <c r="K987" s="303"/>
      <c r="L987" s="302"/>
      <c r="M987" s="302"/>
      <c r="N987" s="302"/>
      <c r="O987" s="302"/>
    </row>
    <row r="988" spans="1:15" s="236" customFormat="1" x14ac:dyDescent="0.2">
      <c r="A988" s="244" t="s">
        <v>32</v>
      </c>
      <c r="B988" s="311">
        <f>SUM(B978:B986)</f>
        <v>3.7739999999562683</v>
      </c>
      <c r="C988" s="311">
        <f t="shared" ref="C988:E988" si="424">SUM(C978:C986)</f>
        <v>0.719999999987748</v>
      </c>
      <c r="D988" s="311">
        <f t="shared" si="424"/>
        <v>1.1919999999195741</v>
      </c>
      <c r="E988" s="311">
        <f t="shared" si="424"/>
        <v>5.6859999998635908</v>
      </c>
      <c r="F988" s="311"/>
      <c r="G988" s="311">
        <f t="shared" ref="G988:J988" si="425">SUM(G978:G986)</f>
        <v>2.3190000000204991</v>
      </c>
      <c r="H988" s="311">
        <f t="shared" si="425"/>
        <v>0.8569999999876402</v>
      </c>
      <c r="I988" s="311">
        <f t="shared" si="425"/>
        <v>0.81800000006802076</v>
      </c>
      <c r="J988" s="311">
        <f t="shared" si="425"/>
        <v>3.9940000000761602</v>
      </c>
      <c r="K988" s="311"/>
      <c r="L988" s="311">
        <f t="shared" ref="L988:O988" si="426">SUM(L978:L986)</f>
        <v>2.7400000000186737</v>
      </c>
      <c r="M988" s="311">
        <f t="shared" si="426"/>
        <v>1.0320000000007219</v>
      </c>
      <c r="N988" s="311">
        <f t="shared" si="426"/>
        <v>1.1090000000117481</v>
      </c>
      <c r="O988" s="311">
        <f t="shared" si="426"/>
        <v>4.8810000000311442</v>
      </c>
    </row>
    <row r="989" spans="1:15" s="236" customFormat="1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40"/>
    </row>
    <row r="990" spans="1:15" s="236" customFormat="1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40"/>
      <c r="O990" s="251" t="s">
        <v>35</v>
      </c>
    </row>
    <row r="991" spans="1:15" s="236" customFormat="1" x14ac:dyDescent="0.2">
      <c r="A991" s="242"/>
      <c r="B991" s="242"/>
      <c r="C991" s="242"/>
      <c r="D991" s="242"/>
      <c r="E991" s="242"/>
      <c r="F991" s="242"/>
      <c r="G991" s="242"/>
      <c r="H991" s="242"/>
      <c r="I991" s="242"/>
      <c r="J991" s="242"/>
      <c r="K991" s="242"/>
      <c r="L991" s="242"/>
      <c r="M991" s="242"/>
      <c r="N991" s="242"/>
      <c r="O991" s="242"/>
    </row>
    <row r="992" spans="1:15" s="236" customFormat="1" x14ac:dyDescent="0.2">
      <c r="A992" s="241" t="str">
        <f>name!A61</f>
        <v>Rental and leasing</v>
      </c>
      <c r="B992" s="374">
        <f>$B$6</f>
        <v>2015</v>
      </c>
      <c r="C992" s="374"/>
      <c r="D992" s="374"/>
      <c r="E992" s="374"/>
      <c r="F992" s="263"/>
      <c r="G992" s="374">
        <f>$G$6</f>
        <v>2020</v>
      </c>
      <c r="H992" s="374"/>
      <c r="I992" s="374"/>
      <c r="J992" s="374"/>
      <c r="K992" s="263"/>
      <c r="L992" s="374">
        <f>$L$6</f>
        <v>2035</v>
      </c>
      <c r="M992" s="374"/>
      <c r="N992" s="374"/>
      <c r="O992" s="374"/>
    </row>
    <row r="993" spans="1:15" s="236" customFormat="1" x14ac:dyDescent="0.2">
      <c r="A993" s="254"/>
      <c r="B993" s="268" t="str">
        <f>$B$7</f>
        <v>FT</v>
      </c>
      <c r="C993" s="268" t="str">
        <f>$C$7</f>
        <v>PT</v>
      </c>
      <c r="D993" s="268" t="str">
        <f>$D$7</f>
        <v>SE</v>
      </c>
      <c r="E993" s="268" t="str">
        <f>$E$7</f>
        <v>Total</v>
      </c>
      <c r="F993" s="268"/>
      <c r="G993" s="268" t="str">
        <f>$G$7</f>
        <v>FT</v>
      </c>
      <c r="H993" s="268" t="str">
        <f>$H$7</f>
        <v>PT</v>
      </c>
      <c r="I993" s="268" t="str">
        <f>$I$7</f>
        <v>SE</v>
      </c>
      <c r="J993" s="268" t="str">
        <f>$J$7</f>
        <v>Total</v>
      </c>
      <c r="K993" s="268"/>
      <c r="L993" s="268" t="str">
        <f>$L$7</f>
        <v>FT</v>
      </c>
      <c r="M993" s="268" t="str">
        <f>$M$7</f>
        <v>PT</v>
      </c>
      <c r="N993" s="268" t="str">
        <f>$N$7</f>
        <v>SE</v>
      </c>
      <c r="O993" s="268" t="str">
        <f>$O$7</f>
        <v>Total</v>
      </c>
    </row>
    <row r="994" spans="1:15" s="236" customFormat="1" x14ac:dyDescent="0.2">
      <c r="A994" s="258"/>
      <c r="B994" s="239"/>
      <c r="C994" s="239"/>
      <c r="D994" s="239"/>
      <c r="E994" s="239"/>
      <c r="F994" s="239"/>
      <c r="G994" s="239"/>
      <c r="H994" s="239"/>
      <c r="I994" s="239"/>
      <c r="J994" s="239"/>
      <c r="K994" s="239"/>
      <c r="L994" s="239"/>
      <c r="M994" s="239"/>
      <c r="N994" s="239"/>
      <c r="O994" s="239"/>
    </row>
    <row r="995" spans="1:15" s="236" customFormat="1" x14ac:dyDescent="0.2">
      <c r="A995" s="237" t="str">
        <f>name!E$4</f>
        <v>Managers, directors and senior officials</v>
      </c>
      <c r="B995" s="302">
        <v>3.2121204287113976</v>
      </c>
      <c r="C995" s="302">
        <v>0.3149492611781009</v>
      </c>
      <c r="D995" s="302">
        <v>0.4230872471069842</v>
      </c>
      <c r="E995" s="302">
        <f>SUM(B995:D995)</f>
        <v>3.9501569369964828</v>
      </c>
      <c r="F995" s="303"/>
      <c r="G995" s="302">
        <v>4.7700204946459959</v>
      </c>
      <c r="H995" s="302">
        <v>0.46365550471323808</v>
      </c>
      <c r="I995" s="302">
        <v>0.56469342451644344</v>
      </c>
      <c r="J995" s="302">
        <f>SUM(G995:I995)</f>
        <v>5.7983694238756778</v>
      </c>
      <c r="K995" s="303"/>
      <c r="L995" s="302">
        <v>5.374425023683477</v>
      </c>
      <c r="M995" s="302">
        <v>0.55840128832276514</v>
      </c>
      <c r="N995" s="302">
        <v>0.67505361738953118</v>
      </c>
      <c r="O995" s="302">
        <f>SUM(L995:N995)</f>
        <v>6.6078799293957733</v>
      </c>
    </row>
    <row r="996" spans="1:15" s="236" customFormat="1" x14ac:dyDescent="0.2">
      <c r="A996" s="237" t="str">
        <f>name!E$5</f>
        <v>Professional occupations</v>
      </c>
      <c r="B996" s="302">
        <v>2.9037437496495553</v>
      </c>
      <c r="C996" s="302">
        <v>0.35884873601370021</v>
      </c>
      <c r="D996" s="302">
        <v>0.18968924059556372</v>
      </c>
      <c r="E996" s="302">
        <f t="shared" ref="E996:E1003" si="427">SUM(B996:D996)</f>
        <v>3.4522817262588195</v>
      </c>
      <c r="F996" s="303"/>
      <c r="G996" s="302">
        <v>4.859564969620993</v>
      </c>
      <c r="H996" s="302">
        <v>0.57609603114211427</v>
      </c>
      <c r="I996" s="302">
        <v>0.24444391494307127</v>
      </c>
      <c r="J996" s="302">
        <f t="shared" ref="J996:J998" si="428">SUM(G996:I996)</f>
        <v>5.6801049157061785</v>
      </c>
      <c r="K996" s="303"/>
      <c r="L996" s="302">
        <v>6.2200492639598055</v>
      </c>
      <c r="M996" s="302">
        <v>0.81807416936999156</v>
      </c>
      <c r="N996" s="302">
        <v>0.19663949821770382</v>
      </c>
      <c r="O996" s="302">
        <f t="shared" ref="O996:O1003" si="429">SUM(L996:N996)</f>
        <v>7.2347629315475013</v>
      </c>
    </row>
    <row r="997" spans="1:15" s="236" customFormat="1" x14ac:dyDescent="0.2">
      <c r="A997" s="237" t="str">
        <f>name!E$6</f>
        <v>Associate professional occupations</v>
      </c>
      <c r="B997" s="302">
        <v>2.0228733578271649</v>
      </c>
      <c r="C997" s="302">
        <v>0.50049346450757182</v>
      </c>
      <c r="D997" s="302">
        <v>0.20476921662838821</v>
      </c>
      <c r="E997" s="302">
        <f t="shared" si="427"/>
        <v>2.7281360389631248</v>
      </c>
      <c r="F997" s="303"/>
      <c r="G997" s="302">
        <v>3.1160502043584133</v>
      </c>
      <c r="H997" s="302">
        <v>0.63017902807882686</v>
      </c>
      <c r="I997" s="302">
        <v>0.22606734579119162</v>
      </c>
      <c r="J997" s="302">
        <f t="shared" si="428"/>
        <v>3.9722965782284319</v>
      </c>
      <c r="K997" s="303"/>
      <c r="L997" s="302">
        <v>3.2076262409718725</v>
      </c>
      <c r="M997" s="302">
        <v>0.6135218937232344</v>
      </c>
      <c r="N997" s="302">
        <v>0.20673176241238642</v>
      </c>
      <c r="O997" s="302">
        <f t="shared" si="429"/>
        <v>4.0278798971074936</v>
      </c>
    </row>
    <row r="998" spans="1:15" s="236" customFormat="1" x14ac:dyDescent="0.2">
      <c r="A998" s="237" t="str">
        <f>name!E$7</f>
        <v>Administrative and secretarial occupations</v>
      </c>
      <c r="B998" s="302">
        <v>0.91040957379479437</v>
      </c>
      <c r="C998" s="302">
        <v>0.52597652564559305</v>
      </c>
      <c r="D998" s="302">
        <v>6.4250094708785094E-2</v>
      </c>
      <c r="E998" s="302">
        <f t="shared" si="427"/>
        <v>1.5006361941491726</v>
      </c>
      <c r="F998" s="303"/>
      <c r="G998" s="302">
        <v>1.2926342714673877</v>
      </c>
      <c r="H998" s="302">
        <v>0.55753036628225161</v>
      </c>
      <c r="I998" s="302">
        <v>6.8292319165270662E-2</v>
      </c>
      <c r="J998" s="302">
        <f t="shared" si="428"/>
        <v>1.9184569569149099</v>
      </c>
      <c r="K998" s="303"/>
      <c r="L998" s="302">
        <v>1.2932683898949062</v>
      </c>
      <c r="M998" s="302">
        <v>0.4387210322332355</v>
      </c>
      <c r="N998" s="302">
        <v>6.0216528245890466E-2</v>
      </c>
      <c r="O998" s="302">
        <f t="shared" si="429"/>
        <v>1.7922059503740322</v>
      </c>
    </row>
    <row r="999" spans="1:15" s="236" customFormat="1" x14ac:dyDescent="0.2">
      <c r="A999" s="237" t="str">
        <f>name!E$8</f>
        <v>Skilled trades occupations</v>
      </c>
      <c r="B999" s="302">
        <v>1.3200493847239698</v>
      </c>
      <c r="C999" s="302">
        <v>0.1740775412262818</v>
      </c>
      <c r="D999" s="302">
        <v>0.11779320787667072</v>
      </c>
      <c r="E999" s="302">
        <f t="shared" si="427"/>
        <v>1.6119201338269225</v>
      </c>
      <c r="F999" s="303"/>
      <c r="G999" s="302">
        <v>1.4148484588885191</v>
      </c>
      <c r="H999" s="302">
        <v>0.10668879340512299</v>
      </c>
      <c r="I999" s="302">
        <v>0.14062105248678697</v>
      </c>
      <c r="J999" s="302">
        <f>SUM(G999:I999)</f>
        <v>1.6621583047804291</v>
      </c>
      <c r="K999" s="303"/>
      <c r="L999" s="302">
        <v>1.1268844228906483</v>
      </c>
      <c r="M999" s="302">
        <v>0.13557495129199243</v>
      </c>
      <c r="N999" s="302">
        <v>0.17394838519968017</v>
      </c>
      <c r="O999" s="302">
        <f t="shared" si="429"/>
        <v>1.4364077593823208</v>
      </c>
    </row>
    <row r="1000" spans="1:15" s="236" customFormat="1" x14ac:dyDescent="0.2">
      <c r="A1000" s="237" t="str">
        <f>name!E$9</f>
        <v>Caring, leisure and other service occupations</v>
      </c>
      <c r="B1000" s="302">
        <v>0.35462066633125339</v>
      </c>
      <c r="C1000" s="302">
        <v>0.17582297054282425</v>
      </c>
      <c r="D1000" s="302">
        <v>8.1720430287122531E-2</v>
      </c>
      <c r="E1000" s="302">
        <f t="shared" si="427"/>
        <v>0.6121640671612002</v>
      </c>
      <c r="F1000" s="303"/>
      <c r="G1000" s="302">
        <v>0.47187656598915512</v>
      </c>
      <c r="H1000" s="302">
        <v>0.19830776815253073</v>
      </c>
      <c r="I1000" s="302">
        <v>0.1012021631151286</v>
      </c>
      <c r="J1000" s="302">
        <f t="shared" ref="J1000:J1003" si="430">SUM(G1000:I1000)</f>
        <v>0.77138649725681452</v>
      </c>
      <c r="K1000" s="303"/>
      <c r="L1000" s="302">
        <v>0.68517949006781909</v>
      </c>
      <c r="M1000" s="302">
        <v>0.22225509988432354</v>
      </c>
      <c r="N1000" s="302">
        <v>0.13539377218341747</v>
      </c>
      <c r="O1000" s="302">
        <f t="shared" si="429"/>
        <v>1.0428283621355601</v>
      </c>
    </row>
    <row r="1001" spans="1:15" s="236" customFormat="1" x14ac:dyDescent="0.2">
      <c r="A1001" s="237" t="str">
        <f>name!E$10</f>
        <v>Sales and customer service occupations</v>
      </c>
      <c r="B1001" s="302">
        <v>0.6028984356312902</v>
      </c>
      <c r="C1001" s="302">
        <v>0.62211253242542963</v>
      </c>
      <c r="D1001" s="302">
        <v>0.14695313398517373</v>
      </c>
      <c r="E1001" s="302">
        <f t="shared" si="427"/>
        <v>1.3719641020418936</v>
      </c>
      <c r="F1001" s="303"/>
      <c r="G1001" s="302">
        <v>0.76404565630118693</v>
      </c>
      <c r="H1001" s="302">
        <v>0.61032403288315207</v>
      </c>
      <c r="I1001" s="302">
        <v>0.14080078076829877</v>
      </c>
      <c r="J1001" s="302">
        <f t="shared" si="430"/>
        <v>1.5151704699526378</v>
      </c>
      <c r="K1001" s="303"/>
      <c r="L1001" s="302">
        <v>0.84589504889283351</v>
      </c>
      <c r="M1001" s="302">
        <v>0.64455393591311239</v>
      </c>
      <c r="N1001" s="302">
        <v>0.1075903848029925</v>
      </c>
      <c r="O1001" s="302">
        <f t="shared" si="429"/>
        <v>1.5980393696089383</v>
      </c>
    </row>
    <row r="1002" spans="1:15" s="236" customFormat="1" x14ac:dyDescent="0.2">
      <c r="A1002" s="237" t="str">
        <f>name!E$11</f>
        <v>Process, plant and machine operatives</v>
      </c>
      <c r="B1002" s="302">
        <v>0.38277499501584361</v>
      </c>
      <c r="C1002" s="302">
        <v>1.1446949332441356</v>
      </c>
      <c r="D1002" s="302">
        <v>3.8663461840723064E-2</v>
      </c>
      <c r="E1002" s="302">
        <f t="shared" si="427"/>
        <v>1.5661333901007024</v>
      </c>
      <c r="F1002" s="303"/>
      <c r="G1002" s="302">
        <v>0.41466373047661442</v>
      </c>
      <c r="H1002" s="302">
        <v>1.1885380992751089</v>
      </c>
      <c r="I1002" s="302">
        <v>6.4410871120009108E-2</v>
      </c>
      <c r="J1002" s="302">
        <f t="shared" si="430"/>
        <v>1.6676127008717323</v>
      </c>
      <c r="K1002" s="303"/>
      <c r="L1002" s="302">
        <v>0.30635502419057026</v>
      </c>
      <c r="M1002" s="302">
        <v>1.3187616398261668</v>
      </c>
      <c r="N1002" s="302">
        <v>4.7675865862378618E-2</v>
      </c>
      <c r="O1002" s="302">
        <f t="shared" si="429"/>
        <v>1.6727925298791155</v>
      </c>
    </row>
    <row r="1003" spans="1:15" s="236" customFormat="1" x14ac:dyDescent="0.2">
      <c r="A1003" s="237" t="str">
        <f>name!E$12</f>
        <v>Elementary occupations</v>
      </c>
      <c r="B1003" s="302">
        <v>8.3509408299429377E-2</v>
      </c>
      <c r="C1003" s="302">
        <v>0.15502403528589409</v>
      </c>
      <c r="D1003" s="302">
        <v>0.19407396699611654</v>
      </c>
      <c r="E1003" s="302">
        <f t="shared" si="427"/>
        <v>0.43260741058144003</v>
      </c>
      <c r="F1003" s="303"/>
      <c r="G1003" s="302">
        <v>9.2295648233148106E-2</v>
      </c>
      <c r="H1003" s="302">
        <v>0.12268037605040702</v>
      </c>
      <c r="I1003" s="302">
        <v>0.16246812810456546</v>
      </c>
      <c r="J1003" s="302">
        <f t="shared" si="430"/>
        <v>0.37744415238812057</v>
      </c>
      <c r="K1003" s="303"/>
      <c r="L1003" s="302">
        <v>9.9317095512764117E-2</v>
      </c>
      <c r="M1003" s="302">
        <v>5.2135989430297021E-2</v>
      </c>
      <c r="N1003" s="302">
        <v>0.27175018571064852</v>
      </c>
      <c r="O1003" s="302">
        <f t="shared" si="429"/>
        <v>0.42320327065370966</v>
      </c>
    </row>
    <row r="1004" spans="1:15" s="236" customFormat="1" x14ac:dyDescent="0.2">
      <c r="A1004" s="237"/>
      <c r="B1004" s="302"/>
      <c r="C1004" s="302"/>
      <c r="D1004" s="302"/>
      <c r="E1004" s="302"/>
      <c r="F1004" s="303"/>
      <c r="G1004" s="302"/>
      <c r="H1004" s="302"/>
      <c r="I1004" s="302"/>
      <c r="J1004" s="302"/>
      <c r="K1004" s="303"/>
      <c r="L1004" s="302"/>
      <c r="M1004" s="302"/>
      <c r="N1004" s="302"/>
      <c r="O1004" s="302"/>
    </row>
    <row r="1005" spans="1:15" s="236" customFormat="1" x14ac:dyDescent="0.2">
      <c r="A1005" s="244" t="s">
        <v>32</v>
      </c>
      <c r="B1005" s="311">
        <f>SUM(B995:B1003)</f>
        <v>11.792999999984698</v>
      </c>
      <c r="C1005" s="311">
        <f t="shared" ref="C1005:E1005" si="431">SUM(C995:C1003)</f>
        <v>3.9720000000695315</v>
      </c>
      <c r="D1005" s="311">
        <f t="shared" si="431"/>
        <v>1.4610000000255277</v>
      </c>
      <c r="E1005" s="311">
        <f t="shared" si="431"/>
        <v>17.226000000079758</v>
      </c>
      <c r="F1005" s="311"/>
      <c r="G1005" s="311">
        <f t="shared" ref="G1005:J1005" si="432">SUM(G995:G1003)</f>
        <v>17.195999999981414</v>
      </c>
      <c r="H1005" s="311">
        <f t="shared" si="432"/>
        <v>4.4539999999827522</v>
      </c>
      <c r="I1005" s="311">
        <f t="shared" si="432"/>
        <v>1.7130000000107659</v>
      </c>
      <c r="J1005" s="311">
        <f t="shared" si="432"/>
        <v>23.362999999974932</v>
      </c>
      <c r="K1005" s="311"/>
      <c r="L1005" s="311">
        <f t="shared" ref="L1005:O1005" si="433">SUM(L995:L1003)</f>
        <v>19.159000000064697</v>
      </c>
      <c r="M1005" s="311">
        <f t="shared" si="433"/>
        <v>4.8019999999951182</v>
      </c>
      <c r="N1005" s="311">
        <f t="shared" si="433"/>
        <v>1.875000000024629</v>
      </c>
      <c r="O1005" s="311">
        <f t="shared" si="433"/>
        <v>25.836000000084439</v>
      </c>
    </row>
    <row r="1006" spans="1:15" s="236" customFormat="1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37"/>
      <c r="M1006" s="237"/>
      <c r="N1006" s="240"/>
    </row>
    <row r="1007" spans="1:15" s="236" customFormat="1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37"/>
      <c r="M1007" s="237"/>
      <c r="N1007" s="240"/>
      <c r="O1007" s="251" t="s">
        <v>35</v>
      </c>
    </row>
    <row r="1008" spans="1:15" s="236" customFormat="1" x14ac:dyDescent="0.2">
      <c r="A1008" s="242"/>
      <c r="B1008" s="242"/>
      <c r="C1008" s="242"/>
      <c r="D1008" s="242"/>
      <c r="E1008" s="242"/>
      <c r="F1008" s="242"/>
      <c r="G1008" s="242"/>
      <c r="H1008" s="242"/>
      <c r="I1008" s="242"/>
      <c r="J1008" s="242"/>
      <c r="K1008" s="242"/>
      <c r="L1008" s="242"/>
      <c r="M1008" s="242"/>
      <c r="N1008" s="242"/>
      <c r="O1008" s="242"/>
    </row>
    <row r="1009" spans="1:15" s="236" customFormat="1" x14ac:dyDescent="0.2">
      <c r="A1009" s="241" t="str">
        <f>name!A62</f>
        <v>Employment activities</v>
      </c>
      <c r="B1009" s="374">
        <f>$B$6</f>
        <v>2015</v>
      </c>
      <c r="C1009" s="374"/>
      <c r="D1009" s="374"/>
      <c r="E1009" s="374"/>
      <c r="F1009" s="263"/>
      <c r="G1009" s="374">
        <f>$G$6</f>
        <v>2020</v>
      </c>
      <c r="H1009" s="374"/>
      <c r="I1009" s="374"/>
      <c r="J1009" s="374"/>
      <c r="K1009" s="263"/>
      <c r="L1009" s="374">
        <f>$L$6</f>
        <v>2035</v>
      </c>
      <c r="M1009" s="374"/>
      <c r="N1009" s="374"/>
      <c r="O1009" s="374"/>
    </row>
    <row r="1010" spans="1:15" s="236" customFormat="1" x14ac:dyDescent="0.2">
      <c r="A1010" s="254"/>
      <c r="B1010" s="268" t="str">
        <f>$B$7</f>
        <v>FT</v>
      </c>
      <c r="C1010" s="268" t="str">
        <f>$C$7</f>
        <v>PT</v>
      </c>
      <c r="D1010" s="268" t="str">
        <f>$D$7</f>
        <v>SE</v>
      </c>
      <c r="E1010" s="268" t="str">
        <f>$E$7</f>
        <v>Total</v>
      </c>
      <c r="F1010" s="268"/>
      <c r="G1010" s="268" t="str">
        <f>$G$7</f>
        <v>FT</v>
      </c>
      <c r="H1010" s="268" t="str">
        <f>$H$7</f>
        <v>PT</v>
      </c>
      <c r="I1010" s="268" t="str">
        <f>$I$7</f>
        <v>SE</v>
      </c>
      <c r="J1010" s="268" t="str">
        <f>$J$7</f>
        <v>Total</v>
      </c>
      <c r="K1010" s="268"/>
      <c r="L1010" s="268" t="str">
        <f>$L$7</f>
        <v>FT</v>
      </c>
      <c r="M1010" s="268" t="str">
        <f>$M$7</f>
        <v>PT</v>
      </c>
      <c r="N1010" s="268" t="str">
        <f>$N$7</f>
        <v>SE</v>
      </c>
      <c r="O1010" s="268" t="str">
        <f>$O$7</f>
        <v>Total</v>
      </c>
    </row>
    <row r="1011" spans="1:15" s="236" customFormat="1" x14ac:dyDescent="0.2">
      <c r="A1011" s="258"/>
      <c r="B1011" s="239"/>
      <c r="C1011" s="239"/>
      <c r="D1011" s="239"/>
      <c r="E1011" s="239"/>
      <c r="F1011" s="239"/>
      <c r="G1011" s="239"/>
      <c r="H1011" s="239"/>
      <c r="I1011" s="239"/>
      <c r="J1011" s="239"/>
      <c r="K1011" s="239"/>
      <c r="L1011" s="239"/>
      <c r="M1011" s="239"/>
      <c r="N1011" s="239"/>
      <c r="O1011" s="239"/>
    </row>
    <row r="1012" spans="1:15" s="236" customFormat="1" x14ac:dyDescent="0.2">
      <c r="A1012" s="237" t="str">
        <f>name!E$4</f>
        <v>Managers, directors and senior officials</v>
      </c>
      <c r="B1012" s="302">
        <v>16.469627943899464</v>
      </c>
      <c r="C1012" s="302">
        <v>3.7697685440742368</v>
      </c>
      <c r="D1012" s="302">
        <v>0.96188826659290094</v>
      </c>
      <c r="E1012" s="302">
        <f>SUM(B1012:D1012)</f>
        <v>21.201284754566601</v>
      </c>
      <c r="F1012" s="303"/>
      <c r="G1012" s="302">
        <v>15.921230614012359</v>
      </c>
      <c r="H1012" s="302">
        <v>5.5729916893824774</v>
      </c>
      <c r="I1012" s="302">
        <v>0.84384861365970032</v>
      </c>
      <c r="J1012" s="302">
        <f>SUM(G1012:I1012)</f>
        <v>22.338070917054537</v>
      </c>
      <c r="K1012" s="303"/>
      <c r="L1012" s="302">
        <v>18.25566520458144</v>
      </c>
      <c r="M1012" s="302">
        <v>7.3038198936131113</v>
      </c>
      <c r="N1012" s="302">
        <v>0.70924985465377999</v>
      </c>
      <c r="O1012" s="302">
        <f>SUM(L1012:N1012)</f>
        <v>26.26873495284833</v>
      </c>
    </row>
    <row r="1013" spans="1:15" s="236" customFormat="1" x14ac:dyDescent="0.2">
      <c r="A1013" s="237" t="str">
        <f>name!E$5</f>
        <v>Professional occupations</v>
      </c>
      <c r="B1013" s="302">
        <v>22.966009051073502</v>
      </c>
      <c r="C1013" s="302">
        <v>5.8545154997670217</v>
      </c>
      <c r="D1013" s="302">
        <v>1.6466642728114307</v>
      </c>
      <c r="E1013" s="302">
        <f t="shared" ref="E1013:E1020" si="434">SUM(B1013:D1013)</f>
        <v>30.467188823651956</v>
      </c>
      <c r="F1013" s="303"/>
      <c r="G1013" s="302">
        <v>25.703831003142142</v>
      </c>
      <c r="H1013" s="302">
        <v>9.6485262191784784</v>
      </c>
      <c r="I1013" s="302">
        <v>1.4741164292684148</v>
      </c>
      <c r="J1013" s="302">
        <f t="shared" ref="J1013:J1015" si="435">SUM(G1013:I1013)</f>
        <v>36.826473651589033</v>
      </c>
      <c r="K1013" s="303"/>
      <c r="L1013" s="302">
        <v>33.361174077978895</v>
      </c>
      <c r="M1013" s="302">
        <v>15.313035832743315</v>
      </c>
      <c r="N1013" s="302">
        <v>1.3363042568576555</v>
      </c>
      <c r="O1013" s="302">
        <f t="shared" ref="O1013:O1020" si="436">SUM(L1013:N1013)</f>
        <v>50.010514167579871</v>
      </c>
    </row>
    <row r="1014" spans="1:15" s="236" customFormat="1" x14ac:dyDescent="0.2">
      <c r="A1014" s="237" t="str">
        <f>name!E$6</f>
        <v>Associate professional occupations</v>
      </c>
      <c r="B1014" s="302">
        <v>28.750277391814599</v>
      </c>
      <c r="C1014" s="302">
        <v>7.9389846403042865</v>
      </c>
      <c r="D1014" s="302">
        <v>4.757159801663394</v>
      </c>
      <c r="E1014" s="302">
        <f t="shared" si="434"/>
        <v>41.446421833782274</v>
      </c>
      <c r="F1014" s="303"/>
      <c r="G1014" s="302">
        <v>28.540249039075537</v>
      </c>
      <c r="H1014" s="302">
        <v>9.7816791930412972</v>
      </c>
      <c r="I1014" s="302">
        <v>4.4227933370662038</v>
      </c>
      <c r="J1014" s="302">
        <f t="shared" si="435"/>
        <v>42.744721569183035</v>
      </c>
      <c r="K1014" s="303"/>
      <c r="L1014" s="302">
        <v>29.406532668903061</v>
      </c>
      <c r="M1014" s="302">
        <v>11.413336631721194</v>
      </c>
      <c r="N1014" s="302">
        <v>4.2919529580572018</v>
      </c>
      <c r="O1014" s="302">
        <f t="shared" si="436"/>
        <v>45.111822258681457</v>
      </c>
    </row>
    <row r="1015" spans="1:15" s="236" customFormat="1" x14ac:dyDescent="0.2">
      <c r="A1015" s="237" t="str">
        <f>name!E$7</f>
        <v>Administrative and secretarial occupations</v>
      </c>
      <c r="B1015" s="302">
        <v>9.2925616185959417</v>
      </c>
      <c r="C1015" s="302">
        <v>5.1874778419802645</v>
      </c>
      <c r="D1015" s="302">
        <v>0.29975251881200626</v>
      </c>
      <c r="E1015" s="302">
        <f t="shared" si="434"/>
        <v>14.779791979388213</v>
      </c>
      <c r="F1015" s="303"/>
      <c r="G1015" s="302">
        <v>8.3293548235556631</v>
      </c>
      <c r="H1015" s="302">
        <v>5.8104302232959286</v>
      </c>
      <c r="I1015" s="302">
        <v>0.25549209441422061</v>
      </c>
      <c r="J1015" s="302">
        <f t="shared" si="435"/>
        <v>14.395277141265813</v>
      </c>
      <c r="K1015" s="303"/>
      <c r="L1015" s="302">
        <v>7.6270960792081892</v>
      </c>
      <c r="M1015" s="302">
        <v>5.3687241516675401</v>
      </c>
      <c r="N1015" s="302">
        <v>0.16816270714874307</v>
      </c>
      <c r="O1015" s="302">
        <f t="shared" si="436"/>
        <v>13.163982938024473</v>
      </c>
    </row>
    <row r="1016" spans="1:15" s="236" customFormat="1" x14ac:dyDescent="0.2">
      <c r="A1016" s="237" t="str">
        <f>name!E$8</f>
        <v>Skilled trades occupations</v>
      </c>
      <c r="B1016" s="302">
        <v>3.6738089664134845</v>
      </c>
      <c r="C1016" s="302">
        <v>1.6009173088227959</v>
      </c>
      <c r="D1016" s="302">
        <v>0.50579845461356632</v>
      </c>
      <c r="E1016" s="302">
        <f t="shared" si="434"/>
        <v>5.7805247298498461</v>
      </c>
      <c r="F1016" s="303"/>
      <c r="G1016" s="302">
        <v>2.5761541859831438</v>
      </c>
      <c r="H1016" s="302">
        <v>1.0956717568500189</v>
      </c>
      <c r="I1016" s="302">
        <v>0.36734163036446454</v>
      </c>
      <c r="J1016" s="302">
        <f>SUM(G1016:I1016)</f>
        <v>4.0391675731976271</v>
      </c>
      <c r="K1016" s="303"/>
      <c r="L1016" s="302">
        <v>2.2092343025871841</v>
      </c>
      <c r="M1016" s="302">
        <v>1.5064301054617568</v>
      </c>
      <c r="N1016" s="302">
        <v>0.34364618219306298</v>
      </c>
      <c r="O1016" s="302">
        <f t="shared" si="436"/>
        <v>4.0593105902420037</v>
      </c>
    </row>
    <row r="1017" spans="1:15" s="236" customFormat="1" x14ac:dyDescent="0.2">
      <c r="A1017" s="237" t="str">
        <f>name!E$9</f>
        <v>Caring, leisure and other service occupations</v>
      </c>
      <c r="B1017" s="302">
        <v>3.8650643081798792</v>
      </c>
      <c r="C1017" s="302">
        <v>5.1829237826809633</v>
      </c>
      <c r="D1017" s="302">
        <v>0.70573511127117128</v>
      </c>
      <c r="E1017" s="302">
        <f t="shared" si="434"/>
        <v>9.7537232021320133</v>
      </c>
      <c r="F1017" s="303"/>
      <c r="G1017" s="302">
        <v>3.3142648985321883</v>
      </c>
      <c r="H1017" s="302">
        <v>5.8853416171386002</v>
      </c>
      <c r="I1017" s="302">
        <v>0.69297308394470136</v>
      </c>
      <c r="J1017" s="302">
        <f t="shared" ref="J1017:J1020" si="437">SUM(G1017:I1017)</f>
        <v>9.892579599615491</v>
      </c>
      <c r="K1017" s="303"/>
      <c r="L1017" s="302">
        <v>3.5351790302792097</v>
      </c>
      <c r="M1017" s="302">
        <v>6.9536973743407433</v>
      </c>
      <c r="N1017" s="302">
        <v>0.70384318982496641</v>
      </c>
      <c r="O1017" s="302">
        <f t="shared" si="436"/>
        <v>11.19271959444492</v>
      </c>
    </row>
    <row r="1018" spans="1:15" s="236" customFormat="1" x14ac:dyDescent="0.2">
      <c r="A1018" s="237" t="str">
        <f>name!E$10</f>
        <v>Sales and customer service occupations</v>
      </c>
      <c r="B1018" s="302">
        <v>5.8950520346739737</v>
      </c>
      <c r="C1018" s="302">
        <v>3.1428808148403915</v>
      </c>
      <c r="D1018" s="302">
        <v>0.22602733194366248</v>
      </c>
      <c r="E1018" s="302">
        <f t="shared" si="434"/>
        <v>9.2639601814580281</v>
      </c>
      <c r="F1018" s="303"/>
      <c r="G1018" s="302">
        <v>4.9926298751981779</v>
      </c>
      <c r="H1018" s="302">
        <v>3.2950438212355393</v>
      </c>
      <c r="I1018" s="302">
        <v>0.14137621866935673</v>
      </c>
      <c r="J1018" s="302">
        <f t="shared" si="437"/>
        <v>8.4290499151030751</v>
      </c>
      <c r="K1018" s="303"/>
      <c r="L1018" s="302">
        <v>5.8899044803392533</v>
      </c>
      <c r="M1018" s="302">
        <v>4.6119453034327682</v>
      </c>
      <c r="N1018" s="302">
        <v>8.3629841786279718E-2</v>
      </c>
      <c r="O1018" s="302">
        <f t="shared" si="436"/>
        <v>10.585479625558301</v>
      </c>
    </row>
    <row r="1019" spans="1:15" s="236" customFormat="1" x14ac:dyDescent="0.2">
      <c r="A1019" s="237" t="str">
        <f>name!E$11</f>
        <v>Process, plant and machine operatives</v>
      </c>
      <c r="B1019" s="302">
        <v>1.4049533979104867</v>
      </c>
      <c r="C1019" s="302">
        <v>3.01714540808885</v>
      </c>
      <c r="D1019" s="302">
        <v>8.8067777845247372E-2</v>
      </c>
      <c r="E1019" s="302">
        <f t="shared" si="434"/>
        <v>4.5101665838445841</v>
      </c>
      <c r="F1019" s="303"/>
      <c r="G1019" s="302">
        <v>1.0081255219916045</v>
      </c>
      <c r="H1019" s="302">
        <v>3.370712099735814</v>
      </c>
      <c r="I1019" s="302">
        <v>7.619826870337694E-2</v>
      </c>
      <c r="J1019" s="302">
        <f t="shared" si="437"/>
        <v>4.4550358904307954</v>
      </c>
      <c r="K1019" s="303"/>
      <c r="L1019" s="302">
        <v>0.84761593048431483</v>
      </c>
      <c r="M1019" s="302">
        <v>3.7497519733852869</v>
      </c>
      <c r="N1019" s="302">
        <v>9.1175039465269614E-2</v>
      </c>
      <c r="O1019" s="302">
        <f t="shared" si="436"/>
        <v>4.6885429433348715</v>
      </c>
    </row>
    <row r="1020" spans="1:15" s="236" customFormat="1" x14ac:dyDescent="0.2">
      <c r="A1020" s="237" t="str">
        <f>name!E$12</f>
        <v>Elementary occupations</v>
      </c>
      <c r="B1020" s="302">
        <v>19.469645287982424</v>
      </c>
      <c r="C1020" s="302">
        <v>23.30438616055114</v>
      </c>
      <c r="D1020" s="302">
        <v>8.5319064650089445</v>
      </c>
      <c r="E1020" s="302">
        <f t="shared" si="434"/>
        <v>51.305937913542508</v>
      </c>
      <c r="F1020" s="303"/>
      <c r="G1020" s="302">
        <v>14.985160038126262</v>
      </c>
      <c r="H1020" s="302">
        <v>21.053603379521689</v>
      </c>
      <c r="I1020" s="302">
        <v>5.8558603238184803</v>
      </c>
      <c r="J1020" s="302">
        <f t="shared" si="437"/>
        <v>41.894623741466432</v>
      </c>
      <c r="K1020" s="303"/>
      <c r="L1020" s="302">
        <v>17.161598224942754</v>
      </c>
      <c r="M1020" s="302">
        <v>14.243258733057905</v>
      </c>
      <c r="N1020" s="302">
        <v>7.7530359703617533</v>
      </c>
      <c r="O1020" s="302">
        <f t="shared" si="436"/>
        <v>39.157892928362408</v>
      </c>
    </row>
    <row r="1021" spans="1:15" s="236" customFormat="1" x14ac:dyDescent="0.2">
      <c r="A1021" s="237"/>
      <c r="B1021" s="302"/>
      <c r="C1021" s="302"/>
      <c r="D1021" s="302"/>
      <c r="E1021" s="302"/>
      <c r="F1021" s="303"/>
      <c r="G1021" s="302"/>
      <c r="H1021" s="302"/>
      <c r="I1021" s="302"/>
      <c r="J1021" s="302"/>
      <c r="K1021" s="303"/>
      <c r="L1021" s="302"/>
      <c r="M1021" s="302"/>
      <c r="N1021" s="302"/>
      <c r="O1021" s="302"/>
    </row>
    <row r="1022" spans="1:15" s="236" customFormat="1" x14ac:dyDescent="0.2">
      <c r="A1022" s="244" t="s">
        <v>32</v>
      </c>
      <c r="B1022" s="311">
        <f>SUM(B1012:B1020)</f>
        <v>111.78700000054377</v>
      </c>
      <c r="C1022" s="311">
        <f t="shared" ref="C1022:E1022" si="438">SUM(C1012:C1020)</f>
        <v>58.999000001109948</v>
      </c>
      <c r="D1022" s="311">
        <f t="shared" si="438"/>
        <v>17.723000000562322</v>
      </c>
      <c r="E1022" s="311">
        <f t="shared" si="438"/>
        <v>188.509000002216</v>
      </c>
      <c r="F1022" s="311"/>
      <c r="G1022" s="311">
        <f t="shared" ref="G1022:J1022" si="439">SUM(G1012:G1020)</f>
        <v>105.37099999961707</v>
      </c>
      <c r="H1022" s="311">
        <f t="shared" si="439"/>
        <v>65.513999999379848</v>
      </c>
      <c r="I1022" s="311">
        <f t="shared" si="439"/>
        <v>14.129999999908922</v>
      </c>
      <c r="J1022" s="311">
        <f t="shared" si="439"/>
        <v>185.01499999890584</v>
      </c>
      <c r="K1022" s="311"/>
      <c r="L1022" s="311">
        <f t="shared" ref="L1022:O1022" si="440">SUM(L1012:L1020)</f>
        <v>118.29399999930428</v>
      </c>
      <c r="M1022" s="311">
        <f t="shared" si="440"/>
        <v>70.463999999423621</v>
      </c>
      <c r="N1022" s="311">
        <f t="shared" si="440"/>
        <v>15.481000000348713</v>
      </c>
      <c r="O1022" s="311">
        <f t="shared" si="440"/>
        <v>204.23899999907664</v>
      </c>
    </row>
    <row r="1023" spans="1:15" s="236" customFormat="1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37"/>
      <c r="M1023" s="237"/>
      <c r="N1023" s="240"/>
    </row>
    <row r="1024" spans="1:15" s="236" customFormat="1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37"/>
      <c r="M1024" s="237"/>
      <c r="N1024" s="240"/>
      <c r="O1024" s="251" t="s">
        <v>35</v>
      </c>
    </row>
    <row r="1025" spans="1:15" s="236" customFormat="1" x14ac:dyDescent="0.2">
      <c r="A1025" s="242"/>
      <c r="B1025" s="242"/>
      <c r="C1025" s="242"/>
      <c r="D1025" s="242"/>
      <c r="E1025" s="242"/>
      <c r="F1025" s="242"/>
      <c r="G1025" s="242"/>
      <c r="H1025" s="242"/>
      <c r="I1025" s="242"/>
      <c r="J1025" s="242"/>
      <c r="K1025" s="242"/>
      <c r="L1025" s="242"/>
      <c r="M1025" s="242"/>
      <c r="N1025" s="242"/>
      <c r="O1025" s="242"/>
    </row>
    <row r="1026" spans="1:15" s="236" customFormat="1" x14ac:dyDescent="0.2">
      <c r="A1026" s="241" t="str">
        <f>name!A63</f>
        <v>Travel, etc</v>
      </c>
      <c r="B1026" s="374">
        <f>$B$6</f>
        <v>2015</v>
      </c>
      <c r="C1026" s="374"/>
      <c r="D1026" s="374"/>
      <c r="E1026" s="374"/>
      <c r="F1026" s="263"/>
      <c r="G1026" s="374">
        <f>$G$6</f>
        <v>2020</v>
      </c>
      <c r="H1026" s="374"/>
      <c r="I1026" s="374"/>
      <c r="J1026" s="374"/>
      <c r="K1026" s="263"/>
      <c r="L1026" s="374">
        <f>$L$6</f>
        <v>2035</v>
      </c>
      <c r="M1026" s="374"/>
      <c r="N1026" s="374"/>
      <c r="O1026" s="374"/>
    </row>
    <row r="1027" spans="1:15" s="236" customFormat="1" x14ac:dyDescent="0.2">
      <c r="A1027" s="254"/>
      <c r="B1027" s="268" t="str">
        <f>$B$7</f>
        <v>FT</v>
      </c>
      <c r="C1027" s="268" t="str">
        <f>$C$7</f>
        <v>PT</v>
      </c>
      <c r="D1027" s="268" t="str">
        <f>$D$7</f>
        <v>SE</v>
      </c>
      <c r="E1027" s="268" t="str">
        <f>$E$7</f>
        <v>Total</v>
      </c>
      <c r="F1027" s="268"/>
      <c r="G1027" s="268" t="str">
        <f>$G$7</f>
        <v>FT</v>
      </c>
      <c r="H1027" s="268" t="str">
        <f>$H$7</f>
        <v>PT</v>
      </c>
      <c r="I1027" s="268" t="str">
        <f>$I$7</f>
        <v>SE</v>
      </c>
      <c r="J1027" s="268" t="str">
        <f>$J$7</f>
        <v>Total</v>
      </c>
      <c r="K1027" s="268"/>
      <c r="L1027" s="268" t="str">
        <f>$L$7</f>
        <v>FT</v>
      </c>
      <c r="M1027" s="268" t="str">
        <f>$M$7</f>
        <v>PT</v>
      </c>
      <c r="N1027" s="268" t="str">
        <f>$N$7</f>
        <v>SE</v>
      </c>
      <c r="O1027" s="268" t="str">
        <f>$O$7</f>
        <v>Total</v>
      </c>
    </row>
    <row r="1028" spans="1:15" s="236" customFormat="1" x14ac:dyDescent="0.2">
      <c r="A1028" s="258"/>
      <c r="B1028" s="239"/>
      <c r="C1028" s="239"/>
      <c r="D1028" s="239"/>
      <c r="E1028" s="239"/>
      <c r="F1028" s="239"/>
      <c r="G1028" s="239"/>
      <c r="H1028" s="239"/>
      <c r="I1028" s="239"/>
      <c r="J1028" s="239"/>
      <c r="K1028" s="239"/>
      <c r="L1028" s="239"/>
      <c r="M1028" s="239"/>
      <c r="N1028" s="239"/>
      <c r="O1028" s="239"/>
    </row>
    <row r="1029" spans="1:15" s="236" customFormat="1" x14ac:dyDescent="0.2">
      <c r="A1029" s="237" t="str">
        <f>name!E$4</f>
        <v>Managers, directors and senior officials</v>
      </c>
      <c r="B1029" s="302">
        <v>2.4992327303666757</v>
      </c>
      <c r="C1029" s="302">
        <v>0.14686231193132068</v>
      </c>
      <c r="D1029" s="302">
        <v>0.49183990954108092</v>
      </c>
      <c r="E1029" s="302">
        <f>SUM(B1029:D1029)</f>
        <v>3.1379349518390773</v>
      </c>
      <c r="F1029" s="303"/>
      <c r="G1029" s="302">
        <v>2.9291020170337672</v>
      </c>
      <c r="H1029" s="302">
        <v>0.21494022543314015</v>
      </c>
      <c r="I1029" s="302">
        <v>0.47742039686973858</v>
      </c>
      <c r="J1029" s="302">
        <f>SUM(G1029:I1029)</f>
        <v>3.621462639336646</v>
      </c>
      <c r="K1029" s="303"/>
      <c r="L1029" s="302">
        <v>3.431421674018774</v>
      </c>
      <c r="M1029" s="302">
        <v>0.26331201386239311</v>
      </c>
      <c r="N1029" s="302">
        <v>0.54444818030658171</v>
      </c>
      <c r="O1029" s="302">
        <f>SUM(L1029:N1029)</f>
        <v>4.2391818681877487</v>
      </c>
    </row>
    <row r="1030" spans="1:15" s="236" customFormat="1" x14ac:dyDescent="0.2">
      <c r="A1030" s="237" t="str">
        <f>name!E$5</f>
        <v>Professional occupations</v>
      </c>
      <c r="B1030" s="302">
        <v>1.8641073096921779</v>
      </c>
      <c r="C1030" s="302">
        <v>0.10213687719876788</v>
      </c>
      <c r="D1030" s="302">
        <v>0.14393036139263041</v>
      </c>
      <c r="E1030" s="302">
        <f t="shared" ref="E1030:E1037" si="441">SUM(B1030:D1030)</f>
        <v>2.1101745482835761</v>
      </c>
      <c r="F1030" s="303"/>
      <c r="G1030" s="302">
        <v>2.4721184065326973</v>
      </c>
      <c r="H1030" s="302">
        <v>0.16845452825753648</v>
      </c>
      <c r="I1030" s="302">
        <v>0.13653767070686929</v>
      </c>
      <c r="J1030" s="302">
        <f t="shared" ref="J1030:J1032" si="442">SUM(G1030:I1030)</f>
        <v>2.7771106054971031</v>
      </c>
      <c r="K1030" s="303"/>
      <c r="L1030" s="302">
        <v>3.5411809553429112</v>
      </c>
      <c r="M1030" s="302">
        <v>0.22899164089399976</v>
      </c>
      <c r="N1030" s="302">
        <v>0.10345495732272653</v>
      </c>
      <c r="O1030" s="302">
        <f t="shared" ref="O1030:O1037" si="443">SUM(L1030:N1030)</f>
        <v>3.8736275535596376</v>
      </c>
    </row>
    <row r="1031" spans="1:15" s="236" customFormat="1" x14ac:dyDescent="0.2">
      <c r="A1031" s="237" t="str">
        <f>name!E$6</f>
        <v>Associate professional occupations</v>
      </c>
      <c r="B1031" s="302">
        <v>1.645218651549847</v>
      </c>
      <c r="C1031" s="302">
        <v>0.13272632712646468</v>
      </c>
      <c r="D1031" s="302">
        <v>0.1923632293978394</v>
      </c>
      <c r="E1031" s="302">
        <f t="shared" si="441"/>
        <v>1.9703082080741512</v>
      </c>
      <c r="F1031" s="303"/>
      <c r="G1031" s="302">
        <v>1.9606057770094547</v>
      </c>
      <c r="H1031" s="302">
        <v>0.16978541201438874</v>
      </c>
      <c r="I1031" s="302">
        <v>0.1475349167968513</v>
      </c>
      <c r="J1031" s="302">
        <f t="shared" si="442"/>
        <v>2.2779261058206948</v>
      </c>
      <c r="K1031" s="303"/>
      <c r="L1031" s="302">
        <v>2.2402723247037715</v>
      </c>
      <c r="M1031" s="302">
        <v>0.1852712409018086</v>
      </c>
      <c r="N1031" s="302">
        <v>0.13329971160175705</v>
      </c>
      <c r="O1031" s="302">
        <f t="shared" si="443"/>
        <v>2.5588432772073371</v>
      </c>
    </row>
    <row r="1032" spans="1:15" s="236" customFormat="1" x14ac:dyDescent="0.2">
      <c r="A1032" s="237" t="str">
        <f>name!E$7</f>
        <v>Administrative and secretarial occupations</v>
      </c>
      <c r="B1032" s="302">
        <v>2.0468579512032905</v>
      </c>
      <c r="C1032" s="302">
        <v>0.35768287325356679</v>
      </c>
      <c r="D1032" s="302">
        <v>0.14446308193021634</v>
      </c>
      <c r="E1032" s="302">
        <f t="shared" si="441"/>
        <v>2.5490039063870737</v>
      </c>
      <c r="F1032" s="303"/>
      <c r="G1032" s="302">
        <v>2.3349559736683161</v>
      </c>
      <c r="H1032" s="302">
        <v>0.4025974979162108</v>
      </c>
      <c r="I1032" s="302">
        <v>0.1124443256258305</v>
      </c>
      <c r="J1032" s="302">
        <f t="shared" si="442"/>
        <v>2.8499977972103574</v>
      </c>
      <c r="K1032" s="303"/>
      <c r="L1032" s="302">
        <v>2.4809242060442966</v>
      </c>
      <c r="M1032" s="302">
        <v>0.32664404086685256</v>
      </c>
      <c r="N1032" s="302">
        <v>0.11231516740631002</v>
      </c>
      <c r="O1032" s="302">
        <f t="shared" si="443"/>
        <v>2.919883414317459</v>
      </c>
    </row>
    <row r="1033" spans="1:15" s="236" customFormat="1" x14ac:dyDescent="0.2">
      <c r="A1033" s="237" t="str">
        <f>name!E$8</f>
        <v>Skilled trades occupations</v>
      </c>
      <c r="B1033" s="302">
        <v>0.4517891183821886</v>
      </c>
      <c r="C1033" s="302">
        <v>0.11241510469320069</v>
      </c>
      <c r="D1033" s="302">
        <v>7.5079922062523244E-2</v>
      </c>
      <c r="E1033" s="302">
        <f t="shared" si="441"/>
        <v>0.63928414513791254</v>
      </c>
      <c r="F1033" s="303"/>
      <c r="G1033" s="302">
        <v>0.38265468674634373</v>
      </c>
      <c r="H1033" s="302">
        <v>7.1059461624038589E-2</v>
      </c>
      <c r="I1033" s="302">
        <v>6.5637883658004714E-2</v>
      </c>
      <c r="J1033" s="302">
        <f>SUM(G1033:I1033)</f>
        <v>0.51935203202838709</v>
      </c>
      <c r="K1033" s="303"/>
      <c r="L1033" s="302">
        <v>0.42988578514181253</v>
      </c>
      <c r="M1033" s="302">
        <v>0.10212114277642044</v>
      </c>
      <c r="N1033" s="302">
        <v>0.12398330499089584</v>
      </c>
      <c r="O1033" s="302">
        <f t="shared" si="443"/>
        <v>0.65599023290912883</v>
      </c>
    </row>
    <row r="1034" spans="1:15" s="236" customFormat="1" x14ac:dyDescent="0.2">
      <c r="A1034" s="237" t="str">
        <f>name!E$9</f>
        <v>Caring, leisure and other service occupations</v>
      </c>
      <c r="B1034" s="302">
        <v>1.7784907276900803</v>
      </c>
      <c r="C1034" s="302">
        <v>0.71635591801490328</v>
      </c>
      <c r="D1034" s="302">
        <v>1.3434073184817308</v>
      </c>
      <c r="E1034" s="302">
        <f t="shared" si="441"/>
        <v>3.8382539641867144</v>
      </c>
      <c r="F1034" s="303"/>
      <c r="G1034" s="302">
        <v>1.8367259448940225</v>
      </c>
      <c r="H1034" s="302">
        <v>0.6527003016627525</v>
      </c>
      <c r="I1034" s="302">
        <v>1.0461560870817812</v>
      </c>
      <c r="J1034" s="302">
        <f t="shared" ref="J1034:J1037" si="444">SUM(G1034:I1034)</f>
        <v>3.5355823336385561</v>
      </c>
      <c r="K1034" s="303"/>
      <c r="L1034" s="302">
        <v>1.9819759903628242</v>
      </c>
      <c r="M1034" s="302">
        <v>0.72133327830717364</v>
      </c>
      <c r="N1034" s="302">
        <v>1.0815639991397368</v>
      </c>
      <c r="O1034" s="302">
        <f t="shared" si="443"/>
        <v>3.7848732678097345</v>
      </c>
    </row>
    <row r="1035" spans="1:15" s="236" customFormat="1" x14ac:dyDescent="0.2">
      <c r="A1035" s="237" t="str">
        <f>name!E$10</f>
        <v>Sales and customer service occupations</v>
      </c>
      <c r="B1035" s="302">
        <v>0.93849010965369506</v>
      </c>
      <c r="C1035" s="302">
        <v>0.15605589539170933</v>
      </c>
      <c r="D1035" s="302">
        <v>0.13414620392957824</v>
      </c>
      <c r="E1035" s="302">
        <f t="shared" si="441"/>
        <v>1.2286922089749825</v>
      </c>
      <c r="F1035" s="303"/>
      <c r="G1035" s="302">
        <v>0.96621091686744154</v>
      </c>
      <c r="H1035" s="302">
        <v>0.15084699779614549</v>
      </c>
      <c r="I1035" s="302">
        <v>8.5080914477151395E-2</v>
      </c>
      <c r="J1035" s="302">
        <f t="shared" si="444"/>
        <v>1.2021388291407384</v>
      </c>
      <c r="K1035" s="303"/>
      <c r="L1035" s="302">
        <v>1.1979073869652683</v>
      </c>
      <c r="M1035" s="302">
        <v>0.20095423057710757</v>
      </c>
      <c r="N1035" s="302">
        <v>9.0878003551275358E-2</v>
      </c>
      <c r="O1035" s="302">
        <f t="shared" si="443"/>
        <v>1.4897396210936511</v>
      </c>
    </row>
    <row r="1036" spans="1:15" s="236" customFormat="1" x14ac:dyDescent="0.2">
      <c r="A1036" s="237" t="str">
        <f>name!E$11</f>
        <v>Process, plant and machine operatives</v>
      </c>
      <c r="B1036" s="302">
        <v>4.4508447209950361</v>
      </c>
      <c r="C1036" s="302">
        <v>0.61026397700118229</v>
      </c>
      <c r="D1036" s="302">
        <v>0.14247870931564663</v>
      </c>
      <c r="E1036" s="302">
        <f t="shared" si="441"/>
        <v>5.2035874073118649</v>
      </c>
      <c r="F1036" s="303"/>
      <c r="G1036" s="302">
        <v>4.0546808950157205</v>
      </c>
      <c r="H1036" s="302">
        <v>0.61544530034652911</v>
      </c>
      <c r="I1036" s="302">
        <v>0.13964628049575337</v>
      </c>
      <c r="J1036" s="302">
        <f t="shared" si="444"/>
        <v>4.8097724758580034</v>
      </c>
      <c r="K1036" s="303"/>
      <c r="L1036" s="302">
        <v>4.4886317932437105</v>
      </c>
      <c r="M1036" s="302">
        <v>0.76761072272112185</v>
      </c>
      <c r="N1036" s="302">
        <v>0.23019323133237113</v>
      </c>
      <c r="O1036" s="302">
        <f t="shared" si="443"/>
        <v>5.486435747297203</v>
      </c>
    </row>
    <row r="1037" spans="1:15" s="236" customFormat="1" x14ac:dyDescent="0.2">
      <c r="A1037" s="237" t="str">
        <f>name!E$12</f>
        <v>Elementary occupations</v>
      </c>
      <c r="B1037" s="302">
        <v>3.2729686807870739</v>
      </c>
      <c r="C1037" s="302">
        <v>0.7755007154806528</v>
      </c>
      <c r="D1037" s="302">
        <v>8.9291264008572194E-2</v>
      </c>
      <c r="E1037" s="302">
        <f t="shared" si="441"/>
        <v>4.1377606602762995</v>
      </c>
      <c r="F1037" s="303"/>
      <c r="G1037" s="302">
        <v>2.6509453818837416</v>
      </c>
      <c r="H1037" s="302">
        <v>0.64517027490564127</v>
      </c>
      <c r="I1037" s="302">
        <v>4.6541524254289798E-2</v>
      </c>
      <c r="J1037" s="302">
        <f t="shared" si="444"/>
        <v>3.3426571810436725</v>
      </c>
      <c r="K1037" s="303"/>
      <c r="L1037" s="302">
        <v>2.0317998837453732</v>
      </c>
      <c r="M1037" s="302">
        <v>0.54876168903270639</v>
      </c>
      <c r="N1037" s="302">
        <v>5.3863444356200364E-2</v>
      </c>
      <c r="O1037" s="302">
        <f t="shared" si="443"/>
        <v>2.63442501713428</v>
      </c>
    </row>
    <row r="1038" spans="1:15" s="236" customFormat="1" x14ac:dyDescent="0.2">
      <c r="A1038" s="237"/>
      <c r="B1038" s="302"/>
      <c r="C1038" s="302"/>
      <c r="D1038" s="302"/>
      <c r="E1038" s="302"/>
      <c r="F1038" s="303"/>
      <c r="G1038" s="302"/>
      <c r="H1038" s="302"/>
      <c r="I1038" s="302"/>
      <c r="J1038" s="302"/>
      <c r="K1038" s="303"/>
      <c r="L1038" s="302"/>
      <c r="M1038" s="302"/>
      <c r="N1038" s="302"/>
      <c r="O1038" s="302"/>
    </row>
    <row r="1039" spans="1:15" s="236" customFormat="1" x14ac:dyDescent="0.2">
      <c r="A1039" s="244" t="s">
        <v>32</v>
      </c>
      <c r="B1039" s="311">
        <f>SUM(B1029:B1037)</f>
        <v>18.948000000320068</v>
      </c>
      <c r="C1039" s="311">
        <f t="shared" ref="C1039:E1039" si="445">SUM(C1029:C1037)</f>
        <v>3.1100000000917687</v>
      </c>
      <c r="D1039" s="311">
        <f t="shared" si="445"/>
        <v>2.7570000000598185</v>
      </c>
      <c r="E1039" s="311">
        <f t="shared" si="445"/>
        <v>24.815000000471649</v>
      </c>
      <c r="F1039" s="311"/>
      <c r="G1039" s="311">
        <f t="shared" ref="G1039:J1039" si="446">SUM(G1029:G1037)</f>
        <v>19.587999999651505</v>
      </c>
      <c r="H1039" s="311">
        <f t="shared" si="446"/>
        <v>3.0909999999563831</v>
      </c>
      <c r="I1039" s="311">
        <f t="shared" si="446"/>
        <v>2.2569999999662698</v>
      </c>
      <c r="J1039" s="311">
        <f t="shared" si="446"/>
        <v>24.935999999574161</v>
      </c>
      <c r="K1039" s="311"/>
      <c r="L1039" s="311">
        <f t="shared" ref="L1039:O1039" si="447">SUM(L1029:L1037)</f>
        <v>21.823999999568741</v>
      </c>
      <c r="M1039" s="311">
        <f t="shared" si="447"/>
        <v>3.3449999999395836</v>
      </c>
      <c r="N1039" s="311">
        <f t="shared" si="447"/>
        <v>2.4740000000078552</v>
      </c>
      <c r="O1039" s="311">
        <f t="shared" si="447"/>
        <v>27.642999999516181</v>
      </c>
    </row>
    <row r="1040" spans="1:15" s="236" customFormat="1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37"/>
      <c r="M1040" s="237"/>
      <c r="N1040" s="240"/>
    </row>
    <row r="1041" spans="1:15" s="236" customFormat="1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37"/>
      <c r="M1041" s="237"/>
      <c r="N1041" s="240"/>
      <c r="O1041" s="251" t="s">
        <v>35</v>
      </c>
    </row>
    <row r="1042" spans="1:15" s="236" customFormat="1" x14ac:dyDescent="0.2">
      <c r="A1042" s="242"/>
      <c r="B1042" s="242"/>
      <c r="C1042" s="242"/>
      <c r="D1042" s="242"/>
      <c r="E1042" s="242"/>
      <c r="F1042" s="242"/>
      <c r="G1042" s="242"/>
      <c r="H1042" s="242"/>
      <c r="I1042" s="242"/>
      <c r="J1042" s="242"/>
      <c r="K1042" s="242"/>
      <c r="L1042" s="242"/>
      <c r="M1042" s="242"/>
      <c r="N1042" s="242"/>
      <c r="O1042" s="242"/>
    </row>
    <row r="1043" spans="1:15" s="236" customFormat="1" x14ac:dyDescent="0.2">
      <c r="A1043" s="241" t="str">
        <f>name!A64</f>
        <v>Security, etc</v>
      </c>
      <c r="B1043" s="374">
        <f>$B$6</f>
        <v>2015</v>
      </c>
      <c r="C1043" s="374"/>
      <c r="D1043" s="374"/>
      <c r="E1043" s="374"/>
      <c r="F1043" s="263"/>
      <c r="G1043" s="374">
        <f>$G$6</f>
        <v>2020</v>
      </c>
      <c r="H1043" s="374"/>
      <c r="I1043" s="374"/>
      <c r="J1043" s="374"/>
      <c r="K1043" s="263"/>
      <c r="L1043" s="374">
        <f>$L$6</f>
        <v>2035</v>
      </c>
      <c r="M1043" s="374"/>
      <c r="N1043" s="374"/>
      <c r="O1043" s="374"/>
    </row>
    <row r="1044" spans="1:15" s="236" customFormat="1" x14ac:dyDescent="0.2">
      <c r="A1044" s="254"/>
      <c r="B1044" s="268" t="str">
        <f>$B$7</f>
        <v>FT</v>
      </c>
      <c r="C1044" s="268" t="str">
        <f>$C$7</f>
        <v>PT</v>
      </c>
      <c r="D1044" s="268" t="str">
        <f>$D$7</f>
        <v>SE</v>
      </c>
      <c r="E1044" s="268" t="str">
        <f>$E$7</f>
        <v>Total</v>
      </c>
      <c r="F1044" s="268"/>
      <c r="G1044" s="268" t="str">
        <f>$G$7</f>
        <v>FT</v>
      </c>
      <c r="H1044" s="268" t="str">
        <f>$H$7</f>
        <v>PT</v>
      </c>
      <c r="I1044" s="268" t="str">
        <f>$I$7</f>
        <v>SE</v>
      </c>
      <c r="J1044" s="268" t="str">
        <f>$J$7</f>
        <v>Total</v>
      </c>
      <c r="K1044" s="268"/>
      <c r="L1044" s="268" t="str">
        <f>$L$7</f>
        <v>FT</v>
      </c>
      <c r="M1044" s="268" t="str">
        <f>$M$7</f>
        <v>PT</v>
      </c>
      <c r="N1044" s="268" t="str">
        <f>$N$7</f>
        <v>SE</v>
      </c>
      <c r="O1044" s="268" t="str">
        <f>$O$7</f>
        <v>Total</v>
      </c>
    </row>
    <row r="1045" spans="1:15" s="236" customFormat="1" x14ac:dyDescent="0.2">
      <c r="A1045" s="258"/>
      <c r="B1045" s="239"/>
      <c r="C1045" s="239"/>
      <c r="D1045" s="239"/>
      <c r="E1045" s="239"/>
      <c r="F1045" s="239"/>
      <c r="G1045" s="239"/>
      <c r="H1045" s="239"/>
      <c r="I1045" s="239"/>
      <c r="J1045" s="239"/>
      <c r="K1045" s="239"/>
      <c r="L1045" s="239"/>
      <c r="M1045" s="239"/>
      <c r="N1045" s="239"/>
      <c r="O1045" s="239"/>
    </row>
    <row r="1046" spans="1:15" s="236" customFormat="1" x14ac:dyDescent="0.2">
      <c r="A1046" s="237" t="str">
        <f>name!E$4</f>
        <v>Managers, directors and senior officials</v>
      </c>
      <c r="B1046" s="302">
        <v>6.6975176252388904</v>
      </c>
      <c r="C1046" s="302">
        <v>0.76933147354015186</v>
      </c>
      <c r="D1046" s="302">
        <v>0.66338100250481735</v>
      </c>
      <c r="E1046" s="302">
        <f>SUM(B1046:D1046)</f>
        <v>8.1302301012838605</v>
      </c>
      <c r="F1046" s="303"/>
      <c r="G1046" s="302">
        <v>6.1435096238200275</v>
      </c>
      <c r="H1046" s="302">
        <v>0.68076220879688598</v>
      </c>
      <c r="I1046" s="302">
        <v>0.5256163506535565</v>
      </c>
      <c r="J1046" s="302">
        <f>SUM(G1046:I1046)</f>
        <v>7.3498881832704699</v>
      </c>
      <c r="K1046" s="303"/>
      <c r="L1046" s="302">
        <v>6.9391740020540249</v>
      </c>
      <c r="M1046" s="302">
        <v>0.86670343915789838</v>
      </c>
      <c r="N1046" s="302">
        <v>0.72364326183078698</v>
      </c>
      <c r="O1046" s="302">
        <f>SUM(L1046:N1046)</f>
        <v>8.52952070304271</v>
      </c>
    </row>
    <row r="1047" spans="1:15" s="236" customFormat="1" x14ac:dyDescent="0.2">
      <c r="A1047" s="237" t="str">
        <f>name!E$5</f>
        <v>Professional occupations</v>
      </c>
      <c r="B1047" s="302">
        <v>8.9010133939559459</v>
      </c>
      <c r="C1047" s="302">
        <v>0.9737108528960583</v>
      </c>
      <c r="D1047" s="302">
        <v>0.63833737270459867</v>
      </c>
      <c r="E1047" s="302">
        <f t="shared" ref="E1047:E1054" si="448">SUM(B1047:D1047)</f>
        <v>10.513061619556602</v>
      </c>
      <c r="F1047" s="303"/>
      <c r="G1047" s="302">
        <v>9.3115141781352975</v>
      </c>
      <c r="H1047" s="302">
        <v>1.0324126173851114</v>
      </c>
      <c r="I1047" s="302">
        <v>0.48630027574492374</v>
      </c>
      <c r="J1047" s="302">
        <f t="shared" ref="J1047:J1049" si="449">SUM(G1047:I1047)</f>
        <v>10.830227071265332</v>
      </c>
      <c r="K1047" s="303"/>
      <c r="L1047" s="302">
        <v>12.142648068470431</v>
      </c>
      <c r="M1047" s="302">
        <v>1.7072594875913261</v>
      </c>
      <c r="N1047" s="302">
        <v>0.42210317213540999</v>
      </c>
      <c r="O1047" s="302">
        <f t="shared" ref="O1047:O1054" si="450">SUM(L1047:N1047)</f>
        <v>14.272010728197166</v>
      </c>
    </row>
    <row r="1048" spans="1:15" s="236" customFormat="1" x14ac:dyDescent="0.2">
      <c r="A1048" s="237" t="str">
        <f>name!E$6</f>
        <v>Associate professional occupations</v>
      </c>
      <c r="B1048" s="302">
        <v>11.651203723711559</v>
      </c>
      <c r="C1048" s="302">
        <v>1.2244684376309343</v>
      </c>
      <c r="D1048" s="302">
        <v>1.475329619343736</v>
      </c>
      <c r="E1048" s="302">
        <f t="shared" si="448"/>
        <v>14.351001780686229</v>
      </c>
      <c r="F1048" s="303"/>
      <c r="G1048" s="302">
        <v>10.83847428136526</v>
      </c>
      <c r="H1048" s="302">
        <v>0.96363256670877251</v>
      </c>
      <c r="I1048" s="302">
        <v>1.1605477457346556</v>
      </c>
      <c r="J1048" s="302">
        <f t="shared" si="449"/>
        <v>12.962654593808688</v>
      </c>
      <c r="K1048" s="303"/>
      <c r="L1048" s="302">
        <v>11.091550605033397</v>
      </c>
      <c r="M1048" s="302">
        <v>1.1450715677487937</v>
      </c>
      <c r="N1048" s="302">
        <v>1.1199937072548949</v>
      </c>
      <c r="O1048" s="302">
        <f t="shared" si="450"/>
        <v>13.356615880037086</v>
      </c>
    </row>
    <row r="1049" spans="1:15" s="236" customFormat="1" x14ac:dyDescent="0.2">
      <c r="A1049" s="237" t="str">
        <f>name!E$7</f>
        <v>Administrative and secretarial occupations</v>
      </c>
      <c r="B1049" s="302">
        <v>3.0408943425334347</v>
      </c>
      <c r="C1049" s="302">
        <v>0.798004269336822</v>
      </c>
      <c r="D1049" s="302">
        <v>7.4657161367523678E-2</v>
      </c>
      <c r="E1049" s="302">
        <f t="shared" si="448"/>
        <v>3.9135557732377801</v>
      </c>
      <c r="F1049" s="303"/>
      <c r="G1049" s="302">
        <v>2.6661588212856375</v>
      </c>
      <c r="H1049" s="302">
        <v>0.55686934386409825</v>
      </c>
      <c r="I1049" s="302">
        <v>5.1390415937763737E-2</v>
      </c>
      <c r="J1049" s="302">
        <f t="shared" si="449"/>
        <v>3.2744185810874997</v>
      </c>
      <c r="K1049" s="303"/>
      <c r="L1049" s="302">
        <v>2.609230168414292</v>
      </c>
      <c r="M1049" s="302">
        <v>0.52179735677327233</v>
      </c>
      <c r="N1049" s="302">
        <v>4.3945543810694494E-2</v>
      </c>
      <c r="O1049" s="302">
        <f t="shared" si="450"/>
        <v>3.1749730689982587</v>
      </c>
    </row>
    <row r="1050" spans="1:15" s="236" customFormat="1" x14ac:dyDescent="0.2">
      <c r="A1050" s="237" t="str">
        <f>name!E$8</f>
        <v>Skilled trades occupations</v>
      </c>
      <c r="B1050" s="302">
        <v>1.4339881882755146</v>
      </c>
      <c r="C1050" s="302">
        <v>0.29331175764444828</v>
      </c>
      <c r="D1050" s="302">
        <v>0.3238880956425515</v>
      </c>
      <c r="E1050" s="302">
        <f t="shared" si="448"/>
        <v>2.0511880415625141</v>
      </c>
      <c r="F1050" s="303"/>
      <c r="G1050" s="302">
        <v>0.93941559139709352</v>
      </c>
      <c r="H1050" s="302">
        <v>0.11955157910905766</v>
      </c>
      <c r="I1050" s="302">
        <v>0.19310119422547023</v>
      </c>
      <c r="J1050" s="302">
        <f>SUM(G1050:I1050)</f>
        <v>1.2520683647316213</v>
      </c>
      <c r="K1050" s="303"/>
      <c r="L1050" s="302">
        <v>0.83052928101695167</v>
      </c>
      <c r="M1050" s="302">
        <v>0.16874798559606391</v>
      </c>
      <c r="N1050" s="302">
        <v>0.18670476877175457</v>
      </c>
      <c r="O1050" s="302">
        <f t="shared" si="450"/>
        <v>1.1859820353847703</v>
      </c>
    </row>
    <row r="1051" spans="1:15" s="236" customFormat="1" x14ac:dyDescent="0.2">
      <c r="A1051" s="237" t="str">
        <f>name!E$9</f>
        <v>Caring, leisure and other service occupations</v>
      </c>
      <c r="B1051" s="302">
        <v>1.2105499050287372</v>
      </c>
      <c r="C1051" s="302">
        <v>0.89023679419430002</v>
      </c>
      <c r="D1051" s="302">
        <v>0.20214833386594125</v>
      </c>
      <c r="E1051" s="302">
        <f t="shared" si="448"/>
        <v>2.3029350330889784</v>
      </c>
      <c r="F1051" s="303"/>
      <c r="G1051" s="302">
        <v>1.0221648499123923</v>
      </c>
      <c r="H1051" s="302">
        <v>0.64274226369482512</v>
      </c>
      <c r="I1051" s="302">
        <v>0.17122045043034934</v>
      </c>
      <c r="J1051" s="302">
        <f t="shared" ref="J1051:J1054" si="451">SUM(G1051:I1051)</f>
        <v>1.8361275640375667</v>
      </c>
      <c r="K1051" s="303"/>
      <c r="L1051" s="302">
        <v>1.117972417543829</v>
      </c>
      <c r="M1051" s="302">
        <v>0.77742328687568829</v>
      </c>
      <c r="N1051" s="302">
        <v>0.23227884335467919</v>
      </c>
      <c r="O1051" s="302">
        <f t="shared" si="450"/>
        <v>2.1276745477741965</v>
      </c>
    </row>
    <row r="1052" spans="1:15" s="236" customFormat="1" x14ac:dyDescent="0.2">
      <c r="A1052" s="237" t="str">
        <f>name!E$10</f>
        <v>Sales and customer service occupations</v>
      </c>
      <c r="B1052" s="302">
        <v>2.4241876309229053</v>
      </c>
      <c r="C1052" s="302">
        <v>0.56949815490053046</v>
      </c>
      <c r="D1052" s="302">
        <v>0.14245677007356794</v>
      </c>
      <c r="E1052" s="302">
        <f t="shared" si="448"/>
        <v>3.1361425558970035</v>
      </c>
      <c r="F1052" s="303"/>
      <c r="G1052" s="302">
        <v>1.9451132049424202</v>
      </c>
      <c r="H1052" s="302">
        <v>0.36210288620449937</v>
      </c>
      <c r="I1052" s="302">
        <v>9.3344397074723071E-2</v>
      </c>
      <c r="J1052" s="302">
        <f t="shared" si="451"/>
        <v>2.4005604882216427</v>
      </c>
      <c r="K1052" s="303"/>
      <c r="L1052" s="302">
        <v>2.274905329986141</v>
      </c>
      <c r="M1052" s="302">
        <v>0.50475812561511479</v>
      </c>
      <c r="N1052" s="302">
        <v>9.2224284371938234E-2</v>
      </c>
      <c r="O1052" s="302">
        <f t="shared" si="450"/>
        <v>2.8718877399731939</v>
      </c>
    </row>
    <row r="1053" spans="1:15" s="236" customFormat="1" x14ac:dyDescent="0.2">
      <c r="A1053" s="237" t="str">
        <f>name!E$11</f>
        <v>Process, plant and machine operatives</v>
      </c>
      <c r="B1053" s="302">
        <v>0.70379231139925635</v>
      </c>
      <c r="C1053" s="302">
        <v>0.68655991297769303</v>
      </c>
      <c r="D1053" s="302">
        <v>4.3476166508189251E-2</v>
      </c>
      <c r="E1053" s="302">
        <f t="shared" si="448"/>
        <v>1.4338283908851388</v>
      </c>
      <c r="F1053" s="303"/>
      <c r="G1053" s="302">
        <v>0.47560520946643237</v>
      </c>
      <c r="H1053" s="302">
        <v>0.46349408325379071</v>
      </c>
      <c r="I1053" s="302">
        <v>3.7536739504535975E-2</v>
      </c>
      <c r="J1053" s="302">
        <f t="shared" si="451"/>
        <v>0.97663603222475903</v>
      </c>
      <c r="K1053" s="303"/>
      <c r="L1053" s="302">
        <v>0.38689401113335986</v>
      </c>
      <c r="M1053" s="302">
        <v>0.49435139590440963</v>
      </c>
      <c r="N1053" s="302">
        <v>4.510739980044387E-2</v>
      </c>
      <c r="O1053" s="302">
        <f t="shared" si="450"/>
        <v>0.92635280683821342</v>
      </c>
    </row>
    <row r="1054" spans="1:15" s="236" customFormat="1" x14ac:dyDescent="0.2">
      <c r="A1054" s="237" t="str">
        <f>name!E$12</f>
        <v>Elementary occupations</v>
      </c>
      <c r="B1054" s="302">
        <v>9.7498528792574586</v>
      </c>
      <c r="C1054" s="302">
        <v>4.6008783471034098</v>
      </c>
      <c r="D1054" s="302">
        <v>1.1273254781114364</v>
      </c>
      <c r="E1054" s="302">
        <f t="shared" si="448"/>
        <v>15.478056704472303</v>
      </c>
      <c r="F1054" s="303"/>
      <c r="G1054" s="302">
        <v>7.0280442395231981</v>
      </c>
      <c r="H1054" s="302">
        <v>2.5144324509109008</v>
      </c>
      <c r="I1054" s="302">
        <v>0.73194243074026755</v>
      </c>
      <c r="J1054" s="302">
        <f t="shared" si="451"/>
        <v>10.274419121174368</v>
      </c>
      <c r="K1054" s="303"/>
      <c r="L1054" s="302">
        <v>7.6440961160421272</v>
      </c>
      <c r="M1054" s="302">
        <v>1.7328873546641892</v>
      </c>
      <c r="N1054" s="302">
        <v>0.90699901877769318</v>
      </c>
      <c r="O1054" s="302">
        <f t="shared" si="450"/>
        <v>10.283982489484009</v>
      </c>
    </row>
    <row r="1055" spans="1:15" s="236" customFormat="1" x14ac:dyDescent="0.2">
      <c r="A1055" s="237"/>
      <c r="B1055" s="302"/>
      <c r="C1055" s="302"/>
      <c r="D1055" s="302"/>
      <c r="E1055" s="302"/>
      <c r="F1055" s="303"/>
      <c r="G1055" s="302"/>
      <c r="H1055" s="302"/>
      <c r="I1055" s="302"/>
      <c r="J1055" s="302"/>
      <c r="K1055" s="303"/>
      <c r="L1055" s="302"/>
      <c r="M1055" s="302"/>
      <c r="N1055" s="302"/>
      <c r="O1055" s="302"/>
    </row>
    <row r="1056" spans="1:15" s="236" customFormat="1" x14ac:dyDescent="0.2">
      <c r="A1056" s="244" t="s">
        <v>32</v>
      </c>
      <c r="B1056" s="311">
        <f>SUM(B1046:B1054)</f>
        <v>45.813000000323704</v>
      </c>
      <c r="C1056" s="311">
        <f t="shared" ref="C1056:E1056" si="452">SUM(C1046:C1054)</f>
        <v>10.806000000224349</v>
      </c>
      <c r="D1056" s="311">
        <f t="shared" si="452"/>
        <v>4.6910000001223615</v>
      </c>
      <c r="E1056" s="311">
        <f t="shared" si="452"/>
        <v>61.310000000670406</v>
      </c>
      <c r="F1056" s="311"/>
      <c r="G1056" s="311">
        <f t="shared" ref="G1056:J1056" si="453">SUM(G1046:G1054)</f>
        <v>40.369999999847757</v>
      </c>
      <c r="H1056" s="311">
        <f t="shared" si="453"/>
        <v>7.3359999999279415</v>
      </c>
      <c r="I1056" s="311">
        <f t="shared" si="453"/>
        <v>3.4510000000462457</v>
      </c>
      <c r="J1056" s="311">
        <f t="shared" si="453"/>
        <v>51.156999999821956</v>
      </c>
      <c r="K1056" s="311"/>
      <c r="L1056" s="311">
        <f t="shared" ref="L1056:O1056" si="454">SUM(L1046:L1054)</f>
        <v>45.036999999694551</v>
      </c>
      <c r="M1056" s="311">
        <f t="shared" si="454"/>
        <v>7.9189999999267568</v>
      </c>
      <c r="N1056" s="311">
        <f t="shared" si="454"/>
        <v>3.7730000001082953</v>
      </c>
      <c r="O1056" s="311">
        <f t="shared" si="454"/>
        <v>56.728999999729602</v>
      </c>
    </row>
    <row r="1057" spans="1:15" s="236" customFormat="1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37"/>
      <c r="M1057" s="237"/>
      <c r="N1057" s="240"/>
    </row>
    <row r="1058" spans="1:15" s="236" customFormat="1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37"/>
      <c r="M1058" s="237"/>
      <c r="N1058" s="240"/>
      <c r="O1058" s="251" t="s">
        <v>35</v>
      </c>
    </row>
    <row r="1059" spans="1:15" s="236" customFormat="1" x14ac:dyDescent="0.2">
      <c r="A1059" s="242"/>
      <c r="B1059" s="242"/>
      <c r="C1059" s="242"/>
      <c r="D1059" s="242"/>
      <c r="E1059" s="242"/>
      <c r="F1059" s="242"/>
      <c r="G1059" s="242"/>
      <c r="H1059" s="242"/>
      <c r="I1059" s="242"/>
      <c r="J1059" s="242"/>
      <c r="K1059" s="242"/>
      <c r="L1059" s="242"/>
      <c r="M1059" s="242"/>
      <c r="N1059" s="242"/>
      <c r="O1059" s="242"/>
    </row>
    <row r="1060" spans="1:15" s="236" customFormat="1" x14ac:dyDescent="0.2">
      <c r="A1060" s="241" t="str">
        <f>name!A65</f>
        <v>Services to buildings</v>
      </c>
      <c r="B1060" s="374">
        <f>$B$6</f>
        <v>2015</v>
      </c>
      <c r="C1060" s="374"/>
      <c r="D1060" s="374"/>
      <c r="E1060" s="374"/>
      <c r="F1060" s="263"/>
      <c r="G1060" s="374">
        <f>$G$6</f>
        <v>2020</v>
      </c>
      <c r="H1060" s="374"/>
      <c r="I1060" s="374"/>
      <c r="J1060" s="374"/>
      <c r="K1060" s="263"/>
      <c r="L1060" s="374">
        <f>$L$6</f>
        <v>2035</v>
      </c>
      <c r="M1060" s="374"/>
      <c r="N1060" s="374"/>
      <c r="O1060" s="374"/>
    </row>
    <row r="1061" spans="1:15" s="236" customFormat="1" x14ac:dyDescent="0.2">
      <c r="A1061" s="254"/>
      <c r="B1061" s="268" t="str">
        <f>$B$7</f>
        <v>FT</v>
      </c>
      <c r="C1061" s="268" t="str">
        <f>$C$7</f>
        <v>PT</v>
      </c>
      <c r="D1061" s="268" t="str">
        <f>$D$7</f>
        <v>SE</v>
      </c>
      <c r="E1061" s="268" t="str">
        <f>$E$7</f>
        <v>Total</v>
      </c>
      <c r="F1061" s="268"/>
      <c r="G1061" s="268" t="str">
        <f>$G$7</f>
        <v>FT</v>
      </c>
      <c r="H1061" s="268" t="str">
        <f>$H$7</f>
        <v>PT</v>
      </c>
      <c r="I1061" s="268" t="str">
        <f>$I$7</f>
        <v>SE</v>
      </c>
      <c r="J1061" s="268" t="str">
        <f>$J$7</f>
        <v>Total</v>
      </c>
      <c r="K1061" s="268"/>
      <c r="L1061" s="268" t="str">
        <f>$L$7</f>
        <v>FT</v>
      </c>
      <c r="M1061" s="268" t="str">
        <f>$M$7</f>
        <v>PT</v>
      </c>
      <c r="N1061" s="268" t="str">
        <f>$N$7</f>
        <v>SE</v>
      </c>
      <c r="O1061" s="268" t="str">
        <f>$O$7</f>
        <v>Total</v>
      </c>
    </row>
    <row r="1062" spans="1:15" s="236" customFormat="1" x14ac:dyDescent="0.2">
      <c r="A1062" s="258"/>
      <c r="B1062" s="239"/>
      <c r="C1062" s="239"/>
      <c r="D1062" s="239"/>
      <c r="E1062" s="239"/>
      <c r="F1062" s="239"/>
      <c r="G1062" s="239"/>
      <c r="H1062" s="239"/>
      <c r="I1062" s="239"/>
      <c r="J1062" s="239"/>
      <c r="K1062" s="239"/>
      <c r="L1062" s="239"/>
      <c r="M1062" s="239"/>
      <c r="N1062" s="239"/>
      <c r="O1062" s="239"/>
    </row>
    <row r="1063" spans="1:15" s="236" customFormat="1" x14ac:dyDescent="0.2">
      <c r="A1063" s="237" t="str">
        <f>name!E$4</f>
        <v>Managers, directors and senior officials</v>
      </c>
      <c r="B1063" s="302">
        <v>13.017557419934739</v>
      </c>
      <c r="C1063" s="302">
        <v>5.6125585565965928</v>
      </c>
      <c r="D1063" s="302">
        <v>1.8238462901484347</v>
      </c>
      <c r="E1063" s="302">
        <f>SUM(B1063:D1063)</f>
        <v>20.453962266679767</v>
      </c>
      <c r="F1063" s="303"/>
      <c r="G1063" s="302">
        <v>11.533781252547104</v>
      </c>
      <c r="H1063" s="302">
        <v>6.8401017237761987</v>
      </c>
      <c r="I1063" s="302">
        <v>1.7249777686298722</v>
      </c>
      <c r="J1063" s="302">
        <f>SUM(G1063:I1063)</f>
        <v>20.098860744953175</v>
      </c>
      <c r="K1063" s="303"/>
      <c r="L1063" s="302">
        <v>13.491925313787753</v>
      </c>
      <c r="M1063" s="302">
        <v>8.5405634597303113</v>
      </c>
      <c r="N1063" s="302">
        <v>2.2115932230153743</v>
      </c>
      <c r="O1063" s="302">
        <f>SUM(L1063:N1063)</f>
        <v>24.244081996533438</v>
      </c>
    </row>
    <row r="1064" spans="1:15" s="236" customFormat="1" x14ac:dyDescent="0.2">
      <c r="A1064" s="237" t="str">
        <f>name!E$5</f>
        <v>Professional occupations</v>
      </c>
      <c r="B1064" s="302">
        <v>18.773219309795593</v>
      </c>
      <c r="C1064" s="302">
        <v>11.360382543261284</v>
      </c>
      <c r="D1064" s="302">
        <v>1.3171687470331004</v>
      </c>
      <c r="E1064" s="302">
        <f t="shared" ref="E1064:E1071" si="455">SUM(B1064:D1064)</f>
        <v>31.450770600089978</v>
      </c>
      <c r="F1064" s="303"/>
      <c r="G1064" s="302">
        <v>19.125916052703964</v>
      </c>
      <c r="H1064" s="302">
        <v>13.574117353207539</v>
      </c>
      <c r="I1064" s="302">
        <v>1.0824550693250412</v>
      </c>
      <c r="J1064" s="302">
        <f t="shared" ref="J1064:J1066" si="456">SUM(G1064:I1064)</f>
        <v>33.782488475236548</v>
      </c>
      <c r="K1064" s="303"/>
      <c r="L1064" s="302">
        <v>23.952316085285901</v>
      </c>
      <c r="M1064" s="302">
        <v>19.409432820099035</v>
      </c>
      <c r="N1064" s="302">
        <v>0.84342998224392618</v>
      </c>
      <c r="O1064" s="302">
        <f t="shared" ref="O1064:O1071" si="457">SUM(L1064:N1064)</f>
        <v>44.205178887628861</v>
      </c>
    </row>
    <row r="1065" spans="1:15" s="236" customFormat="1" x14ac:dyDescent="0.2">
      <c r="A1065" s="237" t="str">
        <f>name!E$6</f>
        <v>Associate professional occupations</v>
      </c>
      <c r="B1065" s="302">
        <v>18.860383377218945</v>
      </c>
      <c r="C1065" s="302">
        <v>12.61583791359395</v>
      </c>
      <c r="D1065" s="302">
        <v>2.5020269174549834</v>
      </c>
      <c r="E1065" s="302">
        <f t="shared" si="455"/>
        <v>33.978248208267878</v>
      </c>
      <c r="F1065" s="303"/>
      <c r="G1065" s="302">
        <v>17.634924262519547</v>
      </c>
      <c r="H1065" s="302">
        <v>13.102350156980064</v>
      </c>
      <c r="I1065" s="302">
        <v>1.7773360749308731</v>
      </c>
      <c r="J1065" s="302">
        <f t="shared" si="456"/>
        <v>32.514610494430485</v>
      </c>
      <c r="K1065" s="303"/>
      <c r="L1065" s="302">
        <v>18.169406964453671</v>
      </c>
      <c r="M1065" s="302">
        <v>17.023029736498717</v>
      </c>
      <c r="N1065" s="302">
        <v>1.0739282928944718</v>
      </c>
      <c r="O1065" s="302">
        <f t="shared" si="457"/>
        <v>36.266364993846857</v>
      </c>
    </row>
    <row r="1066" spans="1:15" s="236" customFormat="1" x14ac:dyDescent="0.2">
      <c r="A1066" s="237" t="str">
        <f>name!E$7</f>
        <v>Administrative and secretarial occupations</v>
      </c>
      <c r="B1066" s="302">
        <v>9.1698091440650682</v>
      </c>
      <c r="C1066" s="302">
        <v>12.453345220644945</v>
      </c>
      <c r="D1066" s="302">
        <v>0.38071791707058378</v>
      </c>
      <c r="E1066" s="302">
        <f t="shared" si="455"/>
        <v>22.003872281780595</v>
      </c>
      <c r="F1066" s="303"/>
      <c r="G1066" s="302">
        <v>7.3391814260785972</v>
      </c>
      <c r="H1066" s="302">
        <v>11.072264478767947</v>
      </c>
      <c r="I1066" s="302">
        <v>0.29550902954294966</v>
      </c>
      <c r="J1066" s="302">
        <f t="shared" si="456"/>
        <v>18.706954934389493</v>
      </c>
      <c r="K1066" s="303"/>
      <c r="L1066" s="302">
        <v>6.2344514261005681</v>
      </c>
      <c r="M1066" s="302">
        <v>11.048682962935363</v>
      </c>
      <c r="N1066" s="302">
        <v>0.23709541923804289</v>
      </c>
      <c r="O1066" s="302">
        <f t="shared" si="457"/>
        <v>17.520229808273971</v>
      </c>
    </row>
    <row r="1067" spans="1:15" s="236" customFormat="1" x14ac:dyDescent="0.2">
      <c r="A1067" s="237" t="str">
        <f>name!E$8</f>
        <v>Skilled trades occupations</v>
      </c>
      <c r="B1067" s="302">
        <v>2.0565424512159809</v>
      </c>
      <c r="C1067" s="302">
        <v>1.437156114582488</v>
      </c>
      <c r="D1067" s="302">
        <v>0.87229186816302628</v>
      </c>
      <c r="E1067" s="302">
        <f t="shared" si="455"/>
        <v>4.3659904339614952</v>
      </c>
      <c r="F1067" s="303"/>
      <c r="G1067" s="302">
        <v>1.4046935031985048</v>
      </c>
      <c r="H1067" s="302">
        <v>0.95443270263846469</v>
      </c>
      <c r="I1067" s="302">
        <v>0.6728144448487331</v>
      </c>
      <c r="J1067" s="302">
        <f>SUM(G1067:I1067)</f>
        <v>3.0319406506857027</v>
      </c>
      <c r="K1067" s="303"/>
      <c r="L1067" s="302">
        <v>1.49555613722129</v>
      </c>
      <c r="M1067" s="302">
        <v>1.5025668092802289</v>
      </c>
      <c r="N1067" s="302">
        <v>0.87699738710910224</v>
      </c>
      <c r="O1067" s="302">
        <f t="shared" si="457"/>
        <v>3.8751203336106212</v>
      </c>
    </row>
    <row r="1068" spans="1:15" s="236" customFormat="1" x14ac:dyDescent="0.2">
      <c r="A1068" s="237" t="str">
        <f>name!E$9</f>
        <v>Caring, leisure and other service occupations</v>
      </c>
      <c r="B1068" s="302">
        <v>4.5430832365605518</v>
      </c>
      <c r="C1068" s="302">
        <v>8.5278789578870988</v>
      </c>
      <c r="D1068" s="302">
        <v>0.70661471574240586</v>
      </c>
      <c r="E1068" s="302">
        <f t="shared" si="455"/>
        <v>13.777576910190056</v>
      </c>
      <c r="F1068" s="303"/>
      <c r="G1068" s="302">
        <v>3.6555938181776133</v>
      </c>
      <c r="H1068" s="302">
        <v>7.8229954587285109</v>
      </c>
      <c r="I1068" s="302">
        <v>0.61702200729564727</v>
      </c>
      <c r="J1068" s="302">
        <f t="shared" ref="J1068:J1071" si="458">SUM(G1068:I1068)</f>
        <v>12.095611284201771</v>
      </c>
      <c r="K1068" s="303"/>
      <c r="L1068" s="302">
        <v>4.4324487494342923</v>
      </c>
      <c r="M1068" s="302">
        <v>9.191076933568139</v>
      </c>
      <c r="N1068" s="302">
        <v>0.71532950783740601</v>
      </c>
      <c r="O1068" s="302">
        <f t="shared" si="457"/>
        <v>14.338855190839837</v>
      </c>
    </row>
    <row r="1069" spans="1:15" s="236" customFormat="1" x14ac:dyDescent="0.2">
      <c r="A1069" s="237" t="str">
        <f>name!E$10</f>
        <v>Sales and customer service occupations</v>
      </c>
      <c r="B1069" s="302">
        <v>4.9372750927281794</v>
      </c>
      <c r="C1069" s="302">
        <v>4.7930294454935449</v>
      </c>
      <c r="D1069" s="302">
        <v>0.41981618529061171</v>
      </c>
      <c r="E1069" s="302">
        <f t="shared" si="455"/>
        <v>10.150120723512336</v>
      </c>
      <c r="F1069" s="303"/>
      <c r="G1069" s="302">
        <v>3.693569310761406</v>
      </c>
      <c r="H1069" s="302">
        <v>4.5083878400163675</v>
      </c>
      <c r="I1069" s="302">
        <v>0.29713578712405198</v>
      </c>
      <c r="J1069" s="302">
        <f t="shared" si="458"/>
        <v>8.4990929379018247</v>
      </c>
      <c r="K1069" s="303"/>
      <c r="L1069" s="302">
        <v>4.1184764537210672</v>
      </c>
      <c r="M1069" s="302">
        <v>7.0099820217906803</v>
      </c>
      <c r="N1069" s="302">
        <v>0.28165792128301009</v>
      </c>
      <c r="O1069" s="302">
        <f t="shared" si="457"/>
        <v>11.410116396794757</v>
      </c>
    </row>
    <row r="1070" spans="1:15" s="236" customFormat="1" x14ac:dyDescent="0.2">
      <c r="A1070" s="237" t="str">
        <f>name!E$11</f>
        <v>Process, plant and machine operatives</v>
      </c>
      <c r="B1070" s="302">
        <v>0.73063796687197935</v>
      </c>
      <c r="C1070" s="302">
        <v>2.0314258066455952</v>
      </c>
      <c r="D1070" s="302">
        <v>8.4128883813135893E-2</v>
      </c>
      <c r="E1070" s="302">
        <f t="shared" si="455"/>
        <v>2.8461926573307106</v>
      </c>
      <c r="F1070" s="303"/>
      <c r="G1070" s="302">
        <v>0.47411919755798221</v>
      </c>
      <c r="H1070" s="302">
        <v>1.7692241020103829</v>
      </c>
      <c r="I1070" s="302">
        <v>7.3183474378685623E-2</v>
      </c>
      <c r="J1070" s="302">
        <f t="shared" si="458"/>
        <v>2.3165267739470505</v>
      </c>
      <c r="K1070" s="303"/>
      <c r="L1070" s="302">
        <v>0.44332335488456975</v>
      </c>
      <c r="M1070" s="302">
        <v>2.1511428829928096</v>
      </c>
      <c r="N1070" s="302">
        <v>9.8097819794315214E-2</v>
      </c>
      <c r="O1070" s="302">
        <f t="shared" si="457"/>
        <v>2.6925640576716945</v>
      </c>
    </row>
    <row r="1071" spans="1:15" s="236" customFormat="1" x14ac:dyDescent="0.2">
      <c r="A1071" s="237" t="str">
        <f>name!E$12</f>
        <v>Elementary occupations</v>
      </c>
      <c r="B1071" s="302">
        <v>9.6854920018316477</v>
      </c>
      <c r="C1071" s="302">
        <v>31.208385442487987</v>
      </c>
      <c r="D1071" s="302">
        <v>6.5333884756927336</v>
      </c>
      <c r="E1071" s="302">
        <f t="shared" si="455"/>
        <v>47.427265920012367</v>
      </c>
      <c r="F1071" s="303"/>
      <c r="G1071" s="302">
        <v>6.9762211760966801</v>
      </c>
      <c r="H1071" s="302">
        <v>24.048126183149847</v>
      </c>
      <c r="I1071" s="302">
        <v>3.8165663437931663</v>
      </c>
      <c r="J1071" s="302">
        <f t="shared" si="458"/>
        <v>34.840913703039689</v>
      </c>
      <c r="K1071" s="303"/>
      <c r="L1071" s="302">
        <v>9.1740955146882364</v>
      </c>
      <c r="M1071" s="302">
        <v>12.778522372892835</v>
      </c>
      <c r="N1071" s="302">
        <v>5.0078704465908883</v>
      </c>
      <c r="O1071" s="302">
        <f t="shared" si="457"/>
        <v>26.960488334171959</v>
      </c>
    </row>
    <row r="1072" spans="1:15" s="236" customFormat="1" x14ac:dyDescent="0.2">
      <c r="A1072" s="237"/>
      <c r="B1072" s="302"/>
      <c r="C1072" s="302"/>
      <c r="D1072" s="302"/>
      <c r="E1072" s="302"/>
      <c r="F1072" s="303"/>
      <c r="G1072" s="302"/>
      <c r="H1072" s="302"/>
      <c r="I1072" s="302"/>
      <c r="J1072" s="302"/>
      <c r="K1072" s="303"/>
      <c r="L1072" s="302"/>
      <c r="M1072" s="302"/>
      <c r="N1072" s="302"/>
      <c r="O1072" s="302"/>
    </row>
    <row r="1073" spans="1:15" s="236" customFormat="1" x14ac:dyDescent="0.2">
      <c r="A1073" s="244" t="s">
        <v>32</v>
      </c>
      <c r="B1073" s="311">
        <f>SUM(B1063:B1071)</f>
        <v>81.774000000222699</v>
      </c>
      <c r="C1073" s="311">
        <f t="shared" ref="C1073:E1073" si="459">SUM(C1063:C1071)</f>
        <v>90.040000001193476</v>
      </c>
      <c r="D1073" s="311">
        <f t="shared" si="459"/>
        <v>14.640000000409016</v>
      </c>
      <c r="E1073" s="311">
        <f t="shared" si="459"/>
        <v>186.45400000182519</v>
      </c>
      <c r="F1073" s="311"/>
      <c r="G1073" s="311">
        <f t="shared" ref="G1073:J1073" si="460">SUM(G1063:G1071)</f>
        <v>71.837999999641411</v>
      </c>
      <c r="H1073" s="311">
        <f t="shared" si="460"/>
        <v>83.691999999275325</v>
      </c>
      <c r="I1073" s="311">
        <f t="shared" si="460"/>
        <v>10.356999999869021</v>
      </c>
      <c r="J1073" s="311">
        <f t="shared" si="460"/>
        <v>165.88699999878574</v>
      </c>
      <c r="K1073" s="311"/>
      <c r="L1073" s="311">
        <f t="shared" ref="L1073:O1073" si="461">SUM(L1063:L1071)</f>
        <v>81.511999999577355</v>
      </c>
      <c r="M1073" s="311">
        <f t="shared" si="461"/>
        <v>88.654999999788117</v>
      </c>
      <c r="N1073" s="311">
        <f t="shared" si="461"/>
        <v>11.346000000006537</v>
      </c>
      <c r="O1073" s="311">
        <f t="shared" si="461"/>
        <v>181.512999999372</v>
      </c>
    </row>
    <row r="1074" spans="1:15" s="236" customFormat="1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37"/>
      <c r="M1074" s="237"/>
      <c r="N1074" s="240"/>
    </row>
    <row r="1075" spans="1:15" s="236" customFormat="1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37"/>
      <c r="M1075" s="237"/>
      <c r="N1075" s="240"/>
      <c r="O1075" s="251" t="s">
        <v>35</v>
      </c>
    </row>
    <row r="1076" spans="1:15" s="236" customFormat="1" x14ac:dyDescent="0.2">
      <c r="A1076" s="242"/>
      <c r="B1076" s="242"/>
      <c r="C1076" s="242"/>
      <c r="D1076" s="242"/>
      <c r="E1076" s="242"/>
      <c r="F1076" s="242"/>
      <c r="G1076" s="242"/>
      <c r="H1076" s="242"/>
      <c r="I1076" s="242"/>
      <c r="J1076" s="242"/>
      <c r="K1076" s="242"/>
      <c r="L1076" s="242"/>
      <c r="M1076" s="242"/>
      <c r="N1076" s="242"/>
      <c r="O1076" s="242"/>
    </row>
    <row r="1077" spans="1:15" s="236" customFormat="1" x14ac:dyDescent="0.2">
      <c r="A1077" s="241" t="str">
        <f>name!A66</f>
        <v>Office administrative</v>
      </c>
      <c r="B1077" s="374">
        <f>$B$6</f>
        <v>2015</v>
      </c>
      <c r="C1077" s="374"/>
      <c r="D1077" s="374"/>
      <c r="E1077" s="374"/>
      <c r="F1077" s="263"/>
      <c r="G1077" s="374">
        <f>$G$6</f>
        <v>2020</v>
      </c>
      <c r="H1077" s="374"/>
      <c r="I1077" s="374"/>
      <c r="J1077" s="374"/>
      <c r="K1077" s="263"/>
      <c r="L1077" s="374">
        <f>$L$6</f>
        <v>2035</v>
      </c>
      <c r="M1077" s="374"/>
      <c r="N1077" s="374"/>
      <c r="O1077" s="374"/>
    </row>
    <row r="1078" spans="1:15" s="236" customFormat="1" x14ac:dyDescent="0.2">
      <c r="A1078" s="254"/>
      <c r="B1078" s="268" t="str">
        <f>$B$7</f>
        <v>FT</v>
      </c>
      <c r="C1078" s="268" t="str">
        <f>$C$7</f>
        <v>PT</v>
      </c>
      <c r="D1078" s="268" t="str">
        <f>$D$7</f>
        <v>SE</v>
      </c>
      <c r="E1078" s="268" t="str">
        <f>$E$7</f>
        <v>Total</v>
      </c>
      <c r="F1078" s="268"/>
      <c r="G1078" s="268" t="str">
        <f>$G$7</f>
        <v>FT</v>
      </c>
      <c r="H1078" s="268" t="str">
        <f>$H$7</f>
        <v>PT</v>
      </c>
      <c r="I1078" s="268" t="str">
        <f>$I$7</f>
        <v>SE</v>
      </c>
      <c r="J1078" s="268" t="str">
        <f>$J$7</f>
        <v>Total</v>
      </c>
      <c r="K1078" s="268"/>
      <c r="L1078" s="268" t="str">
        <f>$L$7</f>
        <v>FT</v>
      </c>
      <c r="M1078" s="268" t="str">
        <f>$M$7</f>
        <v>PT</v>
      </c>
      <c r="N1078" s="268" t="str">
        <f>$N$7</f>
        <v>SE</v>
      </c>
      <c r="O1078" s="268" t="str">
        <f>$O$7</f>
        <v>Total</v>
      </c>
    </row>
    <row r="1079" spans="1:15" s="236" customFormat="1" x14ac:dyDescent="0.2">
      <c r="A1079" s="258"/>
      <c r="B1079" s="239"/>
      <c r="C1079" s="239"/>
      <c r="D1079" s="239"/>
      <c r="E1079" s="239"/>
      <c r="F1079" s="239"/>
      <c r="G1079" s="239"/>
      <c r="H1079" s="239"/>
      <c r="I1079" s="239"/>
      <c r="J1079" s="239"/>
      <c r="K1079" s="239"/>
      <c r="L1079" s="239"/>
      <c r="M1079" s="239"/>
      <c r="N1079" s="239"/>
      <c r="O1079" s="239"/>
    </row>
    <row r="1080" spans="1:15" s="236" customFormat="1" x14ac:dyDescent="0.2">
      <c r="A1080" s="237" t="str">
        <f>name!E$4</f>
        <v>Managers, directors and senior officials</v>
      </c>
      <c r="B1080" s="302">
        <v>10.04361109937523</v>
      </c>
      <c r="C1080" s="302">
        <v>0.98510187068230959</v>
      </c>
      <c r="D1080" s="302">
        <v>0.65915872380829699</v>
      </c>
      <c r="E1080" s="302">
        <f>SUM(B1080:D1080)</f>
        <v>11.687871693865837</v>
      </c>
      <c r="F1080" s="303"/>
      <c r="G1080" s="302">
        <v>14.815716725420659</v>
      </c>
      <c r="H1080" s="302">
        <v>2.1966204205466404</v>
      </c>
      <c r="I1080" s="302">
        <v>0.93878121420487259</v>
      </c>
      <c r="J1080" s="302">
        <f>SUM(G1080:I1080)</f>
        <v>17.951118360172174</v>
      </c>
      <c r="K1080" s="303"/>
      <c r="L1080" s="302">
        <v>16.936703307260519</v>
      </c>
      <c r="M1080" s="302">
        <v>2.8154278546927678</v>
      </c>
      <c r="N1080" s="302">
        <v>1.1578681104196002</v>
      </c>
      <c r="O1080" s="302">
        <f>SUM(L1080:N1080)</f>
        <v>20.909999272372886</v>
      </c>
    </row>
    <row r="1081" spans="1:15" s="236" customFormat="1" x14ac:dyDescent="0.2">
      <c r="A1081" s="237" t="str">
        <f>name!E$5</f>
        <v>Professional occupations</v>
      </c>
      <c r="B1081" s="302">
        <v>13.44792006968772</v>
      </c>
      <c r="C1081" s="302">
        <v>1.4295324273570065</v>
      </c>
      <c r="D1081" s="302">
        <v>0.72514670621297272</v>
      </c>
      <c r="E1081" s="302">
        <f t="shared" ref="E1081:E1088" si="462">SUM(B1081:D1081)</f>
        <v>15.6025992032577</v>
      </c>
      <c r="F1081" s="303"/>
      <c r="G1081" s="302">
        <v>22.690053346284031</v>
      </c>
      <c r="H1081" s="302">
        <v>3.600813701434423</v>
      </c>
      <c r="I1081" s="302">
        <v>0.95852446700721139</v>
      </c>
      <c r="J1081" s="302">
        <f t="shared" ref="J1081:J1083" si="463">SUM(G1081:I1081)</f>
        <v>27.249391514725666</v>
      </c>
      <c r="K1081" s="303"/>
      <c r="L1081" s="302">
        <v>29.489493328705475</v>
      </c>
      <c r="M1081" s="302">
        <v>5.8008809448087417</v>
      </c>
      <c r="N1081" s="302">
        <v>0.77867087646214617</v>
      </c>
      <c r="O1081" s="302">
        <f t="shared" ref="O1081:O1088" si="464">SUM(L1081:N1081)</f>
        <v>36.069045149976361</v>
      </c>
    </row>
    <row r="1082" spans="1:15" s="236" customFormat="1" x14ac:dyDescent="0.2">
      <c r="A1082" s="237" t="str">
        <f>name!E$6</f>
        <v>Associate professional occupations</v>
      </c>
      <c r="B1082" s="302">
        <v>17.193741338460985</v>
      </c>
      <c r="C1082" s="302">
        <v>1.7646815110917771</v>
      </c>
      <c r="D1082" s="302">
        <v>1.9014072895702454</v>
      </c>
      <c r="E1082" s="302">
        <f t="shared" si="462"/>
        <v>20.859830139123005</v>
      </c>
      <c r="F1082" s="303"/>
      <c r="G1082" s="302">
        <v>25.812804740090396</v>
      </c>
      <c r="H1082" s="302">
        <v>3.4312092413838329</v>
      </c>
      <c r="I1082" s="302">
        <v>2.5627371621071005</v>
      </c>
      <c r="J1082" s="302">
        <f t="shared" si="463"/>
        <v>31.80675114358133</v>
      </c>
      <c r="K1082" s="303"/>
      <c r="L1082" s="302">
        <v>26.419987103931003</v>
      </c>
      <c r="M1082" s="302">
        <v>4.2127562236652603</v>
      </c>
      <c r="N1082" s="302">
        <v>2.1917023132810156</v>
      </c>
      <c r="O1082" s="302">
        <f t="shared" si="464"/>
        <v>32.824445640877279</v>
      </c>
    </row>
    <row r="1083" spans="1:15" s="236" customFormat="1" x14ac:dyDescent="0.2">
      <c r="A1083" s="237" t="str">
        <f>name!E$7</f>
        <v>Administrative and secretarial occupations</v>
      </c>
      <c r="B1083" s="302">
        <v>5.0893308554278667</v>
      </c>
      <c r="C1083" s="302">
        <v>1.3029119539667184</v>
      </c>
      <c r="D1083" s="302">
        <v>0.15850320324873274</v>
      </c>
      <c r="E1083" s="302">
        <f t="shared" si="462"/>
        <v>6.5507460126433177</v>
      </c>
      <c r="F1083" s="303"/>
      <c r="G1083" s="302">
        <v>7.0557492525430403</v>
      </c>
      <c r="H1083" s="302">
        <v>2.2400851296554065</v>
      </c>
      <c r="I1083" s="302">
        <v>0.20525750281262251</v>
      </c>
      <c r="J1083" s="302">
        <f t="shared" si="463"/>
        <v>9.5010918850110695</v>
      </c>
      <c r="K1083" s="303"/>
      <c r="L1083" s="302">
        <v>6.688096876334324</v>
      </c>
      <c r="M1083" s="302">
        <v>2.2957074824666366</v>
      </c>
      <c r="N1083" s="302">
        <v>0.14332322622726326</v>
      </c>
      <c r="O1083" s="302">
        <f t="shared" si="464"/>
        <v>9.127127585028223</v>
      </c>
    </row>
    <row r="1084" spans="1:15" s="236" customFormat="1" x14ac:dyDescent="0.2">
      <c r="A1084" s="237" t="str">
        <f>name!E$8</f>
        <v>Skilled trades occupations</v>
      </c>
      <c r="B1084" s="302">
        <v>2.028900240947392</v>
      </c>
      <c r="C1084" s="302">
        <v>0.35617522784027972</v>
      </c>
      <c r="D1084" s="302">
        <v>0.30815375630418979</v>
      </c>
      <c r="E1084" s="302">
        <f t="shared" si="462"/>
        <v>2.6932292250918617</v>
      </c>
      <c r="F1084" s="303"/>
      <c r="G1084" s="302">
        <v>2.158508438468945</v>
      </c>
      <c r="H1084" s="302">
        <v>0.37113174705445079</v>
      </c>
      <c r="I1084" s="302">
        <v>0.33371504094420107</v>
      </c>
      <c r="J1084" s="302">
        <f>SUM(G1084:I1084)</f>
        <v>2.863355226467597</v>
      </c>
      <c r="K1084" s="303"/>
      <c r="L1084" s="302">
        <v>1.9761805178943654</v>
      </c>
      <c r="M1084" s="302">
        <v>0.53892961493544378</v>
      </c>
      <c r="N1084" s="302">
        <v>0.3134357674209054</v>
      </c>
      <c r="O1084" s="302">
        <f t="shared" si="464"/>
        <v>2.828545900250715</v>
      </c>
    </row>
    <row r="1085" spans="1:15" s="236" customFormat="1" x14ac:dyDescent="0.2">
      <c r="A1085" s="237" t="str">
        <f>name!E$9</f>
        <v>Caring, leisure and other service occupations</v>
      </c>
      <c r="B1085" s="302">
        <v>2.0523595427125221</v>
      </c>
      <c r="C1085" s="302">
        <v>1.2752198184874617</v>
      </c>
      <c r="D1085" s="302">
        <v>0.39761900524872817</v>
      </c>
      <c r="E1085" s="302">
        <f t="shared" si="462"/>
        <v>3.7251983664487121</v>
      </c>
      <c r="F1085" s="303"/>
      <c r="G1085" s="302">
        <v>2.7482350508079656</v>
      </c>
      <c r="H1085" s="302">
        <v>2.2503555020793473</v>
      </c>
      <c r="I1085" s="302">
        <v>0.6051000752209077</v>
      </c>
      <c r="J1085" s="302">
        <f t="shared" ref="J1085:J1088" si="465">SUM(G1085:I1085)</f>
        <v>5.6036906281082208</v>
      </c>
      <c r="K1085" s="303"/>
      <c r="L1085" s="302">
        <v>3.0458717405409677</v>
      </c>
      <c r="M1085" s="302">
        <v>2.7038805437724367</v>
      </c>
      <c r="N1085" s="302">
        <v>0.67975859620376733</v>
      </c>
      <c r="O1085" s="302">
        <f t="shared" si="464"/>
        <v>6.4295108805171708</v>
      </c>
    </row>
    <row r="1086" spans="1:15" s="236" customFormat="1" x14ac:dyDescent="0.2">
      <c r="A1086" s="237" t="str">
        <f>name!E$10</f>
        <v>Sales and customer service occupations</v>
      </c>
      <c r="B1086" s="302">
        <v>3.6758654867304377</v>
      </c>
      <c r="C1086" s="302">
        <v>0.7714321403173906</v>
      </c>
      <c r="D1086" s="302">
        <v>0.15152123930514327</v>
      </c>
      <c r="E1086" s="302">
        <f t="shared" si="462"/>
        <v>4.5988188663529721</v>
      </c>
      <c r="F1086" s="303"/>
      <c r="G1086" s="302">
        <v>4.729673282653569</v>
      </c>
      <c r="H1086" s="302">
        <v>1.2627562531243923</v>
      </c>
      <c r="I1086" s="302">
        <v>0.16654627775173786</v>
      </c>
      <c r="J1086" s="302">
        <f t="shared" si="465"/>
        <v>6.1589758135296986</v>
      </c>
      <c r="K1086" s="303"/>
      <c r="L1086" s="302">
        <v>5.5453066291021607</v>
      </c>
      <c r="M1086" s="302">
        <v>1.8396785947697505</v>
      </c>
      <c r="N1086" s="302">
        <v>0.14895396432797214</v>
      </c>
      <c r="O1086" s="302">
        <f t="shared" si="464"/>
        <v>7.5339391881998834</v>
      </c>
    </row>
    <row r="1087" spans="1:15" s="236" customFormat="1" x14ac:dyDescent="0.2">
      <c r="A1087" s="237" t="str">
        <f>name!E$11</f>
        <v>Process, plant and machine operatives</v>
      </c>
      <c r="B1087" s="302">
        <v>0.99352075645119575</v>
      </c>
      <c r="C1087" s="302">
        <v>0.80631880564906189</v>
      </c>
      <c r="D1087" s="302">
        <v>5.8582378242530583E-2</v>
      </c>
      <c r="E1087" s="302">
        <f t="shared" si="462"/>
        <v>1.8584219403427882</v>
      </c>
      <c r="F1087" s="303"/>
      <c r="G1087" s="302">
        <v>1.0736689900866963</v>
      </c>
      <c r="H1087" s="302">
        <v>1.344738223461142</v>
      </c>
      <c r="I1087" s="302">
        <v>8.5439143398073319E-2</v>
      </c>
      <c r="J1087" s="302">
        <f t="shared" si="465"/>
        <v>2.5038463569459117</v>
      </c>
      <c r="K1087" s="303"/>
      <c r="L1087" s="302">
        <v>0.8756651071164081</v>
      </c>
      <c r="M1087" s="302">
        <v>1.4481507265919582</v>
      </c>
      <c r="N1087" s="302">
        <v>0.11197633296770058</v>
      </c>
      <c r="O1087" s="302">
        <f t="shared" si="464"/>
        <v>2.4357921666760665</v>
      </c>
    </row>
    <row r="1088" spans="1:15" s="236" customFormat="1" x14ac:dyDescent="0.2">
      <c r="A1088" s="237" t="str">
        <f>name!E$12</f>
        <v>Elementary occupations</v>
      </c>
      <c r="B1088" s="302">
        <v>13.914750610663727</v>
      </c>
      <c r="C1088" s="302">
        <v>6.2376262448993955</v>
      </c>
      <c r="D1088" s="302">
        <v>4.3739076983479492</v>
      </c>
      <c r="E1088" s="302">
        <f t="shared" si="462"/>
        <v>24.526284553911072</v>
      </c>
      <c r="F1088" s="303"/>
      <c r="G1088" s="302">
        <v>16.077590173252585</v>
      </c>
      <c r="H1088" s="302">
        <v>8.5142897810159823</v>
      </c>
      <c r="I1088" s="302">
        <v>4.5948991164401498</v>
      </c>
      <c r="J1088" s="302">
        <f t="shared" si="465"/>
        <v>29.186779070708717</v>
      </c>
      <c r="K1088" s="303"/>
      <c r="L1088" s="302">
        <v>17.731695388392477</v>
      </c>
      <c r="M1088" s="302">
        <v>5.4285880140898444</v>
      </c>
      <c r="N1088" s="302">
        <v>5.9213108128011829</v>
      </c>
      <c r="O1088" s="302">
        <f t="shared" si="464"/>
        <v>29.081594215283502</v>
      </c>
    </row>
    <row r="1089" spans="1:15" s="236" customFormat="1" x14ac:dyDescent="0.2">
      <c r="A1089" s="237"/>
      <c r="B1089" s="302"/>
      <c r="C1089" s="302"/>
      <c r="D1089" s="302"/>
      <c r="E1089" s="302"/>
      <c r="F1089" s="303"/>
      <c r="G1089" s="302"/>
      <c r="H1089" s="302"/>
      <c r="I1089" s="302"/>
      <c r="J1089" s="302"/>
      <c r="K1089" s="303"/>
      <c r="L1089" s="302"/>
      <c r="M1089" s="302"/>
      <c r="N1089" s="302"/>
      <c r="O1089" s="302"/>
    </row>
    <row r="1090" spans="1:15" s="236" customFormat="1" x14ac:dyDescent="0.2">
      <c r="A1090" s="244" t="s">
        <v>32</v>
      </c>
      <c r="B1090" s="311">
        <f>SUM(B1080:B1088)</f>
        <v>68.440000000457076</v>
      </c>
      <c r="C1090" s="311">
        <f t="shared" ref="C1090:E1090" si="466">SUM(C1080:C1088)</f>
        <v>14.929000000291401</v>
      </c>
      <c r="D1090" s="311">
        <f t="shared" si="466"/>
        <v>8.7340000002887894</v>
      </c>
      <c r="E1090" s="311">
        <f t="shared" si="466"/>
        <v>92.103000001037273</v>
      </c>
      <c r="F1090" s="311"/>
      <c r="G1090" s="311">
        <f t="shared" ref="G1090:J1090" si="467">SUM(G1080:G1088)</f>
        <v>97.161999999607886</v>
      </c>
      <c r="H1090" s="311">
        <f t="shared" si="467"/>
        <v>25.211999999755616</v>
      </c>
      <c r="I1090" s="311">
        <f t="shared" si="467"/>
        <v>10.450999999886875</v>
      </c>
      <c r="J1090" s="311">
        <f t="shared" si="467"/>
        <v>132.82499999925037</v>
      </c>
      <c r="K1090" s="311"/>
      <c r="L1090" s="311">
        <f t="shared" ref="L1090:O1090" si="468">SUM(L1080:L1088)</f>
        <v>108.70899999927771</v>
      </c>
      <c r="M1090" s="311">
        <f t="shared" si="468"/>
        <v>27.083999999792837</v>
      </c>
      <c r="N1090" s="311">
        <f t="shared" si="468"/>
        <v>11.447000000111554</v>
      </c>
      <c r="O1090" s="311">
        <f t="shared" si="468"/>
        <v>147.23999999918209</v>
      </c>
    </row>
    <row r="1091" spans="1:15" s="236" customFormat="1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37"/>
      <c r="M1091" s="237"/>
      <c r="N1091" s="240"/>
    </row>
    <row r="1092" spans="1:15" s="236" customFormat="1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37"/>
      <c r="M1092" s="237"/>
      <c r="N1092" s="240"/>
      <c r="O1092" s="251" t="s">
        <v>35</v>
      </c>
    </row>
    <row r="1093" spans="1:15" s="236" customFormat="1" x14ac:dyDescent="0.2">
      <c r="A1093" s="242"/>
      <c r="B1093" s="242"/>
      <c r="C1093" s="242"/>
      <c r="D1093" s="242"/>
      <c r="E1093" s="242"/>
      <c r="F1093" s="242"/>
      <c r="G1093" s="242"/>
      <c r="H1093" s="242"/>
      <c r="I1093" s="242"/>
      <c r="J1093" s="242"/>
      <c r="K1093" s="242"/>
      <c r="L1093" s="242"/>
      <c r="M1093" s="242"/>
      <c r="N1093" s="242"/>
      <c r="O1093" s="242"/>
    </row>
    <row r="1094" spans="1:15" s="236" customFormat="1" x14ac:dyDescent="0.2">
      <c r="A1094" s="241" t="str">
        <f>name!A67</f>
        <v>Public administration and defence</v>
      </c>
      <c r="B1094" s="374">
        <f>$B$6</f>
        <v>2015</v>
      </c>
      <c r="C1094" s="374"/>
      <c r="D1094" s="374"/>
      <c r="E1094" s="374"/>
      <c r="F1094" s="263"/>
      <c r="G1094" s="374">
        <f>$G$6</f>
        <v>2020</v>
      </c>
      <c r="H1094" s="374"/>
      <c r="I1094" s="374"/>
      <c r="J1094" s="374"/>
      <c r="K1094" s="263"/>
      <c r="L1094" s="374">
        <f>$L$6</f>
        <v>2035</v>
      </c>
      <c r="M1094" s="374"/>
      <c r="N1094" s="374"/>
      <c r="O1094" s="374"/>
    </row>
    <row r="1095" spans="1:15" s="236" customFormat="1" x14ac:dyDescent="0.2">
      <c r="A1095" s="254"/>
      <c r="B1095" s="268" t="str">
        <f>$B$7</f>
        <v>FT</v>
      </c>
      <c r="C1095" s="268" t="str">
        <f>$C$7</f>
        <v>PT</v>
      </c>
      <c r="D1095" s="268" t="str">
        <f>$D$7</f>
        <v>SE</v>
      </c>
      <c r="E1095" s="268" t="str">
        <f>$E$7</f>
        <v>Total</v>
      </c>
      <c r="F1095" s="268"/>
      <c r="G1095" s="268" t="str">
        <f>$G$7</f>
        <v>FT</v>
      </c>
      <c r="H1095" s="268" t="str">
        <f>$H$7</f>
        <v>PT</v>
      </c>
      <c r="I1095" s="268" t="str">
        <f>$I$7</f>
        <v>SE</v>
      </c>
      <c r="J1095" s="268" t="str">
        <f>$J$7</f>
        <v>Total</v>
      </c>
      <c r="K1095" s="268"/>
      <c r="L1095" s="268" t="str">
        <f>$L$7</f>
        <v>FT</v>
      </c>
      <c r="M1095" s="268" t="str">
        <f>$M$7</f>
        <v>PT</v>
      </c>
      <c r="N1095" s="268" t="str">
        <f>$N$7</f>
        <v>SE</v>
      </c>
      <c r="O1095" s="268" t="str">
        <f>$O$7</f>
        <v>Total</v>
      </c>
    </row>
    <row r="1096" spans="1:15" s="236" customFormat="1" x14ac:dyDescent="0.2">
      <c r="A1096" s="258"/>
      <c r="B1096" s="239"/>
      <c r="C1096" s="239"/>
      <c r="D1096" s="239"/>
      <c r="E1096" s="239"/>
      <c r="F1096" s="239"/>
      <c r="G1096" s="239"/>
      <c r="H1096" s="239"/>
      <c r="I1096" s="239"/>
      <c r="J1096" s="239"/>
      <c r="K1096" s="239"/>
      <c r="L1096" s="239"/>
      <c r="M1096" s="239"/>
      <c r="N1096" s="239"/>
      <c r="O1096" s="239"/>
    </row>
    <row r="1097" spans="1:15" s="236" customFormat="1" x14ac:dyDescent="0.2">
      <c r="A1097" s="237" t="str">
        <f>name!E$4</f>
        <v>Managers, directors and senior officials</v>
      </c>
      <c r="B1097" s="302">
        <v>16.539227275336973</v>
      </c>
      <c r="C1097" s="302">
        <v>3.0283711462988676</v>
      </c>
      <c r="D1097" s="302">
        <v>0.42318128569971586</v>
      </c>
      <c r="E1097" s="302">
        <f>SUM(B1097:D1097)</f>
        <v>19.990779707335555</v>
      </c>
      <c r="F1097" s="303"/>
      <c r="G1097" s="302">
        <v>19.214294255441104</v>
      </c>
      <c r="H1097" s="302">
        <v>3.9081122883590123</v>
      </c>
      <c r="I1097" s="302">
        <v>1.7089238006789864</v>
      </c>
      <c r="J1097" s="302">
        <f>SUM(G1097:I1097)</f>
        <v>24.831330344479102</v>
      </c>
      <c r="K1097" s="303"/>
      <c r="L1097" s="302">
        <v>17.554895563033337</v>
      </c>
      <c r="M1097" s="302">
        <v>4.643674911283342</v>
      </c>
      <c r="N1097" s="302">
        <v>2.1727174402518608</v>
      </c>
      <c r="O1097" s="302">
        <f>SUM(L1097:N1097)</f>
        <v>24.371287914568541</v>
      </c>
    </row>
    <row r="1098" spans="1:15" s="236" customFormat="1" x14ac:dyDescent="0.2">
      <c r="A1098" s="237" t="str">
        <f>name!E$5</f>
        <v>Professional occupations</v>
      </c>
      <c r="B1098" s="302">
        <v>51.194468387844594</v>
      </c>
      <c r="C1098" s="302">
        <v>10.561786457226029</v>
      </c>
      <c r="D1098" s="302">
        <v>1.9814887365273819</v>
      </c>
      <c r="E1098" s="302">
        <f t="shared" ref="E1098:E1105" si="469">SUM(B1098:D1098)</f>
        <v>63.737743581598004</v>
      </c>
      <c r="F1098" s="303"/>
      <c r="G1098" s="302">
        <v>67.492424125177578</v>
      </c>
      <c r="H1098" s="302">
        <v>12.694581834483339</v>
      </c>
      <c r="I1098" s="302">
        <v>6.9199682520445078</v>
      </c>
      <c r="J1098" s="302">
        <f t="shared" ref="J1098:J1100" si="470">SUM(G1098:I1098)</f>
        <v>87.106974211705435</v>
      </c>
      <c r="K1098" s="303"/>
      <c r="L1098" s="302">
        <v>72.638952500663052</v>
      </c>
      <c r="M1098" s="302">
        <v>16.310882052859512</v>
      </c>
      <c r="N1098" s="302">
        <v>6.8293709093177304</v>
      </c>
      <c r="O1098" s="302">
        <f t="shared" ref="O1098:O1105" si="471">SUM(L1098:N1098)</f>
        <v>95.779205462840295</v>
      </c>
    </row>
    <row r="1099" spans="1:15" s="236" customFormat="1" x14ac:dyDescent="0.2">
      <c r="A1099" s="237" t="str">
        <f>name!E$6</f>
        <v>Associate professional occupations</v>
      </c>
      <c r="B1099" s="302">
        <v>64.355219681811604</v>
      </c>
      <c r="C1099" s="302">
        <v>9.7628895874552271</v>
      </c>
      <c r="D1099" s="302">
        <v>0.77596310260596013</v>
      </c>
      <c r="E1099" s="302">
        <f t="shared" si="469"/>
        <v>74.894072371872781</v>
      </c>
      <c r="F1099" s="303"/>
      <c r="G1099" s="302">
        <v>75.822688856053986</v>
      </c>
      <c r="H1099" s="302">
        <v>9.7438080644515246</v>
      </c>
      <c r="I1099" s="302">
        <v>2.4727921670168471</v>
      </c>
      <c r="J1099" s="302">
        <f t="shared" si="470"/>
        <v>88.039289087522363</v>
      </c>
      <c r="K1099" s="303"/>
      <c r="L1099" s="302">
        <v>81.697222420603126</v>
      </c>
      <c r="M1099" s="302">
        <v>11.208604876643658</v>
      </c>
      <c r="N1099" s="302">
        <v>2.6310143498125682</v>
      </c>
      <c r="O1099" s="302">
        <f t="shared" si="471"/>
        <v>95.536841647059362</v>
      </c>
    </row>
    <row r="1100" spans="1:15" s="236" customFormat="1" x14ac:dyDescent="0.2">
      <c r="A1100" s="237" t="str">
        <f>name!E$7</f>
        <v>Administrative and secretarial occupations</v>
      </c>
      <c r="B1100" s="302">
        <v>17.972744512517458</v>
      </c>
      <c r="C1100" s="302">
        <v>17.840666550749354</v>
      </c>
      <c r="D1100" s="302">
        <v>0.18981852319287687</v>
      </c>
      <c r="E1100" s="302">
        <f t="shared" si="469"/>
        <v>36.003229586459689</v>
      </c>
      <c r="F1100" s="303"/>
      <c r="G1100" s="302">
        <v>17.734737260072212</v>
      </c>
      <c r="H1100" s="302">
        <v>15.179940581085948</v>
      </c>
      <c r="I1100" s="302">
        <v>0.61761293218101676</v>
      </c>
      <c r="J1100" s="302">
        <f t="shared" si="470"/>
        <v>33.532290773339177</v>
      </c>
      <c r="K1100" s="303"/>
      <c r="L1100" s="302">
        <v>8.4281345555773708</v>
      </c>
      <c r="M1100" s="302">
        <v>11.820163714412395</v>
      </c>
      <c r="N1100" s="302">
        <v>0.31832975851099121</v>
      </c>
      <c r="O1100" s="302">
        <f t="shared" si="471"/>
        <v>20.566628028500759</v>
      </c>
    </row>
    <row r="1101" spans="1:15" s="236" customFormat="1" x14ac:dyDescent="0.2">
      <c r="A1101" s="237" t="str">
        <f>name!E$8</f>
        <v>Skilled trades occupations</v>
      </c>
      <c r="B1101" s="302">
        <v>2.3327119835603729</v>
      </c>
      <c r="C1101" s="302">
        <v>0.23599755449559759</v>
      </c>
      <c r="D1101" s="302">
        <v>0.11096157841166787</v>
      </c>
      <c r="E1101" s="302">
        <f t="shared" si="469"/>
        <v>2.6796711164676386</v>
      </c>
      <c r="F1101" s="303"/>
      <c r="G1101" s="302">
        <v>2.0063129489548848</v>
      </c>
      <c r="H1101" s="302">
        <v>0.20047330507319766</v>
      </c>
      <c r="I1101" s="302">
        <v>0.27720793066582239</v>
      </c>
      <c r="J1101" s="302">
        <f>SUM(G1101:I1101)</f>
        <v>2.4839941846939046</v>
      </c>
      <c r="K1101" s="303"/>
      <c r="L1101" s="302">
        <v>1.9444433789504783</v>
      </c>
      <c r="M1101" s="302">
        <v>0.48528835108036777</v>
      </c>
      <c r="N1101" s="302">
        <v>0.36330846284118745</v>
      </c>
      <c r="O1101" s="302">
        <f t="shared" si="471"/>
        <v>2.7930401928720334</v>
      </c>
    </row>
    <row r="1102" spans="1:15" s="236" customFormat="1" x14ac:dyDescent="0.2">
      <c r="A1102" s="237" t="str">
        <f>name!E$9</f>
        <v>Caring, leisure and other service occupations</v>
      </c>
      <c r="B1102" s="302">
        <v>4.8212644015501738</v>
      </c>
      <c r="C1102" s="302">
        <v>1.8418993560103121</v>
      </c>
      <c r="D1102" s="302">
        <v>0.13578750834640649</v>
      </c>
      <c r="E1102" s="302">
        <f t="shared" si="469"/>
        <v>6.7989512659068927</v>
      </c>
      <c r="F1102" s="303"/>
      <c r="G1102" s="302">
        <v>4.8512358101905253</v>
      </c>
      <c r="H1102" s="302">
        <v>1.6840513601319862</v>
      </c>
      <c r="I1102" s="302">
        <v>0.54860593847653449</v>
      </c>
      <c r="J1102" s="302">
        <f t="shared" ref="J1102:J1105" si="472">SUM(G1102:I1102)</f>
        <v>7.083893108799046</v>
      </c>
      <c r="K1102" s="303"/>
      <c r="L1102" s="302">
        <v>5.1544926689854496</v>
      </c>
      <c r="M1102" s="302">
        <v>1.8081380934511659</v>
      </c>
      <c r="N1102" s="302">
        <v>0.56693056525133956</v>
      </c>
      <c r="O1102" s="302">
        <f t="shared" si="471"/>
        <v>7.5295613276879552</v>
      </c>
    </row>
    <row r="1103" spans="1:15" s="236" customFormat="1" x14ac:dyDescent="0.2">
      <c r="A1103" s="237" t="str">
        <f>name!E$10</f>
        <v>Sales and customer service occupations</v>
      </c>
      <c r="B1103" s="302">
        <v>2.3277950335275435</v>
      </c>
      <c r="C1103" s="302">
        <v>1.7943592901628171</v>
      </c>
      <c r="D1103" s="302">
        <v>7.4517002658138209E-2</v>
      </c>
      <c r="E1103" s="302">
        <f t="shared" si="469"/>
        <v>4.1966713263484987</v>
      </c>
      <c r="F1103" s="303"/>
      <c r="G1103" s="302">
        <v>2.3510120114517306</v>
      </c>
      <c r="H1103" s="302">
        <v>1.670687679483303</v>
      </c>
      <c r="I1103" s="302">
        <v>0.20992449084982931</v>
      </c>
      <c r="J1103" s="302">
        <f t="shared" si="472"/>
        <v>4.2316241817848628</v>
      </c>
      <c r="K1103" s="303"/>
      <c r="L1103" s="302">
        <v>2.1971886672781893</v>
      </c>
      <c r="M1103" s="302">
        <v>1.8814689098877204</v>
      </c>
      <c r="N1103" s="302">
        <v>0.22537500934473606</v>
      </c>
      <c r="O1103" s="302">
        <f t="shared" si="471"/>
        <v>4.3040325865106457</v>
      </c>
    </row>
    <row r="1104" spans="1:15" s="236" customFormat="1" x14ac:dyDescent="0.2">
      <c r="A1104" s="237" t="str">
        <f>name!E$11</f>
        <v>Process, plant and machine operatives</v>
      </c>
      <c r="B1104" s="302">
        <v>1.7150782126492758</v>
      </c>
      <c r="C1104" s="302">
        <v>0.7004531288996213</v>
      </c>
      <c r="D1104" s="302">
        <v>4.1187127803085644E-2</v>
      </c>
      <c r="E1104" s="302">
        <f t="shared" si="469"/>
        <v>2.456718469351983</v>
      </c>
      <c r="F1104" s="303"/>
      <c r="G1104" s="302">
        <v>1.4084559592700885</v>
      </c>
      <c r="H1104" s="302">
        <v>0.51987230248999861</v>
      </c>
      <c r="I1104" s="302">
        <v>0.16935757604545512</v>
      </c>
      <c r="J1104" s="302">
        <f t="shared" si="472"/>
        <v>2.0976858378055421</v>
      </c>
      <c r="K1104" s="303"/>
      <c r="L1104" s="302">
        <v>1.3314065178086414</v>
      </c>
      <c r="M1104" s="302">
        <v>0.86332252900428286</v>
      </c>
      <c r="N1104" s="302">
        <v>0.30243993853933715</v>
      </c>
      <c r="O1104" s="302">
        <f t="shared" si="471"/>
        <v>2.4971689853522614</v>
      </c>
    </row>
    <row r="1105" spans="1:15" s="236" customFormat="1" x14ac:dyDescent="0.2">
      <c r="A1105" s="237" t="str">
        <f>name!E$12</f>
        <v>Elementary occupations</v>
      </c>
      <c r="B1105" s="302">
        <v>3.4524905095638734</v>
      </c>
      <c r="C1105" s="302">
        <v>3.6395769283565631</v>
      </c>
      <c r="D1105" s="302">
        <v>5.0095134717575901E-2</v>
      </c>
      <c r="E1105" s="302">
        <f t="shared" si="469"/>
        <v>7.1421625726380116</v>
      </c>
      <c r="F1105" s="303"/>
      <c r="G1105" s="302">
        <v>2.9278387749148851</v>
      </c>
      <c r="H1105" s="302">
        <v>2.5984725843594623</v>
      </c>
      <c r="I1105" s="302">
        <v>0.11660691247104572</v>
      </c>
      <c r="J1105" s="302">
        <f t="shared" si="472"/>
        <v>5.6429182717453923</v>
      </c>
      <c r="K1105" s="303"/>
      <c r="L1105" s="302">
        <v>2.3572637291419039</v>
      </c>
      <c r="M1105" s="302">
        <v>2.248456561437334</v>
      </c>
      <c r="N1105" s="302">
        <v>0.18051356652668768</v>
      </c>
      <c r="O1105" s="302">
        <f t="shared" si="471"/>
        <v>4.7862338571059251</v>
      </c>
    </row>
    <row r="1106" spans="1:15" s="236" customFormat="1" x14ac:dyDescent="0.2">
      <c r="A1106" s="237"/>
      <c r="B1106" s="302"/>
      <c r="C1106" s="302"/>
      <c r="D1106" s="302"/>
      <c r="E1106" s="302"/>
      <c r="F1106" s="303"/>
      <c r="G1106" s="302"/>
      <c r="H1106" s="302"/>
      <c r="I1106" s="302"/>
      <c r="J1106" s="302"/>
      <c r="K1106" s="303"/>
      <c r="L1106" s="302"/>
      <c r="M1106" s="302"/>
      <c r="N1106" s="302"/>
      <c r="O1106" s="302"/>
    </row>
    <row r="1107" spans="1:15" s="236" customFormat="1" x14ac:dyDescent="0.2">
      <c r="A1107" s="244" t="s">
        <v>32</v>
      </c>
      <c r="B1107" s="311">
        <f>SUM(B1097:B1105)</f>
        <v>164.71099999836187</v>
      </c>
      <c r="C1107" s="311">
        <f t="shared" ref="C1107:E1107" si="473">SUM(C1097:C1105)</f>
        <v>49.405999999654391</v>
      </c>
      <c r="D1107" s="311">
        <f t="shared" si="473"/>
        <v>3.7829999999628092</v>
      </c>
      <c r="E1107" s="311">
        <f t="shared" si="473"/>
        <v>217.89999999797902</v>
      </c>
      <c r="F1107" s="311"/>
      <c r="G1107" s="311">
        <f t="shared" ref="G1107:J1107" si="474">SUM(G1097:G1105)</f>
        <v>193.80900000152701</v>
      </c>
      <c r="H1107" s="311">
        <f t="shared" si="474"/>
        <v>48.199999999917772</v>
      </c>
      <c r="I1107" s="311">
        <f t="shared" si="474"/>
        <v>13.041000000430042</v>
      </c>
      <c r="J1107" s="311">
        <f t="shared" si="474"/>
        <v>255.05000000187482</v>
      </c>
      <c r="K1107" s="311"/>
      <c r="L1107" s="311">
        <f t="shared" ref="L1107:O1107" si="475">SUM(L1097:L1105)</f>
        <v>193.30400000204153</v>
      </c>
      <c r="M1107" s="311">
        <f t="shared" si="475"/>
        <v>51.270000000059788</v>
      </c>
      <c r="N1107" s="311">
        <f t="shared" si="475"/>
        <v>13.59000000039644</v>
      </c>
      <c r="O1107" s="311">
        <f t="shared" si="475"/>
        <v>258.1640000024978</v>
      </c>
    </row>
    <row r="1108" spans="1:15" s="236" customFormat="1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37"/>
      <c r="M1108" s="237"/>
      <c r="N1108" s="240"/>
    </row>
    <row r="1109" spans="1:15" s="236" customFormat="1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37"/>
      <c r="M1109" s="237"/>
      <c r="N1109" s="240"/>
      <c r="O1109" s="251" t="s">
        <v>35</v>
      </c>
    </row>
    <row r="1110" spans="1:15" s="236" customFormat="1" x14ac:dyDescent="0.2">
      <c r="A1110" s="242"/>
      <c r="B1110" s="242"/>
      <c r="C1110" s="242"/>
      <c r="D1110" s="242"/>
      <c r="E1110" s="242"/>
      <c r="F1110" s="242"/>
      <c r="G1110" s="242"/>
      <c r="H1110" s="242"/>
      <c r="I1110" s="242"/>
      <c r="J1110" s="242"/>
      <c r="K1110" s="242"/>
      <c r="L1110" s="242"/>
      <c r="M1110" s="242"/>
      <c r="N1110" s="242"/>
      <c r="O1110" s="242"/>
    </row>
    <row r="1111" spans="1:15" s="236" customFormat="1" x14ac:dyDescent="0.2">
      <c r="A1111" s="241" t="str">
        <f>name!A68</f>
        <v xml:space="preserve">Education </v>
      </c>
      <c r="B1111" s="374">
        <f>$B$6</f>
        <v>2015</v>
      </c>
      <c r="C1111" s="374"/>
      <c r="D1111" s="374"/>
      <c r="E1111" s="374"/>
      <c r="F1111" s="263"/>
      <c r="G1111" s="374">
        <f>$G$6</f>
        <v>2020</v>
      </c>
      <c r="H1111" s="374"/>
      <c r="I1111" s="374"/>
      <c r="J1111" s="374"/>
      <c r="K1111" s="263"/>
      <c r="L1111" s="374">
        <f>$L$6</f>
        <v>2035</v>
      </c>
      <c r="M1111" s="374"/>
      <c r="N1111" s="374"/>
      <c r="O1111" s="374"/>
    </row>
    <row r="1112" spans="1:15" s="236" customFormat="1" x14ac:dyDescent="0.2">
      <c r="A1112" s="254"/>
      <c r="B1112" s="268" t="str">
        <f>$B$7</f>
        <v>FT</v>
      </c>
      <c r="C1112" s="268" t="str">
        <f>$C$7</f>
        <v>PT</v>
      </c>
      <c r="D1112" s="268" t="str">
        <f>$D$7</f>
        <v>SE</v>
      </c>
      <c r="E1112" s="268" t="str">
        <f>$E$7</f>
        <v>Total</v>
      </c>
      <c r="F1112" s="268"/>
      <c r="G1112" s="268" t="str">
        <f>$G$7</f>
        <v>FT</v>
      </c>
      <c r="H1112" s="268" t="str">
        <f>$H$7</f>
        <v>PT</v>
      </c>
      <c r="I1112" s="268" t="str">
        <f>$I$7</f>
        <v>SE</v>
      </c>
      <c r="J1112" s="268" t="str">
        <f>$J$7</f>
        <v>Total</v>
      </c>
      <c r="K1112" s="268"/>
      <c r="L1112" s="268" t="str">
        <f>$L$7</f>
        <v>FT</v>
      </c>
      <c r="M1112" s="268" t="str">
        <f>$M$7</f>
        <v>PT</v>
      </c>
      <c r="N1112" s="268" t="str">
        <f>$N$7</f>
        <v>SE</v>
      </c>
      <c r="O1112" s="268" t="str">
        <f>$O$7</f>
        <v>Total</v>
      </c>
    </row>
    <row r="1113" spans="1:15" s="236" customFormat="1" x14ac:dyDescent="0.2">
      <c r="A1113" s="258"/>
      <c r="B1113" s="239"/>
      <c r="C1113" s="239"/>
      <c r="D1113" s="239"/>
      <c r="E1113" s="239"/>
      <c r="F1113" s="239"/>
      <c r="G1113" s="239"/>
      <c r="H1113" s="239"/>
      <c r="I1113" s="239"/>
      <c r="J1113" s="239"/>
      <c r="K1113" s="239"/>
      <c r="L1113" s="239"/>
      <c r="M1113" s="239"/>
      <c r="N1113" s="239"/>
      <c r="O1113" s="239"/>
    </row>
    <row r="1114" spans="1:15" s="236" customFormat="1" x14ac:dyDescent="0.2">
      <c r="A1114" s="237" t="str">
        <f>name!E$4</f>
        <v>Managers, directors and senior officials</v>
      </c>
      <c r="B1114" s="302">
        <v>4.766841521734273</v>
      </c>
      <c r="C1114" s="302">
        <v>2.3486091287927024</v>
      </c>
      <c r="D1114" s="302">
        <v>3.3945991709058574</v>
      </c>
      <c r="E1114" s="302">
        <f>SUM(B1114:D1114)</f>
        <v>10.510049821432833</v>
      </c>
      <c r="F1114" s="303"/>
      <c r="G1114" s="302">
        <v>4.4275621732456916</v>
      </c>
      <c r="H1114" s="302">
        <v>2.7901483620876486</v>
      </c>
      <c r="I1114" s="302">
        <v>4.275115013171324</v>
      </c>
      <c r="J1114" s="302">
        <f>SUM(G1114:I1114)</f>
        <v>11.492825548504666</v>
      </c>
      <c r="K1114" s="303"/>
      <c r="L1114" s="302">
        <v>3.9206042040252864</v>
      </c>
      <c r="M1114" s="302">
        <v>2.8560330474967004</v>
      </c>
      <c r="N1114" s="302">
        <v>4.6468223523550387</v>
      </c>
      <c r="O1114" s="302">
        <f>SUM(L1114:N1114)</f>
        <v>11.423459603877024</v>
      </c>
    </row>
    <row r="1115" spans="1:15" s="236" customFormat="1" x14ac:dyDescent="0.2">
      <c r="A1115" s="237" t="str">
        <f>name!E$5</f>
        <v>Professional occupations</v>
      </c>
      <c r="B1115" s="302">
        <v>186.531920462415</v>
      </c>
      <c r="C1115" s="302">
        <v>86.735464260520928</v>
      </c>
      <c r="D1115" s="302">
        <v>26.323123564485368</v>
      </c>
      <c r="E1115" s="302">
        <f t="shared" ref="E1115:E1122" si="476">SUM(B1115:D1115)</f>
        <v>299.5905082874213</v>
      </c>
      <c r="F1115" s="303"/>
      <c r="G1115" s="302">
        <v>184.20034925828048</v>
      </c>
      <c r="H1115" s="302">
        <v>89.022545608361852</v>
      </c>
      <c r="I1115" s="302">
        <v>39.956124585027695</v>
      </c>
      <c r="J1115" s="302">
        <f t="shared" ref="J1115:J1117" si="477">SUM(G1115:I1115)</f>
        <v>313.17901945167</v>
      </c>
      <c r="K1115" s="303"/>
      <c r="L1115" s="302">
        <v>192.15057832052881</v>
      </c>
      <c r="M1115" s="302">
        <v>96.553636309639145</v>
      </c>
      <c r="N1115" s="302">
        <v>37.84543528394191</v>
      </c>
      <c r="O1115" s="302">
        <f t="shared" ref="O1115:O1122" si="478">SUM(L1115:N1115)</f>
        <v>326.54964991410986</v>
      </c>
    </row>
    <row r="1116" spans="1:15" s="236" customFormat="1" x14ac:dyDescent="0.2">
      <c r="A1116" s="237" t="str">
        <f>name!E$6</f>
        <v>Associate professional occupations</v>
      </c>
      <c r="B1116" s="302">
        <v>8.8823419487535276</v>
      </c>
      <c r="C1116" s="302">
        <v>10.97476229200789</v>
      </c>
      <c r="D1116" s="302">
        <v>13.137730483096606</v>
      </c>
      <c r="E1116" s="302">
        <f t="shared" si="476"/>
        <v>32.99483472385802</v>
      </c>
      <c r="F1116" s="303"/>
      <c r="G1116" s="302">
        <v>8.7041389132931872</v>
      </c>
      <c r="H1116" s="302">
        <v>10.535026392042337</v>
      </c>
      <c r="I1116" s="302">
        <v>13.720621932589319</v>
      </c>
      <c r="J1116" s="302">
        <f t="shared" si="477"/>
        <v>32.959787237924843</v>
      </c>
      <c r="K1116" s="303"/>
      <c r="L1116" s="302">
        <v>6.847880086839881</v>
      </c>
      <c r="M1116" s="302">
        <v>8.9748569151151258</v>
      </c>
      <c r="N1116" s="302">
        <v>13.021679084637523</v>
      </c>
      <c r="O1116" s="302">
        <f t="shared" si="478"/>
        <v>28.844416086592531</v>
      </c>
    </row>
    <row r="1117" spans="1:15" s="236" customFormat="1" x14ac:dyDescent="0.2">
      <c r="A1117" s="237" t="str">
        <f>name!E$7</f>
        <v>Administrative and secretarial occupations</v>
      </c>
      <c r="B1117" s="302">
        <v>5.6084575882871368</v>
      </c>
      <c r="C1117" s="302">
        <v>5.4354035022570661</v>
      </c>
      <c r="D1117" s="302">
        <v>1.1909924130312906</v>
      </c>
      <c r="E1117" s="302">
        <f t="shared" si="476"/>
        <v>12.234853503575494</v>
      </c>
      <c r="F1117" s="303"/>
      <c r="G1117" s="302">
        <v>4.1866046477423362</v>
      </c>
      <c r="H1117" s="302">
        <v>4.3658434918808515</v>
      </c>
      <c r="I1117" s="302">
        <v>1.2573511072108712</v>
      </c>
      <c r="J1117" s="302">
        <f t="shared" si="477"/>
        <v>9.8097992468340589</v>
      </c>
      <c r="K1117" s="303"/>
      <c r="L1117" s="302">
        <v>2.6431901040845052</v>
      </c>
      <c r="M1117" s="302">
        <v>2.3432422773698391</v>
      </c>
      <c r="N1117" s="302">
        <v>0.80490537925738492</v>
      </c>
      <c r="O1117" s="302">
        <f t="shared" si="478"/>
        <v>5.7913377607117296</v>
      </c>
    </row>
    <row r="1118" spans="1:15" s="236" customFormat="1" x14ac:dyDescent="0.2">
      <c r="A1118" s="237" t="str">
        <f>name!E$8</f>
        <v>Skilled trades occupations</v>
      </c>
      <c r="B1118" s="302">
        <v>1.1670456612789175</v>
      </c>
      <c r="C1118" s="302">
        <v>0.89030897721759006</v>
      </c>
      <c r="D1118" s="302">
        <v>0.96504876946928775</v>
      </c>
      <c r="E1118" s="302">
        <f t="shared" si="476"/>
        <v>3.0224034079657951</v>
      </c>
      <c r="F1118" s="303"/>
      <c r="G1118" s="302">
        <v>0.78971371103450472</v>
      </c>
      <c r="H1118" s="302">
        <v>0.599827129690362</v>
      </c>
      <c r="I1118" s="302">
        <v>1.0639215239792668</v>
      </c>
      <c r="J1118" s="302">
        <f>SUM(G1118:I1118)</f>
        <v>2.4534623647041336</v>
      </c>
      <c r="K1118" s="303"/>
      <c r="L1118" s="302">
        <v>0.41138672589174485</v>
      </c>
      <c r="M1118" s="302">
        <v>0.38125088072310781</v>
      </c>
      <c r="N1118" s="302">
        <v>1.1701448565819255</v>
      </c>
      <c r="O1118" s="302">
        <f t="shared" si="478"/>
        <v>1.9627824631967781</v>
      </c>
    </row>
    <row r="1119" spans="1:15" s="236" customFormat="1" x14ac:dyDescent="0.2">
      <c r="A1119" s="237" t="str">
        <f>name!E$9</f>
        <v>Caring, leisure and other service occupations</v>
      </c>
      <c r="B1119" s="302">
        <v>13.975158917464585</v>
      </c>
      <c r="C1119" s="302">
        <v>19.186260084559063</v>
      </c>
      <c r="D1119" s="302">
        <v>3.3028740568806461</v>
      </c>
      <c r="E1119" s="302">
        <f t="shared" si="476"/>
        <v>36.464293058904296</v>
      </c>
      <c r="F1119" s="303"/>
      <c r="G1119" s="302">
        <v>11.145543283012163</v>
      </c>
      <c r="H1119" s="302">
        <v>16.370411769879304</v>
      </c>
      <c r="I1119" s="302">
        <v>4.6350376125801143</v>
      </c>
      <c r="J1119" s="302">
        <f t="shared" ref="J1119:J1122" si="479">SUM(G1119:I1119)</f>
        <v>32.150992665471584</v>
      </c>
      <c r="K1119" s="303"/>
      <c r="L1119" s="302">
        <v>11.080073983792435</v>
      </c>
      <c r="M1119" s="302">
        <v>11.984995970265222</v>
      </c>
      <c r="N1119" s="302">
        <v>7.0742078000707718</v>
      </c>
      <c r="O1119" s="302">
        <f t="shared" si="478"/>
        <v>30.139277754128429</v>
      </c>
    </row>
    <row r="1120" spans="1:15" s="236" customFormat="1" x14ac:dyDescent="0.2">
      <c r="A1120" s="237" t="str">
        <f>name!E$10</f>
        <v>Sales and customer service occupations</v>
      </c>
      <c r="B1120" s="302">
        <v>0.56981981687676453</v>
      </c>
      <c r="C1120" s="302">
        <v>0.71243669608292481</v>
      </c>
      <c r="D1120" s="302">
        <v>0.72564541286688644</v>
      </c>
      <c r="E1120" s="302">
        <f t="shared" si="476"/>
        <v>2.0079019258265758</v>
      </c>
      <c r="F1120" s="303"/>
      <c r="G1120" s="302">
        <v>0.44616072822005159</v>
      </c>
      <c r="H1120" s="302">
        <v>0.61519118360991476</v>
      </c>
      <c r="I1120" s="302">
        <v>0.61219183305049318</v>
      </c>
      <c r="J1120" s="302">
        <f t="shared" si="479"/>
        <v>1.6735437448804595</v>
      </c>
      <c r="K1120" s="303"/>
      <c r="L1120" s="302">
        <v>0.37097927616348098</v>
      </c>
      <c r="M1120" s="302">
        <v>0.57347776580889198</v>
      </c>
      <c r="N1120" s="302">
        <v>0.61322419955885921</v>
      </c>
      <c r="O1120" s="302">
        <f t="shared" si="478"/>
        <v>1.5576812415312322</v>
      </c>
    </row>
    <row r="1121" spans="1:15" s="236" customFormat="1" x14ac:dyDescent="0.2">
      <c r="A1121" s="237" t="str">
        <f>name!E$11</f>
        <v>Process, plant and machine operatives</v>
      </c>
      <c r="B1121" s="302">
        <v>0.32515467443092344</v>
      </c>
      <c r="C1121" s="302">
        <v>0.7698554844558424</v>
      </c>
      <c r="D1121" s="302">
        <v>11.705701179579883</v>
      </c>
      <c r="E1121" s="302">
        <f t="shared" si="476"/>
        <v>12.800711338466648</v>
      </c>
      <c r="F1121" s="303"/>
      <c r="G1121" s="302">
        <v>0.21866500596313879</v>
      </c>
      <c r="H1121" s="302">
        <v>0.55940730930407601</v>
      </c>
      <c r="I1121" s="302">
        <v>14.197793884602072</v>
      </c>
      <c r="J1121" s="302">
        <f t="shared" si="479"/>
        <v>14.975866199869287</v>
      </c>
      <c r="K1121" s="303"/>
      <c r="L1121" s="302">
        <v>0.12884248855572494</v>
      </c>
      <c r="M1121" s="302">
        <v>0.54146362515413915</v>
      </c>
      <c r="N1121" s="302">
        <v>15.480733908537564</v>
      </c>
      <c r="O1121" s="302">
        <f t="shared" si="478"/>
        <v>16.151040022247429</v>
      </c>
    </row>
    <row r="1122" spans="1:15" s="236" customFormat="1" x14ac:dyDescent="0.2">
      <c r="A1122" s="237" t="str">
        <f>name!E$12</f>
        <v>Elementary occupations</v>
      </c>
      <c r="B1122" s="302">
        <v>0.8762594148216688</v>
      </c>
      <c r="C1122" s="302">
        <v>13.387899564292145</v>
      </c>
      <c r="D1122" s="302">
        <v>0.63928494972245398</v>
      </c>
      <c r="E1122" s="302">
        <f t="shared" si="476"/>
        <v>14.903443928836268</v>
      </c>
      <c r="F1122" s="303"/>
      <c r="G1122" s="302">
        <v>0.59026229671267505</v>
      </c>
      <c r="H1122" s="302">
        <v>9.1495987500044205</v>
      </c>
      <c r="I1122" s="302">
        <v>0.49284250945252223</v>
      </c>
      <c r="J1122" s="302">
        <f t="shared" si="479"/>
        <v>10.232703556169618</v>
      </c>
      <c r="K1122" s="303"/>
      <c r="L1122" s="302">
        <v>0.22046481667862319</v>
      </c>
      <c r="M1122" s="302">
        <v>2.840043210049243</v>
      </c>
      <c r="N1122" s="302">
        <v>0.77184713739563293</v>
      </c>
      <c r="O1122" s="302">
        <f t="shared" si="478"/>
        <v>3.832355164123499</v>
      </c>
    </row>
    <row r="1123" spans="1:15" s="236" customFormat="1" x14ac:dyDescent="0.2">
      <c r="A1123" s="237"/>
      <c r="B1123" s="302"/>
      <c r="C1123" s="302"/>
      <c r="D1123" s="302"/>
      <c r="E1123" s="302"/>
      <c r="F1123" s="303"/>
      <c r="G1123" s="302"/>
      <c r="H1123" s="302"/>
      <c r="I1123" s="302"/>
      <c r="J1123" s="302"/>
      <c r="K1123" s="303"/>
      <c r="L1123" s="302"/>
      <c r="M1123" s="302"/>
      <c r="N1123" s="302"/>
      <c r="O1123" s="302"/>
    </row>
    <row r="1124" spans="1:15" s="236" customFormat="1" x14ac:dyDescent="0.2">
      <c r="A1124" s="244" t="s">
        <v>32</v>
      </c>
      <c r="B1124" s="311">
        <f>SUM(B1114:B1122)</f>
        <v>222.70300000606281</v>
      </c>
      <c r="C1124" s="311">
        <f t="shared" ref="C1124:E1124" si="480">SUM(C1114:C1122)</f>
        <v>140.44099999018616</v>
      </c>
      <c r="D1124" s="311">
        <f t="shared" si="480"/>
        <v>61.385000000038282</v>
      </c>
      <c r="E1124" s="311">
        <f t="shared" si="480"/>
        <v>424.52899999628721</v>
      </c>
      <c r="F1124" s="311"/>
      <c r="G1124" s="311">
        <f t="shared" ref="G1124:J1124" si="481">SUM(G1114:G1122)</f>
        <v>214.70900001750422</v>
      </c>
      <c r="H1124" s="311">
        <f t="shared" si="481"/>
        <v>134.00799999686078</v>
      </c>
      <c r="I1124" s="311">
        <f t="shared" si="481"/>
        <v>80.211000001663677</v>
      </c>
      <c r="J1124" s="311">
        <f t="shared" si="481"/>
        <v>428.92800001602865</v>
      </c>
      <c r="K1124" s="311"/>
      <c r="L1124" s="311">
        <f t="shared" ref="L1124:O1124" si="482">SUM(L1114:L1122)</f>
        <v>217.7740000065605</v>
      </c>
      <c r="M1124" s="311">
        <f t="shared" si="482"/>
        <v>127.04900000162139</v>
      </c>
      <c r="N1124" s="311">
        <f t="shared" si="482"/>
        <v>81.429000002336608</v>
      </c>
      <c r="O1124" s="311">
        <f t="shared" si="482"/>
        <v>426.25200001051843</v>
      </c>
    </row>
    <row r="1125" spans="1:15" s="236" customFormat="1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37"/>
      <c r="M1125" s="237"/>
      <c r="N1125" s="240"/>
    </row>
    <row r="1126" spans="1:15" s="236" customFormat="1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37"/>
      <c r="M1126" s="237"/>
      <c r="N1126" s="240"/>
      <c r="O1126" s="251" t="s">
        <v>35</v>
      </c>
    </row>
    <row r="1127" spans="1:15" s="236" customFormat="1" x14ac:dyDescent="0.2">
      <c r="A1127" s="242"/>
      <c r="B1127" s="242"/>
      <c r="C1127" s="242"/>
      <c r="D1127" s="242"/>
      <c r="E1127" s="242"/>
      <c r="F1127" s="242"/>
      <c r="G1127" s="242"/>
      <c r="H1127" s="242"/>
      <c r="I1127" s="242"/>
      <c r="J1127" s="242"/>
      <c r="K1127" s="242"/>
      <c r="L1127" s="242"/>
      <c r="M1127" s="242"/>
      <c r="N1127" s="242"/>
      <c r="O1127" s="242"/>
    </row>
    <row r="1128" spans="1:15" s="236" customFormat="1" x14ac:dyDescent="0.2">
      <c r="A1128" s="241" t="str">
        <f>name!A69</f>
        <v>Health</v>
      </c>
      <c r="B1128" s="374">
        <f>$B$6</f>
        <v>2015</v>
      </c>
      <c r="C1128" s="374"/>
      <c r="D1128" s="374"/>
      <c r="E1128" s="374"/>
      <c r="F1128" s="263"/>
      <c r="G1128" s="374">
        <f>$G$6</f>
        <v>2020</v>
      </c>
      <c r="H1128" s="374"/>
      <c r="I1128" s="374"/>
      <c r="J1128" s="374"/>
      <c r="K1128" s="263"/>
      <c r="L1128" s="374">
        <f>$L$6</f>
        <v>2035</v>
      </c>
      <c r="M1128" s="374"/>
      <c r="N1128" s="374"/>
      <c r="O1128" s="374"/>
    </row>
    <row r="1129" spans="1:15" s="236" customFormat="1" x14ac:dyDescent="0.2">
      <c r="A1129" s="254"/>
      <c r="B1129" s="268" t="str">
        <f>$B$7</f>
        <v>FT</v>
      </c>
      <c r="C1129" s="268" t="str">
        <f>$C$7</f>
        <v>PT</v>
      </c>
      <c r="D1129" s="268" t="str">
        <f>$D$7</f>
        <v>SE</v>
      </c>
      <c r="E1129" s="268" t="str">
        <f>$E$7</f>
        <v>Total</v>
      </c>
      <c r="F1129" s="268"/>
      <c r="G1129" s="268" t="str">
        <f>$G$7</f>
        <v>FT</v>
      </c>
      <c r="H1129" s="268" t="str">
        <f>$H$7</f>
        <v>PT</v>
      </c>
      <c r="I1129" s="268" t="str">
        <f>$I$7</f>
        <v>SE</v>
      </c>
      <c r="J1129" s="268" t="str">
        <f>$J$7</f>
        <v>Total</v>
      </c>
      <c r="K1129" s="268"/>
      <c r="L1129" s="268" t="str">
        <f>$L$7</f>
        <v>FT</v>
      </c>
      <c r="M1129" s="268" t="str">
        <f>$M$7</f>
        <v>PT</v>
      </c>
      <c r="N1129" s="268" t="str">
        <f>$N$7</f>
        <v>SE</v>
      </c>
      <c r="O1129" s="268" t="str">
        <f>$O$7</f>
        <v>Total</v>
      </c>
    </row>
    <row r="1130" spans="1:15" s="236" customFormat="1" x14ac:dyDescent="0.2">
      <c r="A1130" s="258"/>
      <c r="B1130" s="239"/>
      <c r="C1130" s="239"/>
      <c r="D1130" s="239"/>
      <c r="E1130" s="239"/>
      <c r="F1130" s="239"/>
      <c r="G1130" s="239"/>
      <c r="H1130" s="239"/>
      <c r="I1130" s="239"/>
      <c r="J1130" s="239"/>
      <c r="K1130" s="239"/>
      <c r="L1130" s="239"/>
      <c r="M1130" s="239"/>
      <c r="N1130" s="239"/>
      <c r="O1130" s="239"/>
    </row>
    <row r="1131" spans="1:15" s="236" customFormat="1" x14ac:dyDescent="0.2">
      <c r="A1131" s="237" t="str">
        <f>name!E$4</f>
        <v>Managers, directors and senior officials</v>
      </c>
      <c r="B1131" s="302">
        <v>10.991520219747345</v>
      </c>
      <c r="C1131" s="302">
        <v>2.444787600688378</v>
      </c>
      <c r="D1131" s="302">
        <v>1.5238207928093284</v>
      </c>
      <c r="E1131" s="302">
        <f>SUM(B1131:D1131)</f>
        <v>14.96012861324505</v>
      </c>
      <c r="F1131" s="303"/>
      <c r="G1131" s="302">
        <v>13.579083522670549</v>
      </c>
      <c r="H1131" s="302">
        <v>3.3295548497953069</v>
      </c>
      <c r="I1131" s="302">
        <v>3.2985208034425395</v>
      </c>
      <c r="J1131" s="302">
        <f>SUM(G1131:I1131)</f>
        <v>20.207159175908394</v>
      </c>
      <c r="K1131" s="303"/>
      <c r="L1131" s="302">
        <v>14.761648023123206</v>
      </c>
      <c r="M1131" s="302">
        <v>3.9245937304917917</v>
      </c>
      <c r="N1131" s="302">
        <v>2.9558958055225202</v>
      </c>
      <c r="O1131" s="302">
        <f>SUM(L1131:N1131)</f>
        <v>21.642137559137517</v>
      </c>
    </row>
    <row r="1132" spans="1:15" s="236" customFormat="1" x14ac:dyDescent="0.2">
      <c r="A1132" s="237" t="str">
        <f>name!E$5</f>
        <v>Professional occupations</v>
      </c>
      <c r="B1132" s="302">
        <v>76.344488031213189</v>
      </c>
      <c r="C1132" s="302">
        <v>34.77164847142501</v>
      </c>
      <c r="D1132" s="302">
        <v>10.606394528113764</v>
      </c>
      <c r="E1132" s="302">
        <f t="shared" ref="E1132:E1139" si="483">SUM(B1132:D1132)</f>
        <v>121.72253103075197</v>
      </c>
      <c r="F1132" s="303"/>
      <c r="G1132" s="302">
        <v>99.495024873464416</v>
      </c>
      <c r="H1132" s="302">
        <v>39.205997195996865</v>
      </c>
      <c r="I1132" s="302">
        <v>16.199829257456159</v>
      </c>
      <c r="J1132" s="302">
        <f t="shared" ref="J1132:J1134" si="484">SUM(G1132:I1132)</f>
        <v>154.90085132691746</v>
      </c>
      <c r="K1132" s="303"/>
      <c r="L1132" s="302">
        <v>112.60571762537404</v>
      </c>
      <c r="M1132" s="302">
        <v>46.553283706078929</v>
      </c>
      <c r="N1132" s="302">
        <v>17.042215931792107</v>
      </c>
      <c r="O1132" s="302">
        <f t="shared" ref="O1132:O1139" si="485">SUM(L1132:N1132)</f>
        <v>176.20121726324507</v>
      </c>
    </row>
    <row r="1133" spans="1:15" s="236" customFormat="1" x14ac:dyDescent="0.2">
      <c r="A1133" s="237" t="str">
        <f>name!E$6</f>
        <v>Associate professional occupations</v>
      </c>
      <c r="B1133" s="302">
        <v>29.444711723454454</v>
      </c>
      <c r="C1133" s="302">
        <v>14.97838713880018</v>
      </c>
      <c r="D1133" s="302">
        <v>4.0009853795009276</v>
      </c>
      <c r="E1133" s="302">
        <f t="shared" si="483"/>
        <v>48.424084241755558</v>
      </c>
      <c r="F1133" s="303"/>
      <c r="G1133" s="302">
        <v>37.128590891338199</v>
      </c>
      <c r="H1133" s="302">
        <v>16.889998419983563</v>
      </c>
      <c r="I1133" s="302">
        <v>4.4465580145975263</v>
      </c>
      <c r="J1133" s="302">
        <f t="shared" si="484"/>
        <v>58.46514732591929</v>
      </c>
      <c r="K1133" s="303"/>
      <c r="L1133" s="302">
        <v>37.804193674853408</v>
      </c>
      <c r="M1133" s="302">
        <v>17.460908741131746</v>
      </c>
      <c r="N1133" s="302">
        <v>5.6613874670029736</v>
      </c>
      <c r="O1133" s="302">
        <f t="shared" si="485"/>
        <v>60.926489882988129</v>
      </c>
    </row>
    <row r="1134" spans="1:15" s="236" customFormat="1" x14ac:dyDescent="0.2">
      <c r="A1134" s="237" t="str">
        <f>name!E$7</f>
        <v>Administrative and secretarial occupations</v>
      </c>
      <c r="B1134" s="302">
        <v>16.310911595456737</v>
      </c>
      <c r="C1134" s="302">
        <v>4.2841537005444152</v>
      </c>
      <c r="D1134" s="302">
        <v>0.88922647191101345</v>
      </c>
      <c r="E1134" s="302">
        <f t="shared" si="483"/>
        <v>21.484291767912165</v>
      </c>
      <c r="F1134" s="303"/>
      <c r="G1134" s="302">
        <v>17.003677987776989</v>
      </c>
      <c r="H1134" s="302">
        <v>3.7229263096500556</v>
      </c>
      <c r="I1134" s="302">
        <v>0.93426749033508838</v>
      </c>
      <c r="J1134" s="302">
        <f t="shared" si="484"/>
        <v>21.660871787762133</v>
      </c>
      <c r="K1134" s="303"/>
      <c r="L1134" s="302">
        <v>13.238109081378765</v>
      </c>
      <c r="M1134" s="302">
        <v>1.9626287995347298</v>
      </c>
      <c r="N1134" s="302">
        <v>0.66818553693848559</v>
      </c>
      <c r="O1134" s="302">
        <f t="shared" si="485"/>
        <v>15.868923417851981</v>
      </c>
    </row>
    <row r="1135" spans="1:15" s="236" customFormat="1" x14ac:dyDescent="0.2">
      <c r="A1135" s="237" t="str">
        <f>name!E$8</f>
        <v>Skilled trades occupations</v>
      </c>
      <c r="B1135" s="302">
        <v>1.1890222376985526</v>
      </c>
      <c r="C1135" s="302">
        <v>0.86356094772520109</v>
      </c>
      <c r="D1135" s="302">
        <v>0.30065513623942491</v>
      </c>
      <c r="E1135" s="302">
        <f t="shared" si="483"/>
        <v>2.3532383216631789</v>
      </c>
      <c r="F1135" s="303"/>
      <c r="G1135" s="302">
        <v>1.0786617496047197</v>
      </c>
      <c r="H1135" s="302">
        <v>0.67413871085185062</v>
      </c>
      <c r="I1135" s="302">
        <v>0.52727780490459741</v>
      </c>
      <c r="J1135" s="302">
        <f>SUM(G1135:I1135)</f>
        <v>2.2800782653611678</v>
      </c>
      <c r="K1135" s="303"/>
      <c r="L1135" s="302">
        <v>0.80027317828374755</v>
      </c>
      <c r="M1135" s="302">
        <v>0.42066237783298521</v>
      </c>
      <c r="N1135" s="302">
        <v>0.3721543595982621</v>
      </c>
      <c r="O1135" s="302">
        <f t="shared" si="485"/>
        <v>1.5930899157149949</v>
      </c>
    </row>
    <row r="1136" spans="1:15" s="236" customFormat="1" x14ac:dyDescent="0.2">
      <c r="A1136" s="237" t="str">
        <f>name!E$9</f>
        <v>Caring, leisure and other service occupations</v>
      </c>
      <c r="B1136" s="302">
        <v>63.095030462979302</v>
      </c>
      <c r="C1136" s="302">
        <v>29.746666574281239</v>
      </c>
      <c r="D1136" s="302">
        <v>7.9191883806468262</v>
      </c>
      <c r="E1136" s="302">
        <f t="shared" si="483"/>
        <v>100.76088541790737</v>
      </c>
      <c r="F1136" s="303"/>
      <c r="G1136" s="302">
        <v>70.282758398551067</v>
      </c>
      <c r="H1136" s="302">
        <v>28.515659427796368</v>
      </c>
      <c r="I1136" s="302">
        <v>9.8640688713975813</v>
      </c>
      <c r="J1136" s="302">
        <f t="shared" ref="J1136:J1139" si="486">SUM(G1136:I1136)</f>
        <v>108.66248669774501</v>
      </c>
      <c r="K1136" s="303"/>
      <c r="L1136" s="302">
        <v>87.653163414508157</v>
      </c>
      <c r="M1136" s="302">
        <v>29.843977496695569</v>
      </c>
      <c r="N1136" s="302">
        <v>12.716781437406929</v>
      </c>
      <c r="O1136" s="302">
        <f t="shared" si="485"/>
        <v>130.21392234861065</v>
      </c>
    </row>
    <row r="1137" spans="1:15" s="236" customFormat="1" x14ac:dyDescent="0.2">
      <c r="A1137" s="237" t="str">
        <f>name!E$10</f>
        <v>Sales and customer service occupations</v>
      </c>
      <c r="B1137" s="302">
        <v>2.3659917734273859</v>
      </c>
      <c r="C1137" s="302">
        <v>1.2558898386534729</v>
      </c>
      <c r="D1137" s="302">
        <v>0.28369068296881955</v>
      </c>
      <c r="E1137" s="302">
        <f t="shared" si="483"/>
        <v>3.9055722950496787</v>
      </c>
      <c r="F1137" s="303"/>
      <c r="G1137" s="302">
        <v>2.487243416519056</v>
      </c>
      <c r="H1137" s="302">
        <v>1.1295012914913596</v>
      </c>
      <c r="I1137" s="302">
        <v>0.34605854758742804</v>
      </c>
      <c r="J1137" s="302">
        <f t="shared" si="486"/>
        <v>3.9628032555978434</v>
      </c>
      <c r="K1137" s="303"/>
      <c r="L1137" s="302">
        <v>2.5570636296477423</v>
      </c>
      <c r="M1137" s="302">
        <v>1.2035436626749507</v>
      </c>
      <c r="N1137" s="302">
        <v>0.38449467769417833</v>
      </c>
      <c r="O1137" s="302">
        <f t="shared" si="485"/>
        <v>4.1451019700168716</v>
      </c>
    </row>
    <row r="1138" spans="1:15" s="236" customFormat="1" x14ac:dyDescent="0.2">
      <c r="A1138" s="237" t="str">
        <f>name!E$11</f>
        <v>Process, plant and machine operatives</v>
      </c>
      <c r="B1138" s="302">
        <v>0.30324970656452704</v>
      </c>
      <c r="C1138" s="302">
        <v>0.90123937746777949</v>
      </c>
      <c r="D1138" s="302">
        <v>8.9470370783421196E-2</v>
      </c>
      <c r="E1138" s="302">
        <f t="shared" si="483"/>
        <v>1.2939594548157278</v>
      </c>
      <c r="F1138" s="303"/>
      <c r="G1138" s="302">
        <v>0.27389357933872305</v>
      </c>
      <c r="H1138" s="302">
        <v>0.91000358449792607</v>
      </c>
      <c r="I1138" s="302">
        <v>0.18826934601527837</v>
      </c>
      <c r="J1138" s="302">
        <f t="shared" si="486"/>
        <v>1.3721665098519276</v>
      </c>
      <c r="K1138" s="303"/>
      <c r="L1138" s="302">
        <v>0.2229401387964042</v>
      </c>
      <c r="M1138" s="302">
        <v>0.83826247251351582</v>
      </c>
      <c r="N1138" s="302">
        <v>9.5584739622885218E-2</v>
      </c>
      <c r="O1138" s="302">
        <f t="shared" si="485"/>
        <v>1.1567873509328053</v>
      </c>
    </row>
    <row r="1139" spans="1:15" s="236" customFormat="1" x14ac:dyDescent="0.2">
      <c r="A1139" s="237" t="str">
        <f>name!E$12</f>
        <v>Elementary occupations</v>
      </c>
      <c r="B1139" s="302">
        <v>1.4090742478710814</v>
      </c>
      <c r="C1139" s="302">
        <v>4.6266663485362871</v>
      </c>
      <c r="D1139" s="302">
        <v>0.14156825621619376</v>
      </c>
      <c r="E1139" s="302">
        <f t="shared" si="483"/>
        <v>6.177308852623562</v>
      </c>
      <c r="F1139" s="303"/>
      <c r="G1139" s="302">
        <v>1.4370655818931461</v>
      </c>
      <c r="H1139" s="302">
        <v>3.4962202083883906</v>
      </c>
      <c r="I1139" s="302">
        <v>0.17214986700670221</v>
      </c>
      <c r="J1139" s="302">
        <f t="shared" si="486"/>
        <v>5.1054356572882389</v>
      </c>
      <c r="K1139" s="303"/>
      <c r="L1139" s="302">
        <v>0.87289123470391783</v>
      </c>
      <c r="M1139" s="302">
        <v>1.5751390129588083</v>
      </c>
      <c r="N1139" s="302">
        <v>0.10030004600534247</v>
      </c>
      <c r="O1139" s="302">
        <f t="shared" si="485"/>
        <v>2.5483302936680685</v>
      </c>
    </row>
    <row r="1140" spans="1:15" s="236" customFormat="1" x14ac:dyDescent="0.2">
      <c r="A1140" s="237"/>
      <c r="B1140" s="302"/>
      <c r="C1140" s="302"/>
      <c r="D1140" s="302"/>
      <c r="E1140" s="302"/>
      <c r="F1140" s="303"/>
      <c r="G1140" s="302"/>
      <c r="H1140" s="302"/>
      <c r="I1140" s="302"/>
      <c r="J1140" s="302"/>
      <c r="K1140" s="303"/>
      <c r="L1140" s="302"/>
      <c r="M1140" s="302"/>
      <c r="N1140" s="302"/>
      <c r="O1140" s="302"/>
    </row>
    <row r="1141" spans="1:15" s="236" customFormat="1" x14ac:dyDescent="0.2">
      <c r="A1141" s="244" t="s">
        <v>32</v>
      </c>
      <c r="B1141" s="311">
        <f>SUM(B1131:B1139)</f>
        <v>201.45399999841257</v>
      </c>
      <c r="C1141" s="311">
        <f t="shared" ref="C1141:E1141" si="487">SUM(C1131:C1139)</f>
        <v>93.872999998121955</v>
      </c>
      <c r="D1141" s="311">
        <f t="shared" si="487"/>
        <v>25.754999999189717</v>
      </c>
      <c r="E1141" s="311">
        <f t="shared" si="487"/>
        <v>321.08199999572429</v>
      </c>
      <c r="F1141" s="311"/>
      <c r="G1141" s="311">
        <f t="shared" ref="G1141:J1141" si="488">SUM(G1131:G1139)</f>
        <v>242.76600000115687</v>
      </c>
      <c r="H1141" s="311">
        <f t="shared" si="488"/>
        <v>97.873999998451694</v>
      </c>
      <c r="I1141" s="311">
        <f t="shared" si="488"/>
        <v>35.977000002742891</v>
      </c>
      <c r="J1141" s="311">
        <f t="shared" si="488"/>
        <v>376.61700000235146</v>
      </c>
      <c r="K1141" s="311"/>
      <c r="L1141" s="311">
        <f t="shared" ref="L1141:O1141" si="489">SUM(L1131:L1139)</f>
        <v>270.51600000066935</v>
      </c>
      <c r="M1141" s="311">
        <f t="shared" si="489"/>
        <v>103.78299999991303</v>
      </c>
      <c r="N1141" s="311">
        <f t="shared" si="489"/>
        <v>39.997000001583686</v>
      </c>
      <c r="O1141" s="311">
        <f t="shared" si="489"/>
        <v>414.29600000216607</v>
      </c>
    </row>
    <row r="1142" spans="1:15" s="236" customFormat="1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37"/>
      <c r="M1142" s="237"/>
      <c r="N1142" s="240"/>
    </row>
    <row r="1143" spans="1:15" s="236" customFormat="1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37"/>
      <c r="M1143" s="237"/>
      <c r="N1143" s="240"/>
      <c r="O1143" s="251" t="s">
        <v>35</v>
      </c>
    </row>
    <row r="1144" spans="1:15" s="236" customFormat="1" x14ac:dyDescent="0.2">
      <c r="A1144" s="242"/>
      <c r="B1144" s="242"/>
      <c r="C1144" s="242"/>
      <c r="D1144" s="242"/>
      <c r="E1144" s="242"/>
      <c r="F1144" s="242"/>
      <c r="G1144" s="242"/>
      <c r="H1144" s="242"/>
      <c r="I1144" s="242"/>
      <c r="J1144" s="242"/>
      <c r="K1144" s="242"/>
      <c r="L1144" s="242"/>
      <c r="M1144" s="242"/>
      <c r="N1144" s="242"/>
      <c r="O1144" s="242"/>
    </row>
    <row r="1145" spans="1:15" s="236" customFormat="1" x14ac:dyDescent="0.2">
      <c r="A1145" s="241" t="str">
        <f>name!A70</f>
        <v>Residential care</v>
      </c>
      <c r="B1145" s="374">
        <f>$B$6</f>
        <v>2015</v>
      </c>
      <c r="C1145" s="374"/>
      <c r="D1145" s="374"/>
      <c r="E1145" s="374"/>
      <c r="F1145" s="263"/>
      <c r="G1145" s="374">
        <f>$G$6</f>
        <v>2020</v>
      </c>
      <c r="H1145" s="374"/>
      <c r="I1145" s="374"/>
      <c r="J1145" s="374"/>
      <c r="K1145" s="263"/>
      <c r="L1145" s="374">
        <f>$L$6</f>
        <v>2035</v>
      </c>
      <c r="M1145" s="374"/>
      <c r="N1145" s="374"/>
      <c r="O1145" s="374"/>
    </row>
    <row r="1146" spans="1:15" s="236" customFormat="1" x14ac:dyDescent="0.2">
      <c r="A1146" s="254"/>
      <c r="B1146" s="268" t="str">
        <f>$B$7</f>
        <v>FT</v>
      </c>
      <c r="C1146" s="268" t="str">
        <f>$C$7</f>
        <v>PT</v>
      </c>
      <c r="D1146" s="268" t="str">
        <f>$D$7</f>
        <v>SE</v>
      </c>
      <c r="E1146" s="268" t="str">
        <f>$E$7</f>
        <v>Total</v>
      </c>
      <c r="F1146" s="268"/>
      <c r="G1146" s="268" t="str">
        <f>$G$7</f>
        <v>FT</v>
      </c>
      <c r="H1146" s="268" t="str">
        <f>$H$7</f>
        <v>PT</v>
      </c>
      <c r="I1146" s="268" t="str">
        <f>$I$7</f>
        <v>SE</v>
      </c>
      <c r="J1146" s="268" t="str">
        <f>$J$7</f>
        <v>Total</v>
      </c>
      <c r="K1146" s="268"/>
      <c r="L1146" s="268" t="str">
        <f>$L$7</f>
        <v>FT</v>
      </c>
      <c r="M1146" s="268" t="str">
        <f>$M$7</f>
        <v>PT</v>
      </c>
      <c r="N1146" s="268" t="str">
        <f>$N$7</f>
        <v>SE</v>
      </c>
      <c r="O1146" s="268" t="str">
        <f>$O$7</f>
        <v>Total</v>
      </c>
    </row>
    <row r="1147" spans="1:15" s="236" customFormat="1" x14ac:dyDescent="0.2">
      <c r="A1147" s="258"/>
      <c r="B1147" s="239"/>
      <c r="C1147" s="239"/>
      <c r="D1147" s="239"/>
      <c r="E1147" s="239"/>
      <c r="F1147" s="239"/>
      <c r="G1147" s="239"/>
      <c r="H1147" s="239"/>
      <c r="I1147" s="239"/>
      <c r="J1147" s="239"/>
      <c r="K1147" s="239"/>
      <c r="L1147" s="239"/>
      <c r="M1147" s="239"/>
      <c r="N1147" s="239"/>
      <c r="O1147" s="239"/>
    </row>
    <row r="1148" spans="1:15" s="236" customFormat="1" x14ac:dyDescent="0.2">
      <c r="A1148" s="237" t="str">
        <f>name!E$4</f>
        <v>Managers, directors and senior officials</v>
      </c>
      <c r="B1148" s="302">
        <v>2.1857465186469129</v>
      </c>
      <c r="C1148" s="302">
        <v>0.56533423157845408</v>
      </c>
      <c r="D1148" s="302">
        <v>0.20776248039248529</v>
      </c>
      <c r="E1148" s="302">
        <f>SUM(B1148:D1148)</f>
        <v>2.9588432306178523</v>
      </c>
      <c r="F1148" s="303"/>
      <c r="G1148" s="302">
        <v>2.2134427858908476</v>
      </c>
      <c r="H1148" s="302">
        <v>0.58113873054179666</v>
      </c>
      <c r="I1148" s="302">
        <v>0.28063182722785135</v>
      </c>
      <c r="J1148" s="302">
        <f>SUM(G1148:I1148)</f>
        <v>3.0752133436604954</v>
      </c>
      <c r="K1148" s="303"/>
      <c r="L1148" s="302">
        <v>2.2948514858283642</v>
      </c>
      <c r="M1148" s="302">
        <v>0.52798306785314808</v>
      </c>
      <c r="N1148" s="302">
        <v>0.2928573130006405</v>
      </c>
      <c r="O1148" s="302">
        <f>SUM(L1148:N1148)</f>
        <v>3.1156918666821531</v>
      </c>
    </row>
    <row r="1149" spans="1:15" s="236" customFormat="1" x14ac:dyDescent="0.2">
      <c r="A1149" s="237" t="str">
        <f>name!E$5</f>
        <v>Professional occupations</v>
      </c>
      <c r="B1149" s="302">
        <v>15.28330874794649</v>
      </c>
      <c r="C1149" s="302">
        <v>7.6248361655883752</v>
      </c>
      <c r="D1149" s="302">
        <v>1.7656685152119302</v>
      </c>
      <c r="E1149" s="302">
        <f t="shared" ref="E1149:E1156" si="490">SUM(B1149:D1149)</f>
        <v>24.673813428746797</v>
      </c>
      <c r="F1149" s="303"/>
      <c r="G1149" s="302">
        <v>16.230264813182785</v>
      </c>
      <c r="H1149" s="302">
        <v>6.6042440412815315</v>
      </c>
      <c r="I1149" s="302">
        <v>1.8416621027058646</v>
      </c>
      <c r="J1149" s="302">
        <f t="shared" ref="J1149:J1151" si="491">SUM(G1149:I1149)</f>
        <v>24.676170957170182</v>
      </c>
      <c r="K1149" s="303"/>
      <c r="L1149" s="302">
        <v>17.449144445710022</v>
      </c>
      <c r="M1149" s="302">
        <v>6.0943334311577368</v>
      </c>
      <c r="N1149" s="302">
        <v>1.7430665059250781</v>
      </c>
      <c r="O1149" s="302">
        <f t="shared" ref="O1149:O1156" si="492">SUM(L1149:N1149)</f>
        <v>25.286544382792837</v>
      </c>
    </row>
    <row r="1150" spans="1:15" s="236" customFormat="1" x14ac:dyDescent="0.2">
      <c r="A1150" s="237" t="str">
        <f>name!E$6</f>
        <v>Associate professional occupations</v>
      </c>
      <c r="B1150" s="302">
        <v>5.8647278890357111</v>
      </c>
      <c r="C1150" s="302">
        <v>3.3366337783075615</v>
      </c>
      <c r="D1150" s="302">
        <v>0.79373624839487822</v>
      </c>
      <c r="E1150" s="302">
        <f t="shared" si="490"/>
        <v>9.9950979157381514</v>
      </c>
      <c r="F1150" s="303"/>
      <c r="G1150" s="302">
        <v>6.0334388133551071</v>
      </c>
      <c r="H1150" s="302">
        <v>2.8744849023926005</v>
      </c>
      <c r="I1150" s="302">
        <v>0.63834216750194595</v>
      </c>
      <c r="J1150" s="302">
        <f t="shared" si="491"/>
        <v>9.546265883249653</v>
      </c>
      <c r="K1150" s="303"/>
      <c r="L1150" s="302">
        <v>5.8788072330442054</v>
      </c>
      <c r="M1150" s="302">
        <v>2.293694786295474</v>
      </c>
      <c r="N1150" s="302">
        <v>0.6908314560171348</v>
      </c>
      <c r="O1150" s="302">
        <f t="shared" si="492"/>
        <v>8.8633334753568143</v>
      </c>
    </row>
    <row r="1151" spans="1:15" s="236" customFormat="1" x14ac:dyDescent="0.2">
      <c r="A1151" s="237" t="str">
        <f>name!E$7</f>
        <v>Administrative and secretarial occupations</v>
      </c>
      <c r="B1151" s="302">
        <v>3.3253122270222715</v>
      </c>
      <c r="C1151" s="302">
        <v>0.9323135609856229</v>
      </c>
      <c r="D1151" s="302">
        <v>0.18309174379983284</v>
      </c>
      <c r="E1151" s="302">
        <f t="shared" si="490"/>
        <v>4.440717531807727</v>
      </c>
      <c r="F1151" s="303"/>
      <c r="G1151" s="302">
        <v>2.8818902656003833</v>
      </c>
      <c r="H1151" s="302">
        <v>0.61412665199199568</v>
      </c>
      <c r="I1151" s="302">
        <v>0.11191735763705585</v>
      </c>
      <c r="J1151" s="302">
        <f t="shared" si="491"/>
        <v>3.607934275229435</v>
      </c>
      <c r="K1151" s="303"/>
      <c r="L1151" s="302">
        <v>2.1390812268184298</v>
      </c>
      <c r="M1151" s="302">
        <v>0.24474287498739092</v>
      </c>
      <c r="N1151" s="302">
        <v>4.660445393226903E-2</v>
      </c>
      <c r="O1151" s="302">
        <f t="shared" si="492"/>
        <v>2.4304285557380898</v>
      </c>
    </row>
    <row r="1152" spans="1:15" s="236" customFormat="1" x14ac:dyDescent="0.2">
      <c r="A1152" s="237" t="str">
        <f>name!E$8</f>
        <v>Skilled trades occupations</v>
      </c>
      <c r="B1152" s="302">
        <v>0.22959315317648191</v>
      </c>
      <c r="C1152" s="302">
        <v>0.2142335405926471</v>
      </c>
      <c r="D1152" s="302">
        <v>3.3107075335185074E-2</v>
      </c>
      <c r="E1152" s="302">
        <f t="shared" si="490"/>
        <v>0.47693376910431406</v>
      </c>
      <c r="F1152" s="303"/>
      <c r="G1152" s="302">
        <v>0.16606127344598873</v>
      </c>
      <c r="H1152" s="302">
        <v>0.12396388374217224</v>
      </c>
      <c r="I1152" s="302">
        <v>9.30807121309805E-2</v>
      </c>
      <c r="J1152" s="302">
        <f>SUM(G1152:I1152)</f>
        <v>0.38310586931914148</v>
      </c>
      <c r="K1152" s="303"/>
      <c r="L1152" s="302">
        <v>0.11498248267278009</v>
      </c>
      <c r="M1152" s="302">
        <v>6.4726598092673407E-2</v>
      </c>
      <c r="N1152" s="302">
        <v>0.12558793046768002</v>
      </c>
      <c r="O1152" s="302">
        <f t="shared" si="492"/>
        <v>0.30529701123313352</v>
      </c>
    </row>
    <row r="1153" spans="1:15" s="236" customFormat="1" x14ac:dyDescent="0.2">
      <c r="A1153" s="237" t="str">
        <f>name!E$9</f>
        <v>Caring, leisure and other service occupations</v>
      </c>
      <c r="B1153" s="302">
        <v>12.691659704221674</v>
      </c>
      <c r="C1153" s="302">
        <v>6.6690959179233236</v>
      </c>
      <c r="D1153" s="302">
        <v>1.9705936788098373</v>
      </c>
      <c r="E1153" s="302">
        <f t="shared" si="490"/>
        <v>21.331349300954837</v>
      </c>
      <c r="F1153" s="303"/>
      <c r="G1153" s="302">
        <v>11.633743809071758</v>
      </c>
      <c r="H1153" s="302">
        <v>4.9217425516621987</v>
      </c>
      <c r="I1153" s="302">
        <v>1.9019722918355939</v>
      </c>
      <c r="J1153" s="302">
        <f t="shared" ref="J1153:J1156" si="493">SUM(G1153:I1153)</f>
        <v>18.457458652569553</v>
      </c>
      <c r="K1153" s="303"/>
      <c r="L1153" s="302">
        <v>13.607957162881375</v>
      </c>
      <c r="M1153" s="302">
        <v>4.0590342287250634</v>
      </c>
      <c r="N1153" s="302">
        <v>1.8819767009621389</v>
      </c>
      <c r="O1153" s="302">
        <f t="shared" si="492"/>
        <v>19.548968092568575</v>
      </c>
    </row>
    <row r="1154" spans="1:15" s="236" customFormat="1" x14ac:dyDescent="0.2">
      <c r="A1154" s="237" t="str">
        <f>name!E$10</f>
        <v>Sales and customer service occupations</v>
      </c>
      <c r="B1154" s="302">
        <v>0.47800502269553008</v>
      </c>
      <c r="C1154" s="302">
        <v>0.27976582845358144</v>
      </c>
      <c r="D1154" s="302">
        <v>4.893947911131432E-2</v>
      </c>
      <c r="E1154" s="302">
        <f t="shared" si="490"/>
        <v>0.80671033026042582</v>
      </c>
      <c r="F1154" s="303"/>
      <c r="G1154" s="302">
        <v>0.41553046061920978</v>
      </c>
      <c r="H1154" s="302">
        <v>0.18949667720791497</v>
      </c>
      <c r="I1154" s="302">
        <v>3.2704030460171556E-2</v>
      </c>
      <c r="J1154" s="302">
        <f t="shared" si="493"/>
        <v>0.63773116828729637</v>
      </c>
      <c r="K1154" s="303"/>
      <c r="L1154" s="302">
        <v>0.40849217911217328</v>
      </c>
      <c r="M1154" s="302">
        <v>0.15388133548038513</v>
      </c>
      <c r="N1154" s="302">
        <v>4.0722327830847616E-2</v>
      </c>
      <c r="O1154" s="302">
        <f t="shared" si="492"/>
        <v>0.60309584242340597</v>
      </c>
    </row>
    <row r="1155" spans="1:15" s="236" customFormat="1" x14ac:dyDescent="0.2">
      <c r="A1155" s="237" t="str">
        <f>name!E$11</f>
        <v>Process, plant and machine operatives</v>
      </c>
      <c r="B1155" s="302">
        <v>5.831884206269311E-2</v>
      </c>
      <c r="C1155" s="302">
        <v>0.26640083096681139</v>
      </c>
      <c r="D1155" s="302">
        <v>1.0511568169008575E-2</v>
      </c>
      <c r="E1155" s="302">
        <f t="shared" si="490"/>
        <v>0.33523124119851305</v>
      </c>
      <c r="F1155" s="303"/>
      <c r="G1155" s="302">
        <v>4.1129228122774412E-2</v>
      </c>
      <c r="H1155" s="302">
        <v>0.19985195368027192</v>
      </c>
      <c r="I1155" s="302">
        <v>2.5228582449813613E-2</v>
      </c>
      <c r="J1155" s="302">
        <f t="shared" si="493"/>
        <v>0.26620976425285997</v>
      </c>
      <c r="K1155" s="303"/>
      <c r="L1155" s="302">
        <v>3.1931842877506243E-2</v>
      </c>
      <c r="M1155" s="302">
        <v>0.142687600783238</v>
      </c>
      <c r="N1155" s="302">
        <v>3.7463601105182529E-2</v>
      </c>
      <c r="O1155" s="302">
        <f t="shared" si="492"/>
        <v>0.21208304476592676</v>
      </c>
    </row>
    <row r="1156" spans="1:15" s="236" customFormat="1" x14ac:dyDescent="0.2">
      <c r="A1156" s="237" t="str">
        <f>name!E$12</f>
        <v>Elementary occupations</v>
      </c>
      <c r="B1156" s="302">
        <v>0.27232789488570658</v>
      </c>
      <c r="C1156" s="302">
        <v>1.1483861452036142</v>
      </c>
      <c r="D1156" s="302">
        <v>2.3589210492321634E-2</v>
      </c>
      <c r="E1156" s="302">
        <f t="shared" si="490"/>
        <v>1.4443032505816424</v>
      </c>
      <c r="F1156" s="303"/>
      <c r="G1156" s="302">
        <v>0.21749855087562073</v>
      </c>
      <c r="H1156" s="302">
        <v>0.65095060725333587</v>
      </c>
      <c r="I1156" s="302">
        <v>2.146092843670775E-2</v>
      </c>
      <c r="J1156" s="302">
        <f t="shared" si="493"/>
        <v>0.88991008656566439</v>
      </c>
      <c r="K1156" s="303"/>
      <c r="L1156" s="302">
        <v>0.1117519411163575</v>
      </c>
      <c r="M1156" s="302">
        <v>0.23991607661357017</v>
      </c>
      <c r="N1156" s="302">
        <v>1.9889710804618849E-2</v>
      </c>
      <c r="O1156" s="302">
        <f t="shared" si="492"/>
        <v>0.37155772853454649</v>
      </c>
    </row>
    <row r="1157" spans="1:15" s="236" customFormat="1" x14ac:dyDescent="0.2">
      <c r="A1157" s="237"/>
      <c r="B1157" s="302"/>
      <c r="C1157" s="302"/>
      <c r="D1157" s="302"/>
      <c r="E1157" s="302"/>
      <c r="F1157" s="303"/>
      <c r="G1157" s="302"/>
      <c r="H1157" s="302"/>
      <c r="I1157" s="302"/>
      <c r="J1157" s="302"/>
      <c r="K1157" s="303"/>
      <c r="L1157" s="302"/>
      <c r="M1157" s="302"/>
      <c r="N1157" s="302"/>
      <c r="O1157" s="302"/>
    </row>
    <row r="1158" spans="1:15" s="236" customFormat="1" x14ac:dyDescent="0.2">
      <c r="A1158" s="244" t="s">
        <v>32</v>
      </c>
      <c r="B1158" s="311">
        <f>SUM(B1148:B1156)</f>
        <v>40.388999999693468</v>
      </c>
      <c r="C1158" s="311">
        <f t="shared" ref="C1158:E1158" si="494">SUM(C1148:C1156)</f>
        <v>21.036999999599988</v>
      </c>
      <c r="D1158" s="311">
        <f t="shared" si="494"/>
        <v>5.0369999997167936</v>
      </c>
      <c r="E1158" s="311">
        <f t="shared" si="494"/>
        <v>66.462999999010265</v>
      </c>
      <c r="F1158" s="311"/>
      <c r="G1158" s="311">
        <f t="shared" ref="G1158:J1158" si="495">SUM(G1148:G1156)</f>
        <v>39.833000000164475</v>
      </c>
      <c r="H1158" s="311">
        <f t="shared" si="495"/>
        <v>16.75999999975382</v>
      </c>
      <c r="I1158" s="311">
        <f t="shared" si="495"/>
        <v>4.9470000003859846</v>
      </c>
      <c r="J1158" s="311">
        <f t="shared" si="495"/>
        <v>61.540000000304275</v>
      </c>
      <c r="K1158" s="311"/>
      <c r="L1158" s="311">
        <f t="shared" ref="L1158:O1158" si="496">SUM(L1148:L1156)</f>
        <v>42.037000000061212</v>
      </c>
      <c r="M1158" s="311">
        <f t="shared" si="496"/>
        <v>13.820999999988679</v>
      </c>
      <c r="N1158" s="311">
        <f t="shared" si="496"/>
        <v>4.8790000000455906</v>
      </c>
      <c r="O1158" s="311">
        <f t="shared" si="496"/>
        <v>60.737000000095485</v>
      </c>
    </row>
    <row r="1159" spans="1:15" s="236" customFormat="1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37"/>
      <c r="M1159" s="237"/>
      <c r="N1159" s="240"/>
    </row>
    <row r="1160" spans="1:15" s="236" customFormat="1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37"/>
      <c r="M1160" s="237"/>
      <c r="N1160" s="240"/>
      <c r="O1160" s="251" t="s">
        <v>35</v>
      </c>
    </row>
    <row r="1161" spans="1:15" s="236" customFormat="1" x14ac:dyDescent="0.2">
      <c r="A1161" s="242"/>
      <c r="B1161" s="242"/>
      <c r="C1161" s="242"/>
      <c r="D1161" s="242"/>
      <c r="E1161" s="242"/>
      <c r="F1161" s="242"/>
      <c r="G1161" s="242"/>
      <c r="H1161" s="242"/>
      <c r="I1161" s="242"/>
      <c r="J1161" s="242"/>
      <c r="K1161" s="242"/>
      <c r="L1161" s="242"/>
      <c r="M1161" s="242"/>
      <c r="N1161" s="242"/>
      <c r="O1161" s="242"/>
    </row>
    <row r="1162" spans="1:15" s="236" customFormat="1" x14ac:dyDescent="0.2">
      <c r="A1162" s="241" t="str">
        <f>name!A71</f>
        <v>Social work</v>
      </c>
      <c r="B1162" s="374">
        <f>$B$6</f>
        <v>2015</v>
      </c>
      <c r="C1162" s="374"/>
      <c r="D1162" s="374"/>
      <c r="E1162" s="374"/>
      <c r="F1162" s="263"/>
      <c r="G1162" s="374">
        <f>$G$6</f>
        <v>2020</v>
      </c>
      <c r="H1162" s="374"/>
      <c r="I1162" s="374"/>
      <c r="J1162" s="374"/>
      <c r="K1162" s="263"/>
      <c r="L1162" s="374">
        <f>$L$6</f>
        <v>2035</v>
      </c>
      <c r="M1162" s="374"/>
      <c r="N1162" s="374"/>
      <c r="O1162" s="374"/>
    </row>
    <row r="1163" spans="1:15" s="236" customFormat="1" x14ac:dyDescent="0.2">
      <c r="A1163" s="254"/>
      <c r="B1163" s="268" t="str">
        <f>$B$7</f>
        <v>FT</v>
      </c>
      <c r="C1163" s="268" t="str">
        <f>$C$7</f>
        <v>PT</v>
      </c>
      <c r="D1163" s="268" t="str">
        <f>$D$7</f>
        <v>SE</v>
      </c>
      <c r="E1163" s="268" t="str">
        <f>$E$7</f>
        <v>Total</v>
      </c>
      <c r="F1163" s="268"/>
      <c r="G1163" s="268" t="str">
        <f>$G$7</f>
        <v>FT</v>
      </c>
      <c r="H1163" s="268" t="str">
        <f>$H$7</f>
        <v>PT</v>
      </c>
      <c r="I1163" s="268" t="str">
        <f>$I$7</f>
        <v>SE</v>
      </c>
      <c r="J1163" s="268" t="str">
        <f>$J$7</f>
        <v>Total</v>
      </c>
      <c r="K1163" s="268"/>
      <c r="L1163" s="268" t="str">
        <f>$L$7</f>
        <v>FT</v>
      </c>
      <c r="M1163" s="268" t="str">
        <f>$M$7</f>
        <v>PT</v>
      </c>
      <c r="N1163" s="268" t="str">
        <f>$N$7</f>
        <v>SE</v>
      </c>
      <c r="O1163" s="268" t="str">
        <f>$O$7</f>
        <v>Total</v>
      </c>
    </row>
    <row r="1164" spans="1:15" s="236" customFormat="1" x14ac:dyDescent="0.2">
      <c r="A1164" s="258"/>
      <c r="B1164" s="239"/>
      <c r="C1164" s="239"/>
      <c r="D1164" s="239"/>
      <c r="E1164" s="239"/>
      <c r="F1164" s="239"/>
      <c r="G1164" s="239"/>
      <c r="H1164" s="239"/>
      <c r="I1164" s="239"/>
      <c r="J1164" s="239"/>
      <c r="K1164" s="239"/>
      <c r="L1164" s="239"/>
      <c r="M1164" s="239"/>
      <c r="N1164" s="239"/>
      <c r="O1164" s="239"/>
    </row>
    <row r="1165" spans="1:15" s="236" customFormat="1" x14ac:dyDescent="0.2">
      <c r="A1165" s="237" t="str">
        <f>name!E$4</f>
        <v>Managers, directors and senior officials</v>
      </c>
      <c r="B1165" s="302">
        <v>4.5909918941543761</v>
      </c>
      <c r="C1165" s="302">
        <v>1.5167914200625794</v>
      </c>
      <c r="D1165" s="302">
        <v>0.50425837049889222</v>
      </c>
      <c r="E1165" s="302">
        <f>SUM(B1165:D1165)</f>
        <v>6.6120416847158481</v>
      </c>
      <c r="F1165" s="303"/>
      <c r="G1165" s="302">
        <v>4.9044479001060015</v>
      </c>
      <c r="H1165" s="302">
        <v>1.6226110012703985</v>
      </c>
      <c r="I1165" s="302">
        <v>0.64972830669303905</v>
      </c>
      <c r="J1165" s="302">
        <f>SUM(G1165:I1165)</f>
        <v>7.1767872080694382</v>
      </c>
      <c r="K1165" s="303"/>
      <c r="L1165" s="302">
        <v>5.0623478057524816</v>
      </c>
      <c r="M1165" s="302">
        <v>1.4736599298742832</v>
      </c>
      <c r="N1165" s="302">
        <v>0.6096033426559363</v>
      </c>
      <c r="O1165" s="302">
        <f>SUM(L1165:N1165)</f>
        <v>7.1456110782827009</v>
      </c>
    </row>
    <row r="1166" spans="1:15" s="236" customFormat="1" x14ac:dyDescent="0.2">
      <c r="A1166" s="237" t="str">
        <f>name!E$5</f>
        <v>Professional occupations</v>
      </c>
      <c r="B1166" s="302">
        <v>31.939538571798199</v>
      </c>
      <c r="C1166" s="302">
        <v>20.964085466893302</v>
      </c>
      <c r="D1166" s="302">
        <v>4.1775013071594982</v>
      </c>
      <c r="E1166" s="302">
        <f t="shared" ref="E1166:E1173" si="497">SUM(B1166:D1166)</f>
        <v>57.081125345851</v>
      </c>
      <c r="F1166" s="303"/>
      <c r="G1166" s="302">
        <v>35.952579255019295</v>
      </c>
      <c r="H1166" s="302">
        <v>18.774843385865005</v>
      </c>
      <c r="I1166" s="302">
        <v>4.709632765003966</v>
      </c>
      <c r="J1166" s="302">
        <f t="shared" ref="J1166:J1168" si="498">SUM(G1166:I1166)</f>
        <v>59.437055405888266</v>
      </c>
      <c r="K1166" s="303"/>
      <c r="L1166" s="302">
        <v>38.521514453472527</v>
      </c>
      <c r="M1166" s="302">
        <v>17.228602321169479</v>
      </c>
      <c r="N1166" s="302">
        <v>4.6565898098837195</v>
      </c>
      <c r="O1166" s="302">
        <f t="shared" ref="O1166:O1173" si="499">SUM(L1166:N1166)</f>
        <v>60.406706584525729</v>
      </c>
    </row>
    <row r="1167" spans="1:15" s="236" customFormat="1" x14ac:dyDescent="0.2">
      <c r="A1167" s="237" t="str">
        <f>name!E$6</f>
        <v>Associate professional occupations</v>
      </c>
      <c r="B1167" s="302">
        <v>12.303396443279018</v>
      </c>
      <c r="C1167" s="302">
        <v>9.1069165420296372</v>
      </c>
      <c r="D1167" s="302">
        <v>1.8426264783569588</v>
      </c>
      <c r="E1167" s="302">
        <f t="shared" si="497"/>
        <v>23.252939463665616</v>
      </c>
      <c r="F1167" s="303"/>
      <c r="G1167" s="302">
        <v>13.383500415739695</v>
      </c>
      <c r="H1167" s="302">
        <v>8.1290219644130524</v>
      </c>
      <c r="I1167" s="302">
        <v>1.5702653788399901</v>
      </c>
      <c r="J1167" s="302">
        <f t="shared" si="498"/>
        <v>23.082787758992737</v>
      </c>
      <c r="K1167" s="303"/>
      <c r="L1167" s="302">
        <v>12.967495151802567</v>
      </c>
      <c r="M1167" s="302">
        <v>6.4737544831915406</v>
      </c>
      <c r="N1167" s="302">
        <v>1.7118129512770783</v>
      </c>
      <c r="O1167" s="302">
        <f t="shared" si="499"/>
        <v>21.153062586271187</v>
      </c>
    </row>
    <row r="1168" spans="1:15" s="236" customFormat="1" x14ac:dyDescent="0.2">
      <c r="A1168" s="237" t="str">
        <f>name!E$7</f>
        <v>Administrative and secretarial occupations</v>
      </c>
      <c r="B1168" s="302">
        <v>6.8543337768181107</v>
      </c>
      <c r="C1168" s="302">
        <v>2.5725079763179233</v>
      </c>
      <c r="D1168" s="302">
        <v>0.42348884093490041</v>
      </c>
      <c r="E1168" s="302">
        <f t="shared" si="497"/>
        <v>9.850330594070936</v>
      </c>
      <c r="F1168" s="303"/>
      <c r="G1168" s="302">
        <v>6.2977132146048591</v>
      </c>
      <c r="H1168" s="302">
        <v>1.7647656804194225</v>
      </c>
      <c r="I1168" s="302">
        <v>0.29018203014620186</v>
      </c>
      <c r="J1168" s="302">
        <f t="shared" si="498"/>
        <v>8.3526609251704826</v>
      </c>
      <c r="K1168" s="303"/>
      <c r="L1168" s="302">
        <v>4.676567418749249</v>
      </c>
      <c r="M1168" s="302">
        <v>0.70812836916081778</v>
      </c>
      <c r="N1168" s="302">
        <v>0.14538740091587729</v>
      </c>
      <c r="O1168" s="302">
        <f t="shared" si="499"/>
        <v>5.5300831888259436</v>
      </c>
    </row>
    <row r="1169" spans="1:15" s="236" customFormat="1" x14ac:dyDescent="0.2">
      <c r="A1169" s="237" t="str">
        <f>name!E$8</f>
        <v>Skilled trades occupations</v>
      </c>
      <c r="B1169" s="302">
        <v>0.49315737328415638</v>
      </c>
      <c r="C1169" s="302">
        <v>0.55706677780734348</v>
      </c>
      <c r="D1169" s="302">
        <v>8.3017215638634803E-2</v>
      </c>
      <c r="E1169" s="302">
        <f t="shared" si="497"/>
        <v>1.1332413667301346</v>
      </c>
      <c r="F1169" s="303"/>
      <c r="G1169" s="302">
        <v>0.37573376816704407</v>
      </c>
      <c r="H1169" s="302">
        <v>0.33728309109570692</v>
      </c>
      <c r="I1169" s="302">
        <v>8.9498421244125215E-2</v>
      </c>
      <c r="J1169" s="302">
        <f>SUM(G1169:I1169)</f>
        <v>0.80251528050687626</v>
      </c>
      <c r="K1169" s="303"/>
      <c r="L1169" s="302">
        <v>0.25854888630423845</v>
      </c>
      <c r="M1169" s="302">
        <v>0.17010922086825073</v>
      </c>
      <c r="N1169" s="302">
        <v>6.5527832787331375E-2</v>
      </c>
      <c r="O1169" s="302">
        <f t="shared" si="499"/>
        <v>0.49418593995982057</v>
      </c>
    </row>
    <row r="1170" spans="1:15" s="236" customFormat="1" x14ac:dyDescent="0.2">
      <c r="A1170" s="237" t="str">
        <f>name!E$9</f>
        <v>Caring, leisure and other service occupations</v>
      </c>
      <c r="B1170" s="302">
        <v>26.427325225857849</v>
      </c>
      <c r="C1170" s="302">
        <v>18.148519775922548</v>
      </c>
      <c r="D1170" s="302">
        <v>4.4819053739460708</v>
      </c>
      <c r="E1170" s="302">
        <f t="shared" si="497"/>
        <v>49.057750375726464</v>
      </c>
      <c r="F1170" s="303"/>
      <c r="G1170" s="302">
        <v>25.636154117198185</v>
      </c>
      <c r="H1170" s="302">
        <v>13.819793039651556</v>
      </c>
      <c r="I1170" s="302">
        <v>4.5583174945881764</v>
      </c>
      <c r="J1170" s="302">
        <f t="shared" ref="J1170:J1173" si="500">SUM(G1170:I1170)</f>
        <v>44.014264651437912</v>
      </c>
      <c r="K1170" s="303"/>
      <c r="L1170" s="302">
        <v>30.028283265383077</v>
      </c>
      <c r="M1170" s="302">
        <v>11.272064197686472</v>
      </c>
      <c r="N1170" s="302">
        <v>4.518687963921451</v>
      </c>
      <c r="O1170" s="302">
        <f t="shared" si="499"/>
        <v>45.819035426991</v>
      </c>
    </row>
    <row r="1171" spans="1:15" s="236" customFormat="1" x14ac:dyDescent="0.2">
      <c r="A1171" s="237" t="str">
        <f>name!E$10</f>
        <v>Sales and customer service occupations</v>
      </c>
      <c r="B1171" s="302">
        <v>0.99205176119849747</v>
      </c>
      <c r="C1171" s="302">
        <v>0.76358546561161278</v>
      </c>
      <c r="D1171" s="302">
        <v>0.11531500758267867</v>
      </c>
      <c r="E1171" s="302">
        <f t="shared" si="497"/>
        <v>1.8709522343927891</v>
      </c>
      <c r="F1171" s="303"/>
      <c r="G1171" s="302">
        <v>0.91266389174702633</v>
      </c>
      <c r="H1171" s="302">
        <v>0.53982569125119684</v>
      </c>
      <c r="I1171" s="302">
        <v>8.0994031905123831E-2</v>
      </c>
      <c r="J1171" s="302">
        <f t="shared" si="500"/>
        <v>1.5334836149033471</v>
      </c>
      <c r="K1171" s="303"/>
      <c r="L1171" s="302">
        <v>0.89541298745953068</v>
      </c>
      <c r="M1171" s="302">
        <v>0.4399198056795483</v>
      </c>
      <c r="N1171" s="302">
        <v>9.728188493617361E-2</v>
      </c>
      <c r="O1171" s="302">
        <f t="shared" si="499"/>
        <v>1.4326146780752527</v>
      </c>
    </row>
    <row r="1172" spans="1:15" s="236" customFormat="1" x14ac:dyDescent="0.2">
      <c r="A1172" s="237" t="str">
        <f>name!E$11</f>
        <v>Process, plant and machine operatives</v>
      </c>
      <c r="B1172" s="302">
        <v>0.12565520242087669</v>
      </c>
      <c r="C1172" s="302">
        <v>0.64407973869006074</v>
      </c>
      <c r="D1172" s="302">
        <v>2.6082373289141699E-2</v>
      </c>
      <c r="E1172" s="302">
        <f t="shared" si="497"/>
        <v>0.79581731440007908</v>
      </c>
      <c r="F1172" s="303"/>
      <c r="G1172" s="302">
        <v>9.3934980860247458E-2</v>
      </c>
      <c r="H1172" s="302">
        <v>0.50045732869909865</v>
      </c>
      <c r="I1172" s="302">
        <v>3.2467209564353769E-2</v>
      </c>
      <c r="J1172" s="302">
        <f t="shared" si="500"/>
        <v>0.62685951912369986</v>
      </c>
      <c r="K1172" s="303"/>
      <c r="L1172" s="302">
        <v>7.1857989657510918E-2</v>
      </c>
      <c r="M1172" s="302">
        <v>0.35945769550473017</v>
      </c>
      <c r="N1172" s="302">
        <v>1.6371280192036028E-2</v>
      </c>
      <c r="O1172" s="302">
        <f t="shared" si="499"/>
        <v>0.4476869653542771</v>
      </c>
    </row>
    <row r="1173" spans="1:15" s="236" customFormat="1" x14ac:dyDescent="0.2">
      <c r="A1173" s="237" t="str">
        <f>name!E$12</f>
        <v>Elementary occupations</v>
      </c>
      <c r="B1173" s="302">
        <v>0.58454975053050739</v>
      </c>
      <c r="C1173" s="302">
        <v>2.9854468355500492</v>
      </c>
      <c r="D1173" s="302">
        <v>5.5805031964203382E-2</v>
      </c>
      <c r="E1173" s="302">
        <f t="shared" si="497"/>
        <v>3.6258016180447599</v>
      </c>
      <c r="F1173" s="303"/>
      <c r="G1173" s="302">
        <v>0.49527245694123934</v>
      </c>
      <c r="H1173" s="302">
        <v>1.760398816613447</v>
      </c>
      <c r="I1173" s="302">
        <v>3.7914362984336786E-2</v>
      </c>
      <c r="J1173" s="302">
        <f t="shared" si="500"/>
        <v>2.293585636539023</v>
      </c>
      <c r="K1173" s="303"/>
      <c r="L1173" s="302">
        <v>0.25897204157620018</v>
      </c>
      <c r="M1173" s="302">
        <v>0.63330397683282014</v>
      </c>
      <c r="N1173" s="302">
        <v>1.67375336668572E-2</v>
      </c>
      <c r="O1173" s="302">
        <f t="shared" si="499"/>
        <v>0.90901355207587753</v>
      </c>
    </row>
    <row r="1174" spans="1:15" s="236" customFormat="1" x14ac:dyDescent="0.2">
      <c r="A1174" s="237"/>
      <c r="B1174" s="302"/>
      <c r="C1174" s="302"/>
      <c r="D1174" s="302"/>
      <c r="E1174" s="302"/>
      <c r="F1174" s="303"/>
      <c r="G1174" s="302"/>
      <c r="H1174" s="302"/>
      <c r="I1174" s="302"/>
      <c r="J1174" s="302"/>
      <c r="K1174" s="303"/>
      <c r="L1174" s="302"/>
      <c r="M1174" s="302"/>
      <c r="N1174" s="302"/>
      <c r="O1174" s="302"/>
    </row>
    <row r="1175" spans="1:15" s="236" customFormat="1" x14ac:dyDescent="0.2">
      <c r="A1175" s="244" t="s">
        <v>32</v>
      </c>
      <c r="B1175" s="311">
        <f>SUM(B1165:B1173)</f>
        <v>84.31099999934159</v>
      </c>
      <c r="C1175" s="311">
        <f t="shared" ref="C1175:E1175" si="501">SUM(C1165:C1173)</f>
        <v>57.258999998885052</v>
      </c>
      <c r="D1175" s="311">
        <f t="shared" si="501"/>
        <v>11.709999999370979</v>
      </c>
      <c r="E1175" s="311">
        <f t="shared" si="501"/>
        <v>153.27999999759763</v>
      </c>
      <c r="F1175" s="311"/>
      <c r="G1175" s="311">
        <f t="shared" ref="G1175:J1175" si="502">SUM(G1165:G1173)</f>
        <v>88.0520000003836</v>
      </c>
      <c r="H1175" s="311">
        <f t="shared" si="502"/>
        <v>47.24899999927888</v>
      </c>
      <c r="I1175" s="311">
        <f t="shared" si="502"/>
        <v>12.019000000969314</v>
      </c>
      <c r="J1175" s="311">
        <f t="shared" si="502"/>
        <v>147.32000000063181</v>
      </c>
      <c r="K1175" s="311"/>
      <c r="L1175" s="311">
        <f t="shared" ref="L1175:O1175" si="503">SUM(L1165:L1173)</f>
        <v>92.741000000157399</v>
      </c>
      <c r="M1175" s="311">
        <f t="shared" si="503"/>
        <v>38.758999999967948</v>
      </c>
      <c r="N1175" s="311">
        <f t="shared" si="503"/>
        <v>11.838000000236461</v>
      </c>
      <c r="O1175" s="311">
        <f t="shared" si="503"/>
        <v>143.3380000003618</v>
      </c>
    </row>
    <row r="1176" spans="1:15" s="236" customFormat="1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37"/>
      <c r="M1176" s="237"/>
      <c r="N1176" s="240"/>
    </row>
    <row r="1177" spans="1:15" s="236" customFormat="1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37"/>
      <c r="M1177" s="237"/>
      <c r="N1177" s="240"/>
      <c r="O1177" s="251" t="s">
        <v>35</v>
      </c>
    </row>
    <row r="1178" spans="1:15" s="236" customFormat="1" x14ac:dyDescent="0.2">
      <c r="A1178" s="242"/>
      <c r="B1178" s="242"/>
      <c r="C1178" s="242"/>
      <c r="D1178" s="242"/>
      <c r="E1178" s="242"/>
      <c r="F1178" s="242"/>
      <c r="G1178" s="242"/>
      <c r="H1178" s="242"/>
      <c r="I1178" s="242"/>
      <c r="J1178" s="242"/>
      <c r="K1178" s="242"/>
      <c r="L1178" s="242"/>
      <c r="M1178" s="242"/>
      <c r="N1178" s="242"/>
      <c r="O1178" s="242"/>
    </row>
    <row r="1179" spans="1:15" s="236" customFormat="1" x14ac:dyDescent="0.2">
      <c r="A1179" s="241" t="str">
        <f>name!A72</f>
        <v>Arts and entertainment</v>
      </c>
      <c r="B1179" s="374">
        <f>$B$6</f>
        <v>2015</v>
      </c>
      <c r="C1179" s="374"/>
      <c r="D1179" s="374"/>
      <c r="E1179" s="374"/>
      <c r="F1179" s="263"/>
      <c r="G1179" s="374">
        <f>$G$6</f>
        <v>2020</v>
      </c>
      <c r="H1179" s="374"/>
      <c r="I1179" s="374"/>
      <c r="J1179" s="374"/>
      <c r="K1179" s="263"/>
      <c r="L1179" s="374">
        <f>$L$6</f>
        <v>2035</v>
      </c>
      <c r="M1179" s="374"/>
      <c r="N1179" s="374"/>
      <c r="O1179" s="374"/>
    </row>
    <row r="1180" spans="1:15" s="236" customFormat="1" x14ac:dyDescent="0.2">
      <c r="A1180" s="254"/>
      <c r="B1180" s="268" t="str">
        <f>$B$7</f>
        <v>FT</v>
      </c>
      <c r="C1180" s="268" t="str">
        <f>$C$7</f>
        <v>PT</v>
      </c>
      <c r="D1180" s="268" t="str">
        <f>$D$7</f>
        <v>SE</v>
      </c>
      <c r="E1180" s="268" t="str">
        <f>$E$7</f>
        <v>Total</v>
      </c>
      <c r="F1180" s="268"/>
      <c r="G1180" s="268" t="str">
        <f>$G$7</f>
        <v>FT</v>
      </c>
      <c r="H1180" s="268" t="str">
        <f>$H$7</f>
        <v>PT</v>
      </c>
      <c r="I1180" s="268" t="str">
        <f>$I$7</f>
        <v>SE</v>
      </c>
      <c r="J1180" s="268" t="str">
        <f>$J$7</f>
        <v>Total</v>
      </c>
      <c r="K1180" s="268"/>
      <c r="L1180" s="268" t="str">
        <f>$L$7</f>
        <v>FT</v>
      </c>
      <c r="M1180" s="268" t="str">
        <f>$M$7</f>
        <v>PT</v>
      </c>
      <c r="N1180" s="268" t="str">
        <f>$N$7</f>
        <v>SE</v>
      </c>
      <c r="O1180" s="268" t="str">
        <f>$O$7</f>
        <v>Total</v>
      </c>
    </row>
    <row r="1181" spans="1:15" s="236" customFormat="1" x14ac:dyDescent="0.2">
      <c r="A1181" s="258"/>
      <c r="B1181" s="239"/>
      <c r="C1181" s="239"/>
      <c r="D1181" s="239"/>
      <c r="E1181" s="239"/>
      <c r="F1181" s="239"/>
      <c r="G1181" s="239"/>
      <c r="H1181" s="239"/>
      <c r="I1181" s="239"/>
      <c r="J1181" s="239"/>
      <c r="K1181" s="239"/>
      <c r="L1181" s="239"/>
      <c r="M1181" s="239"/>
      <c r="N1181" s="239"/>
      <c r="O1181" s="239"/>
    </row>
    <row r="1182" spans="1:15" s="236" customFormat="1" x14ac:dyDescent="0.2">
      <c r="A1182" s="237" t="str">
        <f>name!E$4</f>
        <v>Managers, directors and senior officials</v>
      </c>
      <c r="B1182" s="302">
        <v>3.3189942015499563</v>
      </c>
      <c r="C1182" s="302">
        <v>0.49934098046732722</v>
      </c>
      <c r="D1182" s="302">
        <v>2.4642000958897805</v>
      </c>
      <c r="E1182" s="302">
        <f>SUM(B1182:D1182)</f>
        <v>6.2825352779070638</v>
      </c>
      <c r="F1182" s="303"/>
      <c r="G1182" s="302">
        <v>2.8914261063190998</v>
      </c>
      <c r="H1182" s="302">
        <v>0.74693321766630505</v>
      </c>
      <c r="I1182" s="302">
        <v>4.1253415555967861</v>
      </c>
      <c r="J1182" s="302">
        <f>SUM(G1182:I1182)</f>
        <v>7.7637008795821911</v>
      </c>
      <c r="K1182" s="303"/>
      <c r="L1182" s="302">
        <v>3.2848983334774662</v>
      </c>
      <c r="M1182" s="302">
        <v>1.1176357188532884</v>
      </c>
      <c r="N1182" s="302">
        <v>5.7924196946478297</v>
      </c>
      <c r="O1182" s="302">
        <f>SUM(L1182:N1182)</f>
        <v>10.194953746978584</v>
      </c>
    </row>
    <row r="1183" spans="1:15" s="236" customFormat="1" x14ac:dyDescent="0.2">
      <c r="A1183" s="237" t="str">
        <f>name!E$5</f>
        <v>Professional occupations</v>
      </c>
      <c r="B1183" s="302">
        <v>6.0398837892919692</v>
      </c>
      <c r="C1183" s="302">
        <v>2.1430909110346601</v>
      </c>
      <c r="D1183" s="302">
        <v>6.5416223207171624</v>
      </c>
      <c r="E1183" s="302">
        <f t="shared" ref="E1183:E1190" si="504">SUM(B1183:D1183)</f>
        <v>14.724597021043792</v>
      </c>
      <c r="F1183" s="303"/>
      <c r="G1183" s="302">
        <v>7.0300889500065473</v>
      </c>
      <c r="H1183" s="302">
        <v>3.0995771877857456</v>
      </c>
      <c r="I1183" s="302">
        <v>7.1620847280374544</v>
      </c>
      <c r="J1183" s="302">
        <f t="shared" ref="J1183:J1185" si="505">SUM(G1183:I1183)</f>
        <v>17.291750865829748</v>
      </c>
      <c r="K1183" s="303"/>
      <c r="L1183" s="302">
        <v>8.4585941379189595</v>
      </c>
      <c r="M1183" s="302">
        <v>4.6026791473854409</v>
      </c>
      <c r="N1183" s="302">
        <v>6.7035811486825168</v>
      </c>
      <c r="O1183" s="302">
        <f t="shared" ref="O1183:O1190" si="506">SUM(L1183:N1183)</f>
        <v>19.764854433986919</v>
      </c>
    </row>
    <row r="1184" spans="1:15" s="236" customFormat="1" x14ac:dyDescent="0.2">
      <c r="A1184" s="237" t="str">
        <f>name!E$6</f>
        <v>Associate professional occupations</v>
      </c>
      <c r="B1184" s="302">
        <v>7.6789777163094008</v>
      </c>
      <c r="C1184" s="302">
        <v>3.940941449580595</v>
      </c>
      <c r="D1184" s="302">
        <v>19.872323559622334</v>
      </c>
      <c r="E1184" s="302">
        <f t="shared" si="504"/>
        <v>31.49224272551233</v>
      </c>
      <c r="F1184" s="303"/>
      <c r="G1184" s="302">
        <v>7.4175190460490432</v>
      </c>
      <c r="H1184" s="302">
        <v>4.5140057596845962</v>
      </c>
      <c r="I1184" s="302">
        <v>24.8775865628355</v>
      </c>
      <c r="J1184" s="302">
        <f t="shared" si="505"/>
        <v>36.809111368569141</v>
      </c>
      <c r="K1184" s="303"/>
      <c r="L1184" s="302">
        <v>8.1639082333989599</v>
      </c>
      <c r="M1184" s="302">
        <v>5.5095801186823286</v>
      </c>
      <c r="N1184" s="302">
        <v>27.553500637491116</v>
      </c>
      <c r="O1184" s="302">
        <f t="shared" si="506"/>
        <v>41.226988989572405</v>
      </c>
    </row>
    <row r="1185" spans="1:15" s="236" customFormat="1" x14ac:dyDescent="0.2">
      <c r="A1185" s="237" t="str">
        <f>name!E$7</f>
        <v>Administrative and secretarial occupations</v>
      </c>
      <c r="B1185" s="302">
        <v>2.0602284344303969</v>
      </c>
      <c r="C1185" s="302">
        <v>1.9215202438884358</v>
      </c>
      <c r="D1185" s="302">
        <v>0.31618659202798038</v>
      </c>
      <c r="E1185" s="302">
        <f t="shared" si="504"/>
        <v>4.2979352703468132</v>
      </c>
      <c r="F1185" s="303"/>
      <c r="G1185" s="302">
        <v>1.882336722881389</v>
      </c>
      <c r="H1185" s="302">
        <v>1.9302478980899378</v>
      </c>
      <c r="I1185" s="302">
        <v>0.53119062619442936</v>
      </c>
      <c r="J1185" s="302">
        <f t="shared" si="505"/>
        <v>4.3437752471657562</v>
      </c>
      <c r="K1185" s="303"/>
      <c r="L1185" s="302">
        <v>1.5662564621810746</v>
      </c>
      <c r="M1185" s="302">
        <v>1.8644069369236513</v>
      </c>
      <c r="N1185" s="302">
        <v>0.38633643329102252</v>
      </c>
      <c r="O1185" s="302">
        <f t="shared" si="506"/>
        <v>3.8169998323957488</v>
      </c>
    </row>
    <row r="1186" spans="1:15" s="236" customFormat="1" x14ac:dyDescent="0.2">
      <c r="A1186" s="237" t="str">
        <f>name!E$8</f>
        <v>Skilled trades occupations</v>
      </c>
      <c r="B1186" s="302">
        <v>1.6512259912765654</v>
      </c>
      <c r="C1186" s="302">
        <v>0.38149493994683475</v>
      </c>
      <c r="D1186" s="302">
        <v>1.8939465441384737</v>
      </c>
      <c r="E1186" s="302">
        <f t="shared" si="504"/>
        <v>3.9266674753618735</v>
      </c>
      <c r="F1186" s="303"/>
      <c r="G1186" s="302">
        <v>1.0463346517887218</v>
      </c>
      <c r="H1186" s="302">
        <v>0.37745455687297158</v>
      </c>
      <c r="I1186" s="302">
        <v>2.9037978018189698</v>
      </c>
      <c r="J1186" s="302">
        <f>SUM(G1186:I1186)</f>
        <v>4.3275870104806629</v>
      </c>
      <c r="K1186" s="303"/>
      <c r="L1186" s="302">
        <v>0.91283939607876674</v>
      </c>
      <c r="M1186" s="302">
        <v>0.58441456971677563</v>
      </c>
      <c r="N1186" s="302">
        <v>4.228930021933401</v>
      </c>
      <c r="O1186" s="302">
        <f t="shared" si="506"/>
        <v>5.7261839877289429</v>
      </c>
    </row>
    <row r="1187" spans="1:15" s="236" customFormat="1" x14ac:dyDescent="0.2">
      <c r="A1187" s="237" t="str">
        <f>name!E$9</f>
        <v>Caring, leisure and other service occupations</v>
      </c>
      <c r="B1187" s="302">
        <v>0.95842655841045421</v>
      </c>
      <c r="C1187" s="302">
        <v>1.2471346259881491</v>
      </c>
      <c r="D1187" s="302">
        <v>0.39681396629204763</v>
      </c>
      <c r="E1187" s="302">
        <f t="shared" si="504"/>
        <v>2.602375150690651</v>
      </c>
      <c r="F1187" s="303"/>
      <c r="G1187" s="302">
        <v>0.73302338180092363</v>
      </c>
      <c r="H1187" s="302">
        <v>1.242851451084098</v>
      </c>
      <c r="I1187" s="302">
        <v>0.69707602362442567</v>
      </c>
      <c r="J1187" s="302">
        <f t="shared" ref="J1187:J1190" si="507">SUM(G1187:I1187)</f>
        <v>2.6729508565094471</v>
      </c>
      <c r="K1187" s="303"/>
      <c r="L1187" s="302">
        <v>0.7615059304055708</v>
      </c>
      <c r="M1187" s="302">
        <v>1.4601426272019837</v>
      </c>
      <c r="N1187" s="302">
        <v>0.93832907924501774</v>
      </c>
      <c r="O1187" s="302">
        <f t="shared" si="506"/>
        <v>3.159977636852572</v>
      </c>
    </row>
    <row r="1188" spans="1:15" s="236" customFormat="1" x14ac:dyDescent="0.2">
      <c r="A1188" s="237" t="str">
        <f>name!E$10</f>
        <v>Sales and customer service occupations</v>
      </c>
      <c r="B1188" s="302">
        <v>0.88219417075809747</v>
      </c>
      <c r="C1188" s="302">
        <v>0.65623858638506927</v>
      </c>
      <c r="D1188" s="302">
        <v>0.54343309180936517</v>
      </c>
      <c r="E1188" s="302">
        <f t="shared" si="504"/>
        <v>2.0818658489525319</v>
      </c>
      <c r="F1188" s="303"/>
      <c r="G1188" s="302">
        <v>0.73488473749410554</v>
      </c>
      <c r="H1188" s="302">
        <v>0.73009882823250916</v>
      </c>
      <c r="I1188" s="302">
        <v>0.60547815149059747</v>
      </c>
      <c r="J1188" s="302">
        <f t="shared" si="507"/>
        <v>2.0704617172172122</v>
      </c>
      <c r="K1188" s="303"/>
      <c r="L1188" s="302">
        <v>0.68843830172399467</v>
      </c>
      <c r="M1188" s="302">
        <v>0.86237883419448369</v>
      </c>
      <c r="N1188" s="302">
        <v>0.67016007667180499</v>
      </c>
      <c r="O1188" s="302">
        <f t="shared" si="506"/>
        <v>2.2209772125902836</v>
      </c>
    </row>
    <row r="1189" spans="1:15" s="236" customFormat="1" x14ac:dyDescent="0.2">
      <c r="A1189" s="237" t="str">
        <f>name!E$11</f>
        <v>Process, plant and machine operatives</v>
      </c>
      <c r="B1189" s="302">
        <v>8.6706820180371583E-2</v>
      </c>
      <c r="C1189" s="302">
        <v>7.6807349992941629E-2</v>
      </c>
      <c r="D1189" s="302">
        <v>6.5895367694186954E-2</v>
      </c>
      <c r="E1189" s="302">
        <f t="shared" si="504"/>
        <v>0.22940953786750018</v>
      </c>
      <c r="F1189" s="303"/>
      <c r="G1189" s="302">
        <v>5.1857719250003528E-2</v>
      </c>
      <c r="H1189" s="302">
        <v>9.2850438535276886E-2</v>
      </c>
      <c r="I1189" s="302">
        <v>7.9607069666488436E-2</v>
      </c>
      <c r="J1189" s="302">
        <f t="shared" si="507"/>
        <v>0.22431522745176885</v>
      </c>
      <c r="K1189" s="303"/>
      <c r="L1189" s="302">
        <v>5.1793872123465784E-2</v>
      </c>
      <c r="M1189" s="302">
        <v>8.7071005661910519E-2</v>
      </c>
      <c r="N1189" s="302">
        <v>0.10116303441409416</v>
      </c>
      <c r="O1189" s="302">
        <f t="shared" si="506"/>
        <v>0.24002791219947048</v>
      </c>
    </row>
    <row r="1190" spans="1:15" s="236" customFormat="1" x14ac:dyDescent="0.2">
      <c r="A1190" s="237" t="str">
        <f>name!E$12</f>
        <v>Elementary occupations</v>
      </c>
      <c r="B1190" s="302">
        <v>0.38136231758967837</v>
      </c>
      <c r="C1190" s="302">
        <v>2.3214309127643218</v>
      </c>
      <c r="D1190" s="302">
        <v>8.2578462436356359E-2</v>
      </c>
      <c r="E1190" s="302">
        <f t="shared" si="504"/>
        <v>2.7853716927903562</v>
      </c>
      <c r="F1190" s="303"/>
      <c r="G1190" s="302">
        <v>0.23252868449696545</v>
      </c>
      <c r="H1190" s="302">
        <v>1.9099806619545003</v>
      </c>
      <c r="I1190" s="302">
        <v>9.2837481160335647E-2</v>
      </c>
      <c r="J1190" s="302">
        <f t="shared" si="507"/>
        <v>2.2353468276118016</v>
      </c>
      <c r="K1190" s="303"/>
      <c r="L1190" s="302">
        <v>0.16776533280583475</v>
      </c>
      <c r="M1190" s="302">
        <v>1.2376910412985411</v>
      </c>
      <c r="N1190" s="302">
        <v>0.10057987485810969</v>
      </c>
      <c r="O1190" s="302">
        <f t="shared" si="506"/>
        <v>1.5060362489624857</v>
      </c>
    </row>
    <row r="1191" spans="1:15" s="236" customFormat="1" x14ac:dyDescent="0.2">
      <c r="A1191" s="237"/>
      <c r="B1191" s="302"/>
      <c r="C1191" s="302"/>
      <c r="D1191" s="302"/>
      <c r="E1191" s="302"/>
      <c r="F1191" s="303"/>
      <c r="G1191" s="302"/>
      <c r="H1191" s="302"/>
      <c r="I1191" s="302"/>
      <c r="J1191" s="302"/>
      <c r="K1191" s="303"/>
      <c r="L1191" s="302"/>
      <c r="M1191" s="302"/>
      <c r="N1191" s="302"/>
      <c r="O1191" s="302"/>
    </row>
    <row r="1192" spans="1:15" s="236" customFormat="1" x14ac:dyDescent="0.2">
      <c r="A1192" s="244" t="s">
        <v>32</v>
      </c>
      <c r="B1192" s="311">
        <f>SUM(B1182:B1190)</f>
        <v>23.057999999796891</v>
      </c>
      <c r="C1192" s="311">
        <f t="shared" ref="C1192:E1192" si="508">SUM(C1182:C1190)</f>
        <v>13.188000000048335</v>
      </c>
      <c r="D1192" s="311">
        <f t="shared" si="508"/>
        <v>32.177000000627686</v>
      </c>
      <c r="E1192" s="311">
        <f t="shared" si="508"/>
        <v>68.423000000472911</v>
      </c>
      <c r="F1192" s="311"/>
      <c r="G1192" s="311">
        <f t="shared" ref="G1192:J1192" si="509">SUM(G1182:G1190)</f>
        <v>22.020000000086799</v>
      </c>
      <c r="H1192" s="311">
        <f t="shared" si="509"/>
        <v>14.643999999905944</v>
      </c>
      <c r="I1192" s="311">
        <f t="shared" si="509"/>
        <v>41.075000000424978</v>
      </c>
      <c r="J1192" s="311">
        <f t="shared" si="509"/>
        <v>77.739000000417718</v>
      </c>
      <c r="K1192" s="311"/>
      <c r="L1192" s="311">
        <f t="shared" ref="L1192:O1192" si="510">SUM(L1182:L1190)</f>
        <v>24.056000000114089</v>
      </c>
      <c r="M1192" s="311">
        <f t="shared" si="510"/>
        <v>17.325999999918402</v>
      </c>
      <c r="N1192" s="311">
        <f t="shared" si="510"/>
        <v>46.47500000123491</v>
      </c>
      <c r="O1192" s="311">
        <f t="shared" si="510"/>
        <v>87.857000001267423</v>
      </c>
    </row>
    <row r="1193" spans="1:15" s="236" customFormat="1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37"/>
      <c r="M1193" s="237"/>
      <c r="N1193" s="240"/>
    </row>
    <row r="1194" spans="1:15" s="236" customFormat="1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37"/>
      <c r="M1194" s="237"/>
      <c r="N1194" s="240"/>
      <c r="O1194" s="251" t="s">
        <v>35</v>
      </c>
    </row>
    <row r="1195" spans="1:15" s="236" customFormat="1" x14ac:dyDescent="0.2">
      <c r="A1195" s="242"/>
      <c r="B1195" s="242"/>
      <c r="C1195" s="242"/>
      <c r="D1195" s="242"/>
      <c r="E1195" s="242"/>
      <c r="F1195" s="242"/>
      <c r="G1195" s="242"/>
      <c r="H1195" s="242"/>
      <c r="I1195" s="242"/>
      <c r="J1195" s="242"/>
      <c r="K1195" s="242"/>
      <c r="L1195" s="242"/>
      <c r="M1195" s="242"/>
      <c r="N1195" s="242"/>
      <c r="O1195" s="242"/>
    </row>
    <row r="1196" spans="1:15" s="236" customFormat="1" x14ac:dyDescent="0.2">
      <c r="A1196" s="241" t="str">
        <f>name!A73</f>
        <v>Libraries, etc</v>
      </c>
      <c r="B1196" s="374">
        <f>$B$6</f>
        <v>2015</v>
      </c>
      <c r="C1196" s="374"/>
      <c r="D1196" s="374"/>
      <c r="E1196" s="374"/>
      <c r="F1196" s="263"/>
      <c r="G1196" s="374">
        <f>$G$6</f>
        <v>2020</v>
      </c>
      <c r="H1196" s="374"/>
      <c r="I1196" s="374"/>
      <c r="J1196" s="374"/>
      <c r="K1196" s="263"/>
      <c r="L1196" s="374">
        <f>$L$6</f>
        <v>2035</v>
      </c>
      <c r="M1196" s="374"/>
      <c r="N1196" s="374"/>
      <c r="O1196" s="374"/>
    </row>
    <row r="1197" spans="1:15" s="236" customFormat="1" x14ac:dyDescent="0.2">
      <c r="A1197" s="254"/>
      <c r="B1197" s="268" t="str">
        <f>$B$7</f>
        <v>FT</v>
      </c>
      <c r="C1197" s="268" t="str">
        <f>$C$7</f>
        <v>PT</v>
      </c>
      <c r="D1197" s="268" t="str">
        <f>$D$7</f>
        <v>SE</v>
      </c>
      <c r="E1197" s="268" t="str">
        <f>$E$7</f>
        <v>Total</v>
      </c>
      <c r="F1197" s="268"/>
      <c r="G1197" s="268" t="str">
        <f>$G$7</f>
        <v>FT</v>
      </c>
      <c r="H1197" s="268" t="str">
        <f>$H$7</f>
        <v>PT</v>
      </c>
      <c r="I1197" s="268" t="str">
        <f>$I$7</f>
        <v>SE</v>
      </c>
      <c r="J1197" s="268" t="str">
        <f>$J$7</f>
        <v>Total</v>
      </c>
      <c r="K1197" s="268"/>
      <c r="L1197" s="268" t="str">
        <f>$L$7</f>
        <v>FT</v>
      </c>
      <c r="M1197" s="268" t="str">
        <f>$M$7</f>
        <v>PT</v>
      </c>
      <c r="N1197" s="268" t="str">
        <f>$N$7</f>
        <v>SE</v>
      </c>
      <c r="O1197" s="268" t="str">
        <f>$O$7</f>
        <v>Total</v>
      </c>
    </row>
    <row r="1198" spans="1:15" s="236" customFormat="1" x14ac:dyDescent="0.2">
      <c r="A1198" s="258"/>
      <c r="B1198" s="239"/>
      <c r="C1198" s="239"/>
      <c r="D1198" s="239"/>
      <c r="E1198" s="239"/>
      <c r="F1198" s="239"/>
      <c r="G1198" s="239"/>
      <c r="H1198" s="239"/>
      <c r="I1198" s="239"/>
      <c r="J1198" s="239"/>
      <c r="K1198" s="239"/>
      <c r="L1198" s="239"/>
      <c r="M1198" s="239"/>
      <c r="N1198" s="239"/>
      <c r="O1198" s="239"/>
    </row>
    <row r="1199" spans="1:15" s="236" customFormat="1" x14ac:dyDescent="0.2">
      <c r="A1199" s="237" t="str">
        <f>name!E$4</f>
        <v>Managers, directors and senior officials</v>
      </c>
      <c r="B1199" s="302">
        <v>2.0182027493136552</v>
      </c>
      <c r="C1199" s="302">
        <v>0.27758058290634358</v>
      </c>
      <c r="D1199" s="302">
        <v>1.3568272682902884</v>
      </c>
      <c r="E1199" s="302">
        <f>SUM(B1199:D1199)</f>
        <v>3.652610600510287</v>
      </c>
      <c r="F1199" s="303"/>
      <c r="G1199" s="302">
        <v>1.7780640660821136</v>
      </c>
      <c r="H1199" s="302">
        <v>0.40817183640572863</v>
      </c>
      <c r="I1199" s="302">
        <v>2.7037020936160316</v>
      </c>
      <c r="J1199" s="302">
        <f>SUM(G1199:I1199)</f>
        <v>4.8899379961038738</v>
      </c>
      <c r="K1199" s="303"/>
      <c r="L1199" s="302">
        <v>2.0226135052457215</v>
      </c>
      <c r="M1199" s="302">
        <v>0.60090729912035223</v>
      </c>
      <c r="N1199" s="302">
        <v>3.8745191827779744</v>
      </c>
      <c r="O1199" s="302">
        <f>SUM(L1199:N1199)</f>
        <v>6.4980399871440486</v>
      </c>
    </row>
    <row r="1200" spans="1:15" s="236" customFormat="1" x14ac:dyDescent="0.2">
      <c r="A1200" s="237" t="str">
        <f>name!E$5</f>
        <v>Professional occupations</v>
      </c>
      <c r="B1200" s="302">
        <v>3.5550218920619172</v>
      </c>
      <c r="C1200" s="302">
        <v>1.2208785155196251</v>
      </c>
      <c r="D1200" s="302">
        <v>3.3714423925592127</v>
      </c>
      <c r="E1200" s="302">
        <f t="shared" ref="E1200:E1207" si="511">SUM(B1200:D1200)</f>
        <v>8.1473428001407555</v>
      </c>
      <c r="F1200" s="303"/>
      <c r="G1200" s="302">
        <v>4.1751813997380687</v>
      </c>
      <c r="H1200" s="302">
        <v>1.6979596994218751</v>
      </c>
      <c r="I1200" s="302">
        <v>4.3900065210115562</v>
      </c>
      <c r="J1200" s="302">
        <f t="shared" ref="J1200:J1202" si="512">SUM(G1200:I1200)</f>
        <v>10.2631476201715</v>
      </c>
      <c r="K1200" s="303"/>
      <c r="L1200" s="302">
        <v>5.0321522585466232</v>
      </c>
      <c r="M1200" s="302">
        <v>2.4916920782340894</v>
      </c>
      <c r="N1200" s="302">
        <v>4.1138631992739594</v>
      </c>
      <c r="O1200" s="302">
        <f t="shared" ref="O1200:O1207" si="513">SUM(L1200:N1200)</f>
        <v>11.637707536054672</v>
      </c>
    </row>
    <row r="1201" spans="1:15" s="236" customFormat="1" x14ac:dyDescent="0.2">
      <c r="A1201" s="237" t="str">
        <f>name!E$6</f>
        <v>Associate professional occupations</v>
      </c>
      <c r="B1201" s="302">
        <v>4.6515599532878129</v>
      </c>
      <c r="C1201" s="302">
        <v>2.2170184310540977</v>
      </c>
      <c r="D1201" s="302">
        <v>10.478390046371679</v>
      </c>
      <c r="E1201" s="302">
        <f t="shared" si="511"/>
        <v>17.346968430713588</v>
      </c>
      <c r="F1201" s="303"/>
      <c r="G1201" s="302">
        <v>4.5263173190466555</v>
      </c>
      <c r="H1201" s="302">
        <v>2.4641615678969933</v>
      </c>
      <c r="I1201" s="302">
        <v>15.57207661048829</v>
      </c>
      <c r="J1201" s="302">
        <f t="shared" si="512"/>
        <v>22.562555497431937</v>
      </c>
      <c r="K1201" s="303"/>
      <c r="L1201" s="302">
        <v>5.0203993570019945</v>
      </c>
      <c r="M1201" s="302">
        <v>3.0946658429373226</v>
      </c>
      <c r="N1201" s="302">
        <v>17.380880903017029</v>
      </c>
      <c r="O1201" s="302">
        <f t="shared" si="513"/>
        <v>25.495946102956346</v>
      </c>
    </row>
    <row r="1202" spans="1:15" s="236" customFormat="1" x14ac:dyDescent="0.2">
      <c r="A1202" s="237" t="str">
        <f>name!E$7</f>
        <v>Administrative and secretarial occupations</v>
      </c>
      <c r="B1202" s="302">
        <v>1.1574342615739055</v>
      </c>
      <c r="C1202" s="302">
        <v>1.1028298161407164</v>
      </c>
      <c r="D1202" s="302">
        <v>0.18592283907284679</v>
      </c>
      <c r="E1202" s="302">
        <f t="shared" si="511"/>
        <v>2.4461869167874686</v>
      </c>
      <c r="F1202" s="303"/>
      <c r="G1202" s="302">
        <v>1.081798991953318</v>
      </c>
      <c r="H1202" s="302">
        <v>1.0739750028402799</v>
      </c>
      <c r="I1202" s="302">
        <v>0.35958890974297519</v>
      </c>
      <c r="J1202" s="302">
        <f t="shared" si="512"/>
        <v>2.5153629045365729</v>
      </c>
      <c r="K1202" s="303"/>
      <c r="L1202" s="302">
        <v>0.9030788182317091</v>
      </c>
      <c r="M1202" s="302">
        <v>1.0509667163343537</v>
      </c>
      <c r="N1202" s="302">
        <v>0.26027637888133492</v>
      </c>
      <c r="O1202" s="302">
        <f t="shared" si="513"/>
        <v>2.2143219134473977</v>
      </c>
    </row>
    <row r="1203" spans="1:15" s="236" customFormat="1" x14ac:dyDescent="0.2">
      <c r="A1203" s="237" t="str">
        <f>name!E$8</f>
        <v>Skilled trades occupations</v>
      </c>
      <c r="B1203" s="302">
        <v>1.0411356476926761</v>
      </c>
      <c r="C1203" s="302">
        <v>0.18251328950199341</v>
      </c>
      <c r="D1203" s="302">
        <v>1.0529072322685342</v>
      </c>
      <c r="E1203" s="302">
        <f t="shared" si="511"/>
        <v>2.2765561694632037</v>
      </c>
      <c r="F1203" s="303"/>
      <c r="G1203" s="302">
        <v>0.671057224018489</v>
      </c>
      <c r="H1203" s="302">
        <v>0.18015392242470832</v>
      </c>
      <c r="I1203" s="302">
        <v>1.9220201789612859</v>
      </c>
      <c r="J1203" s="302">
        <f>SUM(G1203:I1203)</f>
        <v>2.7732313254044829</v>
      </c>
      <c r="K1203" s="303"/>
      <c r="L1203" s="302">
        <v>0.57872617201386378</v>
      </c>
      <c r="M1203" s="302">
        <v>0.28576888071531775</v>
      </c>
      <c r="N1203" s="302">
        <v>2.8362003483044309</v>
      </c>
      <c r="O1203" s="302">
        <f t="shared" si="513"/>
        <v>3.7006954010336122</v>
      </c>
    </row>
    <row r="1204" spans="1:15" s="236" customFormat="1" x14ac:dyDescent="0.2">
      <c r="A1204" s="237" t="str">
        <f>name!E$9</f>
        <v>Caring, leisure and other service occupations</v>
      </c>
      <c r="B1204" s="302">
        <v>0.56945726592531221</v>
      </c>
      <c r="C1204" s="302">
        <v>0.66016290259121957</v>
      </c>
      <c r="D1204" s="302">
        <v>0.22396171947156107</v>
      </c>
      <c r="E1204" s="302">
        <f t="shared" si="511"/>
        <v>1.4535818879880928</v>
      </c>
      <c r="F1204" s="303"/>
      <c r="G1204" s="302">
        <v>0.44290913452391434</v>
      </c>
      <c r="H1204" s="302">
        <v>0.63768297615766034</v>
      </c>
      <c r="I1204" s="302">
        <v>0.46114437502177325</v>
      </c>
      <c r="J1204" s="302">
        <f t="shared" ref="J1204:J1207" si="514">SUM(G1204:I1204)</f>
        <v>1.541736485703348</v>
      </c>
      <c r="K1204" s="303"/>
      <c r="L1204" s="302">
        <v>0.4662327679940636</v>
      </c>
      <c r="M1204" s="302">
        <v>0.73672680408355939</v>
      </c>
      <c r="N1204" s="302">
        <v>0.62803874695649453</v>
      </c>
      <c r="O1204" s="302">
        <f t="shared" si="513"/>
        <v>1.8309983190341175</v>
      </c>
    </row>
    <row r="1205" spans="1:15" s="236" customFormat="1" x14ac:dyDescent="0.2">
      <c r="A1205" s="237" t="str">
        <f>name!E$10</f>
        <v>Sales and customer service occupations</v>
      </c>
      <c r="B1205" s="302">
        <v>0.51597242157718992</v>
      </c>
      <c r="C1205" s="302">
        <v>0.33758958258524169</v>
      </c>
      <c r="D1205" s="302">
        <v>0.30524997425289263</v>
      </c>
      <c r="E1205" s="302">
        <f t="shared" si="511"/>
        <v>1.1588119784153244</v>
      </c>
      <c r="F1205" s="303"/>
      <c r="G1205" s="302">
        <v>0.43585556592258773</v>
      </c>
      <c r="H1205" s="302">
        <v>0.36612503428319254</v>
      </c>
      <c r="I1205" s="302">
        <v>0.39538729141495027</v>
      </c>
      <c r="J1205" s="302">
        <f t="shared" si="514"/>
        <v>1.1973678916207307</v>
      </c>
      <c r="K1205" s="303"/>
      <c r="L1205" s="302">
        <v>0.41280565014601223</v>
      </c>
      <c r="M1205" s="302">
        <v>0.43144896033234398</v>
      </c>
      <c r="N1205" s="302">
        <v>0.44808572693930282</v>
      </c>
      <c r="O1205" s="302">
        <f t="shared" si="513"/>
        <v>1.292340337417659</v>
      </c>
    </row>
    <row r="1206" spans="1:15" s="236" customFormat="1" x14ac:dyDescent="0.2">
      <c r="A1206" s="237" t="str">
        <f>name!E$11</f>
        <v>Process, plant and machine operatives</v>
      </c>
      <c r="B1206" s="302">
        <v>5.3761283611387399E-2</v>
      </c>
      <c r="C1206" s="302">
        <v>3.6425240130423503E-2</v>
      </c>
      <c r="D1206" s="302">
        <v>3.3992545328253229E-2</v>
      </c>
      <c r="E1206" s="302">
        <f t="shared" si="511"/>
        <v>0.12417906907006414</v>
      </c>
      <c r="F1206" s="303"/>
      <c r="G1206" s="302">
        <v>3.2660253709628627E-2</v>
      </c>
      <c r="H1206" s="302">
        <v>4.2634377456688174E-2</v>
      </c>
      <c r="I1206" s="302">
        <v>4.9181537714008711E-2</v>
      </c>
      <c r="J1206" s="302">
        <f t="shared" si="514"/>
        <v>0.12447616888032551</v>
      </c>
      <c r="K1206" s="303"/>
      <c r="L1206" s="302">
        <v>3.1946390112537165E-2</v>
      </c>
      <c r="M1206" s="302">
        <v>4.1525985275152721E-2</v>
      </c>
      <c r="N1206" s="302">
        <v>6.1207328010592012E-2</v>
      </c>
      <c r="O1206" s="302">
        <f t="shared" si="513"/>
        <v>0.13467970339828189</v>
      </c>
    </row>
    <row r="1207" spans="1:15" s="236" customFormat="1" x14ac:dyDescent="0.2">
      <c r="A1207" s="237" t="str">
        <f>name!E$12</f>
        <v>Elementary occupations</v>
      </c>
      <c r="B1207" s="302">
        <v>0.2374545248372637</v>
      </c>
      <c r="C1207" s="302">
        <v>1.2730016395909953</v>
      </c>
      <c r="D1207" s="302">
        <v>4.8305982691938441E-2</v>
      </c>
      <c r="E1207" s="302">
        <f t="shared" si="511"/>
        <v>1.5587621471201976</v>
      </c>
      <c r="F1207" s="303"/>
      <c r="G1207" s="302">
        <v>0.14715604505775562</v>
      </c>
      <c r="H1207" s="302">
        <v>1.0221355830617977</v>
      </c>
      <c r="I1207" s="302">
        <v>6.1892482202272406E-2</v>
      </c>
      <c r="J1207" s="302">
        <f t="shared" si="514"/>
        <v>1.2311841103218257</v>
      </c>
      <c r="K1207" s="303"/>
      <c r="L1207" s="302">
        <v>0.10804508077882367</v>
      </c>
      <c r="M1207" s="302">
        <v>0.67829743292657774</v>
      </c>
      <c r="N1207" s="302">
        <v>6.7928186501030344E-2</v>
      </c>
      <c r="O1207" s="302">
        <f t="shared" si="513"/>
        <v>0.85427070020643181</v>
      </c>
    </row>
    <row r="1208" spans="1:15" s="236" customFormat="1" x14ac:dyDescent="0.2">
      <c r="A1208" s="237"/>
      <c r="B1208" s="302"/>
      <c r="C1208" s="302"/>
      <c r="D1208" s="302"/>
      <c r="E1208" s="302"/>
      <c r="F1208" s="303"/>
      <c r="G1208" s="302"/>
      <c r="H1208" s="302"/>
      <c r="I1208" s="302"/>
      <c r="J1208" s="302"/>
      <c r="K1208" s="303"/>
      <c r="L1208" s="302"/>
      <c r="M1208" s="302"/>
      <c r="N1208" s="302"/>
      <c r="O1208" s="302"/>
    </row>
    <row r="1209" spans="1:15" s="236" customFormat="1" x14ac:dyDescent="0.2">
      <c r="A1209" s="244" t="s">
        <v>32</v>
      </c>
      <c r="B1209" s="311">
        <f>SUM(B1199:B1207)</f>
        <v>13.79999999988112</v>
      </c>
      <c r="C1209" s="311">
        <f t="shared" ref="C1209:E1209" si="515">SUM(C1199:C1207)</f>
        <v>7.3080000000206553</v>
      </c>
      <c r="D1209" s="311">
        <f t="shared" si="515"/>
        <v>17.057000000307205</v>
      </c>
      <c r="E1209" s="311">
        <f t="shared" si="515"/>
        <v>38.165000000208984</v>
      </c>
      <c r="F1209" s="311"/>
      <c r="G1209" s="311">
        <f t="shared" ref="G1209:J1209" si="516">SUM(G1199:G1207)</f>
        <v>13.291000000052531</v>
      </c>
      <c r="H1209" s="311">
        <f t="shared" si="516"/>
        <v>7.8929999999489224</v>
      </c>
      <c r="I1209" s="311">
        <f t="shared" si="516"/>
        <v>25.915000000173141</v>
      </c>
      <c r="J1209" s="311">
        <f t="shared" si="516"/>
        <v>47.099000000174591</v>
      </c>
      <c r="K1209" s="311"/>
      <c r="L1209" s="311">
        <f t="shared" ref="L1209:O1209" si="517">SUM(L1199:L1207)</f>
        <v>14.576000000071348</v>
      </c>
      <c r="M1209" s="311">
        <f t="shared" si="517"/>
        <v>9.4119999999590682</v>
      </c>
      <c r="N1209" s="311">
        <f t="shared" si="517"/>
        <v>29.671000000662154</v>
      </c>
      <c r="O1209" s="311">
        <f t="shared" si="517"/>
        <v>53.659000000692572</v>
      </c>
    </row>
    <row r="1210" spans="1:15" s="236" customFormat="1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37"/>
      <c r="M1210" s="237"/>
      <c r="N1210" s="240"/>
    </row>
    <row r="1211" spans="1:15" s="236" customFormat="1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37"/>
      <c r="M1211" s="237"/>
      <c r="N1211" s="240"/>
      <c r="O1211" s="251" t="s">
        <v>35</v>
      </c>
    </row>
    <row r="1212" spans="1:15" s="236" customFormat="1" x14ac:dyDescent="0.2">
      <c r="A1212" s="242"/>
      <c r="B1212" s="242"/>
      <c r="C1212" s="242"/>
      <c r="D1212" s="242"/>
      <c r="E1212" s="242"/>
      <c r="F1212" s="242"/>
      <c r="G1212" s="242"/>
      <c r="H1212" s="242"/>
      <c r="I1212" s="242"/>
      <c r="J1212" s="242"/>
      <c r="K1212" s="242"/>
      <c r="L1212" s="242"/>
      <c r="M1212" s="242"/>
      <c r="N1212" s="242"/>
      <c r="O1212" s="242"/>
    </row>
    <row r="1213" spans="1:15" s="236" customFormat="1" x14ac:dyDescent="0.2">
      <c r="A1213" s="241" t="str">
        <f>name!A74</f>
        <v>Gambling and betting</v>
      </c>
      <c r="B1213" s="374">
        <f>$B$6</f>
        <v>2015</v>
      </c>
      <c r="C1213" s="374"/>
      <c r="D1213" s="374"/>
      <c r="E1213" s="374"/>
      <c r="F1213" s="263"/>
      <c r="G1213" s="374">
        <f>$G$6</f>
        <v>2020</v>
      </c>
      <c r="H1213" s="374"/>
      <c r="I1213" s="374"/>
      <c r="J1213" s="374"/>
      <c r="K1213" s="263"/>
      <c r="L1213" s="374">
        <f>$L$6</f>
        <v>2035</v>
      </c>
      <c r="M1213" s="374"/>
      <c r="N1213" s="374"/>
      <c r="O1213" s="374"/>
    </row>
    <row r="1214" spans="1:15" s="236" customFormat="1" x14ac:dyDescent="0.2">
      <c r="A1214" s="254"/>
      <c r="B1214" s="268" t="str">
        <f>$B$7</f>
        <v>FT</v>
      </c>
      <c r="C1214" s="268" t="str">
        <f>$C$7</f>
        <v>PT</v>
      </c>
      <c r="D1214" s="268" t="str">
        <f>$D$7</f>
        <v>SE</v>
      </c>
      <c r="E1214" s="268" t="str">
        <f>$E$7</f>
        <v>Total</v>
      </c>
      <c r="F1214" s="268"/>
      <c r="G1214" s="268" t="str">
        <f>$G$7</f>
        <v>FT</v>
      </c>
      <c r="H1214" s="268" t="str">
        <f>$H$7</f>
        <v>PT</v>
      </c>
      <c r="I1214" s="268" t="str">
        <f>$I$7</f>
        <v>SE</v>
      </c>
      <c r="J1214" s="268" t="str">
        <f>$J$7</f>
        <v>Total</v>
      </c>
      <c r="K1214" s="268"/>
      <c r="L1214" s="268" t="str">
        <f>$L$7</f>
        <v>FT</v>
      </c>
      <c r="M1214" s="268" t="str">
        <f>$M$7</f>
        <v>PT</v>
      </c>
      <c r="N1214" s="268" t="str">
        <f>$N$7</f>
        <v>SE</v>
      </c>
      <c r="O1214" s="268" t="str">
        <f>$O$7</f>
        <v>Total</v>
      </c>
    </row>
    <row r="1215" spans="1:15" s="236" customFormat="1" x14ac:dyDescent="0.2">
      <c r="A1215" s="258"/>
      <c r="B1215" s="239"/>
      <c r="C1215" s="239"/>
      <c r="D1215" s="239"/>
      <c r="E1215" s="239"/>
      <c r="F1215" s="239"/>
      <c r="G1215" s="239"/>
      <c r="H1215" s="239"/>
      <c r="I1215" s="239"/>
      <c r="J1215" s="239"/>
      <c r="K1215" s="239"/>
      <c r="L1215" s="239"/>
      <c r="M1215" s="239"/>
      <c r="N1215" s="239"/>
      <c r="O1215" s="239"/>
    </row>
    <row r="1216" spans="1:15" s="236" customFormat="1" x14ac:dyDescent="0.2">
      <c r="A1216" s="237" t="str">
        <f>name!E$4</f>
        <v>Managers, directors and senior officials</v>
      </c>
      <c r="B1216" s="302">
        <v>2.1281055130183644</v>
      </c>
      <c r="C1216" s="302">
        <v>0.29220544171541107</v>
      </c>
      <c r="D1216" s="302">
        <v>0.33747162667705705</v>
      </c>
      <c r="E1216" s="302">
        <f>SUM(B1216:D1216)</f>
        <v>2.7577825814108325</v>
      </c>
      <c r="F1216" s="303"/>
      <c r="G1216" s="302">
        <v>1.6344628360454716</v>
      </c>
      <c r="H1216" s="302">
        <v>0.34302986967978177</v>
      </c>
      <c r="I1216" s="302">
        <v>0.36427766117690474</v>
      </c>
      <c r="J1216" s="302">
        <f>SUM(G1216:I1216)</f>
        <v>2.3417703669021579</v>
      </c>
      <c r="K1216" s="303"/>
      <c r="L1216" s="302">
        <v>2.1612308509744835</v>
      </c>
      <c r="M1216" s="302">
        <v>0.65332589487139037</v>
      </c>
      <c r="N1216" s="302">
        <v>0.56695729440250375</v>
      </c>
      <c r="O1216" s="302">
        <f>SUM(L1216:N1216)</f>
        <v>3.3815140402483777</v>
      </c>
    </row>
    <row r="1217" spans="1:15" s="236" customFormat="1" x14ac:dyDescent="0.2">
      <c r="A1217" s="237" t="str">
        <f>name!E$5</f>
        <v>Professional occupations</v>
      </c>
      <c r="B1217" s="302">
        <v>3.1280353612467304</v>
      </c>
      <c r="C1217" s="302">
        <v>1.1140565601721109</v>
      </c>
      <c r="D1217" s="302">
        <v>0.81605273062945527</v>
      </c>
      <c r="E1217" s="302">
        <f t="shared" ref="E1217:E1224" si="518">SUM(B1217:D1217)</f>
        <v>5.0581446520482967</v>
      </c>
      <c r="F1217" s="303"/>
      <c r="G1217" s="302">
        <v>2.8230965736731606</v>
      </c>
      <c r="H1217" s="302">
        <v>1.412865206518461</v>
      </c>
      <c r="I1217" s="302">
        <v>0.74915054577212492</v>
      </c>
      <c r="J1217" s="302">
        <f t="shared" ref="J1217:J1219" si="519">SUM(G1217:I1217)</f>
        <v>4.9851123259637458</v>
      </c>
      <c r="K1217" s="303"/>
      <c r="L1217" s="302">
        <v>3.9903087999250118</v>
      </c>
      <c r="M1217" s="302">
        <v>2.6263428054062663</v>
      </c>
      <c r="N1217" s="302">
        <v>0.9722034784975776</v>
      </c>
      <c r="O1217" s="302">
        <f t="shared" ref="O1217:O1224" si="520">SUM(L1217:N1217)</f>
        <v>7.5888550838288555</v>
      </c>
    </row>
    <row r="1218" spans="1:15" s="236" customFormat="1" x14ac:dyDescent="0.2">
      <c r="A1218" s="237" t="str">
        <f>name!E$6</f>
        <v>Associate professional occupations</v>
      </c>
      <c r="B1218" s="302">
        <v>4.8107583662251221</v>
      </c>
      <c r="C1218" s="302">
        <v>2.1816447085224793</v>
      </c>
      <c r="D1218" s="302">
        <v>2.5609441575141103</v>
      </c>
      <c r="E1218" s="302">
        <f t="shared" si="518"/>
        <v>9.5533472322617108</v>
      </c>
      <c r="F1218" s="303"/>
      <c r="G1218" s="302">
        <v>3.9203685621249571</v>
      </c>
      <c r="H1218" s="302">
        <v>2.0796538808452474</v>
      </c>
      <c r="I1218" s="302">
        <v>2.4780144594357689</v>
      </c>
      <c r="J1218" s="302">
        <f t="shared" si="519"/>
        <v>8.4780369024059734</v>
      </c>
      <c r="K1218" s="303"/>
      <c r="L1218" s="302">
        <v>5.3142839597742544</v>
      </c>
      <c r="M1218" s="302">
        <v>2.721249219348167</v>
      </c>
      <c r="N1218" s="302">
        <v>3.5931227089952453</v>
      </c>
      <c r="O1218" s="302">
        <f t="shared" si="520"/>
        <v>11.628655888117667</v>
      </c>
    </row>
    <row r="1219" spans="1:15" s="236" customFormat="1" x14ac:dyDescent="0.2">
      <c r="A1219" s="237" t="str">
        <f>name!E$7</f>
        <v>Administrative and secretarial occupations</v>
      </c>
      <c r="B1219" s="302">
        <v>0.71772432476919401</v>
      </c>
      <c r="C1219" s="302">
        <v>0.96012569582612795</v>
      </c>
      <c r="D1219" s="302">
        <v>4.7397198099148372E-2</v>
      </c>
      <c r="E1219" s="302">
        <f t="shared" si="518"/>
        <v>1.7252472186944703</v>
      </c>
      <c r="F1219" s="303"/>
      <c r="G1219" s="302">
        <v>0.4748539998453461</v>
      </c>
      <c r="H1219" s="302">
        <v>0.83747160744074389</v>
      </c>
      <c r="I1219" s="302">
        <v>4.2507355130029401E-2</v>
      </c>
      <c r="J1219" s="302">
        <f t="shared" si="519"/>
        <v>1.3548329624161195</v>
      </c>
      <c r="K1219" s="303"/>
      <c r="L1219" s="302">
        <v>0.48205568821463357</v>
      </c>
      <c r="M1219" s="302">
        <v>0.9067011849872092</v>
      </c>
      <c r="N1219" s="302">
        <v>3.6227724244306897E-2</v>
      </c>
      <c r="O1219" s="302">
        <f t="shared" si="520"/>
        <v>1.4249845974461497</v>
      </c>
    </row>
    <row r="1220" spans="1:15" s="236" customFormat="1" x14ac:dyDescent="0.2">
      <c r="A1220" s="237" t="str">
        <f>name!E$8</f>
        <v>Skilled trades occupations</v>
      </c>
      <c r="B1220" s="302">
        <v>1.2932678423578658</v>
      </c>
      <c r="C1220" s="302">
        <v>0.36333327706063978</v>
      </c>
      <c r="D1220" s="302">
        <v>0.2628632440391856</v>
      </c>
      <c r="E1220" s="302">
        <f t="shared" si="518"/>
        <v>1.9194643634576911</v>
      </c>
      <c r="F1220" s="303"/>
      <c r="G1220" s="302">
        <v>0.80635665475897877</v>
      </c>
      <c r="H1220" s="302">
        <v>0.24010276901689051</v>
      </c>
      <c r="I1220" s="302">
        <v>0.24915280077027588</v>
      </c>
      <c r="J1220" s="302">
        <f>SUM(G1220:I1220)</f>
        <v>1.2956122245461452</v>
      </c>
      <c r="K1220" s="303"/>
      <c r="L1220" s="302">
        <v>0.74962612607345769</v>
      </c>
      <c r="M1220" s="302">
        <v>0.44894214067876487</v>
      </c>
      <c r="N1220" s="302">
        <v>0.40752723650175909</v>
      </c>
      <c r="O1220" s="302">
        <f t="shared" si="520"/>
        <v>1.6060955032539816</v>
      </c>
    </row>
    <row r="1221" spans="1:15" s="236" customFormat="1" x14ac:dyDescent="0.2">
      <c r="A1221" s="237" t="str">
        <f>name!E$9</f>
        <v>Caring, leisure and other service occupations</v>
      </c>
      <c r="B1221" s="302">
        <v>0.53012853362818313</v>
      </c>
      <c r="C1221" s="302">
        <v>0.88673541050386628</v>
      </c>
      <c r="D1221" s="302">
        <v>5.6237898313615149E-2</v>
      </c>
      <c r="E1221" s="302">
        <f t="shared" si="518"/>
        <v>1.4731018424456646</v>
      </c>
      <c r="F1221" s="303"/>
      <c r="G1221" s="302">
        <v>0.35322071483093781</v>
      </c>
      <c r="H1221" s="302">
        <v>0.67685501507516144</v>
      </c>
      <c r="I1221" s="302">
        <v>5.9906560439393429E-2</v>
      </c>
      <c r="J1221" s="302">
        <f t="shared" ref="J1221:J1224" si="521">SUM(G1221:I1221)</f>
        <v>1.0899822903454925</v>
      </c>
      <c r="K1221" s="303"/>
      <c r="L1221" s="302">
        <v>0.47731383828383667</v>
      </c>
      <c r="M1221" s="302">
        <v>1.0358760505186304</v>
      </c>
      <c r="N1221" s="302">
        <v>9.1505286984561118E-2</v>
      </c>
      <c r="O1221" s="302">
        <f t="shared" si="520"/>
        <v>1.6046951757870282</v>
      </c>
    </row>
    <row r="1222" spans="1:15" s="236" customFormat="1" x14ac:dyDescent="0.2">
      <c r="A1222" s="237" t="str">
        <f>name!E$10</f>
        <v>Sales and customer service occupations</v>
      </c>
      <c r="B1222" s="302">
        <v>0.43613630169642464</v>
      </c>
      <c r="C1222" s="302">
        <v>0.51297991936410392</v>
      </c>
      <c r="D1222" s="302">
        <v>7.651041810460113E-2</v>
      </c>
      <c r="E1222" s="302">
        <f t="shared" si="518"/>
        <v>1.0256266391651296</v>
      </c>
      <c r="F1222" s="303"/>
      <c r="G1222" s="302">
        <v>0.29049126871125791</v>
      </c>
      <c r="H1222" s="302">
        <v>0.41927675949501803</v>
      </c>
      <c r="I1222" s="302">
        <v>5.4016733156861965E-2</v>
      </c>
      <c r="J1222" s="302">
        <f t="shared" si="521"/>
        <v>0.76378476136313789</v>
      </c>
      <c r="K1222" s="303"/>
      <c r="L1222" s="302">
        <v>0.35377336401015069</v>
      </c>
      <c r="M1222" s="302">
        <v>0.62565144032608033</v>
      </c>
      <c r="N1222" s="302">
        <v>6.5749141218121712E-2</v>
      </c>
      <c r="O1222" s="302">
        <f t="shared" si="520"/>
        <v>1.0451739455543527</v>
      </c>
    </row>
    <row r="1223" spans="1:15" s="236" customFormat="1" x14ac:dyDescent="0.2">
      <c r="A1223" s="237" t="str">
        <f>name!E$11</f>
        <v>Process, plant and machine operatives</v>
      </c>
      <c r="B1223" s="302">
        <v>6.2156417189462312E-2</v>
      </c>
      <c r="C1223" s="302">
        <v>7.4670445238017011E-2</v>
      </c>
      <c r="D1223" s="302">
        <v>8.2310974615892613E-3</v>
      </c>
      <c r="E1223" s="302">
        <f t="shared" si="518"/>
        <v>0.14505795988906858</v>
      </c>
      <c r="F1223" s="303"/>
      <c r="G1223" s="302">
        <v>3.5309941251423359E-2</v>
      </c>
      <c r="H1223" s="302">
        <v>6.3363025965375228E-2</v>
      </c>
      <c r="I1223" s="302">
        <v>8.1785082796424265E-3</v>
      </c>
      <c r="J1223" s="302">
        <f t="shared" si="521"/>
        <v>0.106851475496441</v>
      </c>
      <c r="K1223" s="303"/>
      <c r="L1223" s="302">
        <v>3.4571355020117892E-2</v>
      </c>
      <c r="M1223" s="302">
        <v>7.0849316020672778E-2</v>
      </c>
      <c r="N1223" s="302">
        <v>1.5418221048791751E-2</v>
      </c>
      <c r="O1223" s="302">
        <f t="shared" si="520"/>
        <v>0.12083889208958243</v>
      </c>
    </row>
    <row r="1224" spans="1:15" s="236" customFormat="1" x14ac:dyDescent="0.2">
      <c r="A1224" s="237" t="str">
        <f>name!E$12</f>
        <v>Elementary occupations</v>
      </c>
      <c r="B1224" s="302">
        <v>0.27968733976769294</v>
      </c>
      <c r="C1224" s="302">
        <v>1.4412485416550072</v>
      </c>
      <c r="D1224" s="302">
        <v>1.2291629233895991E-2</v>
      </c>
      <c r="E1224" s="302">
        <f t="shared" si="518"/>
        <v>1.733227510656596</v>
      </c>
      <c r="F1224" s="303"/>
      <c r="G1224" s="302">
        <v>0.16383944880091972</v>
      </c>
      <c r="H1224" s="302">
        <v>0.93238186591928274</v>
      </c>
      <c r="I1224" s="302">
        <v>7.795375917002881E-3</v>
      </c>
      <c r="J1224" s="302">
        <f t="shared" si="521"/>
        <v>1.1040166906372053</v>
      </c>
      <c r="K1224" s="303"/>
      <c r="L1224" s="302">
        <v>0.15283601780898201</v>
      </c>
      <c r="M1224" s="302">
        <v>0.67506194778405437</v>
      </c>
      <c r="N1224" s="302">
        <v>9.2889083679104003E-3</v>
      </c>
      <c r="O1224" s="302">
        <f t="shared" si="520"/>
        <v>0.83718687396094682</v>
      </c>
    </row>
    <row r="1225" spans="1:15" s="236" customFormat="1" x14ac:dyDescent="0.2">
      <c r="A1225" s="237"/>
      <c r="B1225" s="302"/>
      <c r="C1225" s="302"/>
      <c r="D1225" s="302"/>
      <c r="E1225" s="302"/>
      <c r="F1225" s="303"/>
      <c r="G1225" s="302"/>
      <c r="H1225" s="302"/>
      <c r="I1225" s="302"/>
      <c r="J1225" s="302"/>
      <c r="K1225" s="303"/>
      <c r="L1225" s="302"/>
      <c r="M1225" s="302"/>
      <c r="N1225" s="302"/>
      <c r="O1225" s="302"/>
    </row>
    <row r="1226" spans="1:15" s="236" customFormat="1" x14ac:dyDescent="0.2">
      <c r="A1226" s="244" t="s">
        <v>32</v>
      </c>
      <c r="B1226" s="311">
        <f>SUM(B1216:B1224)</f>
        <v>13.385999999899036</v>
      </c>
      <c r="C1226" s="311">
        <f t="shared" ref="C1226:E1226" si="522">SUM(C1216:C1224)</f>
        <v>7.8270000000577635</v>
      </c>
      <c r="D1226" s="311">
        <f t="shared" si="522"/>
        <v>4.1780000000726583</v>
      </c>
      <c r="E1226" s="311">
        <f t="shared" si="522"/>
        <v>25.391000000029464</v>
      </c>
      <c r="F1226" s="311"/>
      <c r="G1226" s="311">
        <f t="shared" ref="G1226:J1226" si="523">SUM(G1216:G1224)</f>
        <v>10.502000000042452</v>
      </c>
      <c r="H1226" s="311">
        <f t="shared" si="523"/>
        <v>7.0049999999559613</v>
      </c>
      <c r="I1226" s="311">
        <f t="shared" si="523"/>
        <v>4.0130000000780051</v>
      </c>
      <c r="J1226" s="311">
        <f t="shared" si="523"/>
        <v>21.520000000076415</v>
      </c>
      <c r="K1226" s="311"/>
      <c r="L1226" s="311">
        <f t="shared" ref="L1226:O1226" si="524">SUM(L1216:L1224)</f>
        <v>13.716000000084927</v>
      </c>
      <c r="M1226" s="311">
        <f t="shared" si="524"/>
        <v>9.7639999999412392</v>
      </c>
      <c r="N1226" s="311">
        <f t="shared" si="524"/>
        <v>5.7580000002607781</v>
      </c>
      <c r="O1226" s="311">
        <f t="shared" si="524"/>
        <v>29.238000000286942</v>
      </c>
    </row>
    <row r="1227" spans="1:15" s="236" customFormat="1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37"/>
      <c r="M1227" s="237"/>
      <c r="N1227" s="240"/>
    </row>
    <row r="1228" spans="1:15" s="236" customFormat="1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37"/>
      <c r="M1228" s="237"/>
      <c r="N1228" s="240"/>
      <c r="O1228" s="251" t="s">
        <v>35</v>
      </c>
    </row>
    <row r="1229" spans="1:15" s="236" customFormat="1" x14ac:dyDescent="0.2">
      <c r="A1229" s="242"/>
      <c r="B1229" s="242"/>
      <c r="C1229" s="242"/>
      <c r="D1229" s="242"/>
      <c r="E1229" s="242"/>
      <c r="F1229" s="242"/>
      <c r="G1229" s="242"/>
      <c r="H1229" s="242"/>
      <c r="I1229" s="242"/>
      <c r="J1229" s="242"/>
      <c r="K1229" s="242"/>
      <c r="L1229" s="242"/>
      <c r="M1229" s="242"/>
      <c r="N1229" s="242"/>
      <c r="O1229" s="242"/>
    </row>
    <row r="1230" spans="1:15" s="236" customFormat="1" x14ac:dyDescent="0.2">
      <c r="A1230" s="241" t="str">
        <f>name!A75</f>
        <v>Sport and recreation</v>
      </c>
      <c r="B1230" s="374">
        <f>$B$6</f>
        <v>2015</v>
      </c>
      <c r="C1230" s="374"/>
      <c r="D1230" s="374"/>
      <c r="E1230" s="374"/>
      <c r="F1230" s="263"/>
      <c r="G1230" s="374">
        <f>$G$6</f>
        <v>2020</v>
      </c>
      <c r="H1230" s="374"/>
      <c r="I1230" s="374"/>
      <c r="J1230" s="374"/>
      <c r="K1230" s="263"/>
      <c r="L1230" s="374">
        <f>$L$6</f>
        <v>2035</v>
      </c>
      <c r="M1230" s="374"/>
      <c r="N1230" s="374"/>
      <c r="O1230" s="374"/>
    </row>
    <row r="1231" spans="1:15" s="236" customFormat="1" x14ac:dyDescent="0.2">
      <c r="A1231" s="254"/>
      <c r="B1231" s="268" t="str">
        <f>$B$7</f>
        <v>FT</v>
      </c>
      <c r="C1231" s="268" t="str">
        <f>$C$7</f>
        <v>PT</v>
      </c>
      <c r="D1231" s="268" t="str">
        <f>$D$7</f>
        <v>SE</v>
      </c>
      <c r="E1231" s="268" t="str">
        <f>$E$7</f>
        <v>Total</v>
      </c>
      <c r="F1231" s="268"/>
      <c r="G1231" s="268" t="str">
        <f>$G$7</f>
        <v>FT</v>
      </c>
      <c r="H1231" s="268" t="str">
        <f>$H$7</f>
        <v>PT</v>
      </c>
      <c r="I1231" s="268" t="str">
        <f>$I$7</f>
        <v>SE</v>
      </c>
      <c r="J1231" s="268" t="str">
        <f>$J$7</f>
        <v>Total</v>
      </c>
      <c r="K1231" s="268"/>
      <c r="L1231" s="268" t="str">
        <f>$L$7</f>
        <v>FT</v>
      </c>
      <c r="M1231" s="268" t="str">
        <f>$M$7</f>
        <v>PT</v>
      </c>
      <c r="N1231" s="268" t="str">
        <f>$N$7</f>
        <v>SE</v>
      </c>
      <c r="O1231" s="268" t="str">
        <f>$O$7</f>
        <v>Total</v>
      </c>
    </row>
    <row r="1232" spans="1:15" s="236" customFormat="1" x14ac:dyDescent="0.2">
      <c r="A1232" s="258"/>
      <c r="B1232" s="239"/>
      <c r="C1232" s="239"/>
      <c r="D1232" s="239"/>
      <c r="E1232" s="239"/>
      <c r="F1232" s="239"/>
      <c r="G1232" s="239"/>
      <c r="H1232" s="239"/>
      <c r="I1232" s="239"/>
      <c r="J1232" s="239"/>
      <c r="K1232" s="239"/>
      <c r="L1232" s="239"/>
      <c r="M1232" s="239"/>
      <c r="N1232" s="239"/>
      <c r="O1232" s="239"/>
    </row>
    <row r="1233" spans="1:15" s="236" customFormat="1" x14ac:dyDescent="0.2">
      <c r="A1233" s="237" t="str">
        <f>name!E$4</f>
        <v>Managers, directors and senior officials</v>
      </c>
      <c r="B1233" s="302">
        <v>3.4748647190543935</v>
      </c>
      <c r="C1233" s="302">
        <v>1.2378427520110586</v>
      </c>
      <c r="D1233" s="302">
        <v>1.0062498628895507</v>
      </c>
      <c r="E1233" s="302">
        <f>SUM(B1233:D1233)</f>
        <v>5.7189573339550028</v>
      </c>
      <c r="F1233" s="303"/>
      <c r="G1233" s="302">
        <v>3.3063507290075531</v>
      </c>
      <c r="H1233" s="302">
        <v>1.3223908723506157</v>
      </c>
      <c r="I1233" s="302">
        <v>1.1748711938793821</v>
      </c>
      <c r="J1233" s="302">
        <f>SUM(G1233:I1233)</f>
        <v>5.8036127952375507</v>
      </c>
      <c r="K1233" s="303"/>
      <c r="L1233" s="302">
        <v>4.3676329507719931</v>
      </c>
      <c r="M1233" s="302">
        <v>2.2564014195195381</v>
      </c>
      <c r="N1233" s="302">
        <v>1.9093840247106484</v>
      </c>
      <c r="O1233" s="302">
        <f>SUM(L1233:N1233)</f>
        <v>8.5334183950021796</v>
      </c>
    </row>
    <row r="1234" spans="1:15" s="236" customFormat="1" x14ac:dyDescent="0.2">
      <c r="A1234" s="237" t="str">
        <f>name!E$5</f>
        <v>Professional occupations</v>
      </c>
      <c r="B1234" s="302">
        <v>6.3760164633410907</v>
      </c>
      <c r="C1234" s="302">
        <v>5.1735292641509991</v>
      </c>
      <c r="D1234" s="302">
        <v>2.1577574424858232</v>
      </c>
      <c r="E1234" s="302">
        <f t="shared" ref="E1234:E1241" si="525">SUM(B1234:D1234)</f>
        <v>13.707303169977912</v>
      </c>
      <c r="F1234" s="303"/>
      <c r="G1234" s="302">
        <v>7.2328604403118648</v>
      </c>
      <c r="H1234" s="302">
        <v>5.4102341874960009</v>
      </c>
      <c r="I1234" s="302">
        <v>2.1233234288595817</v>
      </c>
      <c r="J1234" s="302">
        <f t="shared" ref="J1234:J1236" si="526">SUM(G1234:I1234)</f>
        <v>14.766418056667447</v>
      </c>
      <c r="K1234" s="303"/>
      <c r="L1234" s="302">
        <v>10.108186867806983</v>
      </c>
      <c r="M1234" s="302">
        <v>9.0873448049082981</v>
      </c>
      <c r="N1234" s="302">
        <v>2.7029952291482715</v>
      </c>
      <c r="O1234" s="302">
        <f t="shared" ref="O1234:O1241" si="527">SUM(L1234:N1234)</f>
        <v>21.898526901863555</v>
      </c>
    </row>
    <row r="1235" spans="1:15" s="236" customFormat="1" x14ac:dyDescent="0.2">
      <c r="A1235" s="237" t="str">
        <f>name!E$6</f>
        <v>Associate professional occupations</v>
      </c>
      <c r="B1235" s="302">
        <v>7.9179827031253396</v>
      </c>
      <c r="C1235" s="302">
        <v>9.4896394819502046</v>
      </c>
      <c r="D1235" s="302">
        <v>6.7703000920129623</v>
      </c>
      <c r="E1235" s="302">
        <f t="shared" si="525"/>
        <v>24.177922277088509</v>
      </c>
      <c r="F1235" s="303"/>
      <c r="G1235" s="302">
        <v>8.136397227005336</v>
      </c>
      <c r="H1235" s="302">
        <v>7.7790712575499041</v>
      </c>
      <c r="I1235" s="302">
        <v>6.9857875214758574</v>
      </c>
      <c r="J1235" s="302">
        <f t="shared" si="526"/>
        <v>22.901256006031097</v>
      </c>
      <c r="K1235" s="303"/>
      <c r="L1235" s="302">
        <v>10.491184702217486</v>
      </c>
      <c r="M1235" s="302">
        <v>10.63493136942057</v>
      </c>
      <c r="N1235" s="302">
        <v>9.9348374669972106</v>
      </c>
      <c r="O1235" s="302">
        <f t="shared" si="527"/>
        <v>31.060953538635268</v>
      </c>
    </row>
    <row r="1236" spans="1:15" s="236" customFormat="1" x14ac:dyDescent="0.2">
      <c r="A1236" s="237" t="str">
        <f>name!E$7</f>
        <v>Administrative and secretarial occupations</v>
      </c>
      <c r="B1236" s="302">
        <v>2.2311431976459635</v>
      </c>
      <c r="C1236" s="302">
        <v>4.6289065657487525</v>
      </c>
      <c r="D1236" s="302">
        <v>0.13061713573942998</v>
      </c>
      <c r="E1236" s="302">
        <f t="shared" si="525"/>
        <v>6.9906668991341467</v>
      </c>
      <c r="F1236" s="303"/>
      <c r="G1236" s="302">
        <v>1.7685178684721576</v>
      </c>
      <c r="H1236" s="302">
        <v>3.4089158472675791</v>
      </c>
      <c r="I1236" s="302">
        <v>0.12461559101446078</v>
      </c>
      <c r="J1236" s="302">
        <f t="shared" si="526"/>
        <v>5.3020493067541974</v>
      </c>
      <c r="K1236" s="303"/>
      <c r="L1236" s="302">
        <v>1.724689143303521</v>
      </c>
      <c r="M1236" s="302">
        <v>3.7029864184261667</v>
      </c>
      <c r="N1236" s="302">
        <v>0.10092737021340739</v>
      </c>
      <c r="O1236" s="302">
        <f t="shared" si="527"/>
        <v>5.5286029319430945</v>
      </c>
    </row>
    <row r="1237" spans="1:15" s="236" customFormat="1" x14ac:dyDescent="0.2">
      <c r="A1237" s="237" t="str">
        <f>name!E$8</f>
        <v>Skilled trades occupations</v>
      </c>
      <c r="B1237" s="302">
        <v>1.6876763016562817</v>
      </c>
      <c r="C1237" s="302">
        <v>1.0213280722272609</v>
      </c>
      <c r="D1237" s="302">
        <v>0.71672089559786789</v>
      </c>
      <c r="E1237" s="302">
        <f t="shared" si="525"/>
        <v>3.4257252694814104</v>
      </c>
      <c r="F1237" s="303"/>
      <c r="G1237" s="302">
        <v>1.3225154980336968</v>
      </c>
      <c r="H1237" s="302">
        <v>0.62105117322806058</v>
      </c>
      <c r="I1237" s="302">
        <v>0.72072989750138439</v>
      </c>
      <c r="J1237" s="302">
        <f>SUM(G1237:I1237)</f>
        <v>2.6642965687631417</v>
      </c>
      <c r="K1237" s="303"/>
      <c r="L1237" s="302">
        <v>1.2973860129072663</v>
      </c>
      <c r="M1237" s="302">
        <v>1.1943730602567693</v>
      </c>
      <c r="N1237" s="302">
        <v>1.1335234259490696</v>
      </c>
      <c r="O1237" s="302">
        <f t="shared" si="527"/>
        <v>3.6252824991131054</v>
      </c>
    </row>
    <row r="1238" spans="1:15" s="236" customFormat="1" x14ac:dyDescent="0.2">
      <c r="A1238" s="237" t="str">
        <f>name!E$9</f>
        <v>Caring, leisure and other service occupations</v>
      </c>
      <c r="B1238" s="302">
        <v>1.1763113130660734</v>
      </c>
      <c r="C1238" s="302">
        <v>4.0029120795876647</v>
      </c>
      <c r="D1238" s="302">
        <v>0.46965594042271602</v>
      </c>
      <c r="E1238" s="302">
        <f t="shared" si="525"/>
        <v>5.6488793330764544</v>
      </c>
      <c r="F1238" s="303"/>
      <c r="G1238" s="302">
        <v>0.93074421637684512</v>
      </c>
      <c r="H1238" s="302">
        <v>2.7428224729242001</v>
      </c>
      <c r="I1238" s="302">
        <v>0.56437604873430103</v>
      </c>
      <c r="J1238" s="302">
        <f t="shared" ref="J1238:J1241" si="528">SUM(G1238:I1238)</f>
        <v>4.237942738035346</v>
      </c>
      <c r="K1238" s="303"/>
      <c r="L1238" s="302">
        <v>1.1431968326940587</v>
      </c>
      <c r="M1238" s="302">
        <v>3.9938334101980963</v>
      </c>
      <c r="N1238" s="302">
        <v>0.86333323935803696</v>
      </c>
      <c r="O1238" s="302">
        <f t="shared" si="527"/>
        <v>6.0003634822501928</v>
      </c>
    </row>
    <row r="1239" spans="1:15" s="236" customFormat="1" x14ac:dyDescent="0.2">
      <c r="A1239" s="237" t="str">
        <f>name!E$10</f>
        <v>Sales and customer service occupations</v>
      </c>
      <c r="B1239" s="302">
        <v>0.93811044543797473</v>
      </c>
      <c r="C1239" s="302">
        <v>1.7231808391262844</v>
      </c>
      <c r="D1239" s="302">
        <v>0.23608348095949486</v>
      </c>
      <c r="E1239" s="302">
        <f t="shared" si="525"/>
        <v>2.8973747655237538</v>
      </c>
      <c r="F1239" s="303"/>
      <c r="G1239" s="302">
        <v>0.75950277080059803</v>
      </c>
      <c r="H1239" s="302">
        <v>1.2619646846162003</v>
      </c>
      <c r="I1239" s="302">
        <v>0.18046198931267307</v>
      </c>
      <c r="J1239" s="302">
        <f t="shared" si="528"/>
        <v>2.2019294447294713</v>
      </c>
      <c r="K1239" s="303"/>
      <c r="L1239" s="302">
        <v>0.85583034804210445</v>
      </c>
      <c r="M1239" s="302">
        <v>1.8284004884663878</v>
      </c>
      <c r="N1239" s="302">
        <v>0.22563739947900358</v>
      </c>
      <c r="O1239" s="302">
        <f t="shared" si="527"/>
        <v>2.9098682359874957</v>
      </c>
    </row>
    <row r="1240" spans="1:15" s="236" customFormat="1" x14ac:dyDescent="0.2">
      <c r="A1240" s="237" t="str">
        <f>name!E$11</f>
        <v>Process, plant and machine operatives</v>
      </c>
      <c r="B1240" s="302">
        <v>0.10049086953987046</v>
      </c>
      <c r="C1240" s="302">
        <v>0.26028602173070226</v>
      </c>
      <c r="D1240" s="302">
        <v>2.2433957588967435E-2</v>
      </c>
      <c r="E1240" s="302">
        <f t="shared" si="525"/>
        <v>0.38321084885954015</v>
      </c>
      <c r="F1240" s="303"/>
      <c r="G1240" s="302">
        <v>7.2150916341623655E-2</v>
      </c>
      <c r="H1240" s="302">
        <v>0.18587733723128844</v>
      </c>
      <c r="I1240" s="302">
        <v>2.3989268492485352E-2</v>
      </c>
      <c r="J1240" s="302">
        <f t="shared" si="528"/>
        <v>0.28201752206539743</v>
      </c>
      <c r="K1240" s="303"/>
      <c r="L1240" s="302">
        <v>7.6864490447247941E-2</v>
      </c>
      <c r="M1240" s="302">
        <v>0.20738621625003525</v>
      </c>
      <c r="N1240" s="302">
        <v>4.4293107519206051E-2</v>
      </c>
      <c r="O1240" s="302">
        <f t="shared" si="527"/>
        <v>0.32854381421648926</v>
      </c>
    </row>
    <row r="1241" spans="1:15" s="236" customFormat="1" x14ac:dyDescent="0.2">
      <c r="A1241" s="237" t="str">
        <f>name!E$12</f>
        <v>Elementary occupations</v>
      </c>
      <c r="B1241" s="302">
        <v>0.41740398692263797</v>
      </c>
      <c r="C1241" s="302">
        <v>5.7973749236251111</v>
      </c>
      <c r="D1241" s="302">
        <v>3.8181192503968869E-2</v>
      </c>
      <c r="E1241" s="302">
        <f t="shared" si="525"/>
        <v>6.2529601030517181</v>
      </c>
      <c r="F1241" s="303"/>
      <c r="G1241" s="302">
        <v>0.30696033374183174</v>
      </c>
      <c r="H1241" s="302">
        <v>3.3366721671751516</v>
      </c>
      <c r="I1241" s="302">
        <v>2.584506092067039E-2</v>
      </c>
      <c r="J1241" s="302">
        <f t="shared" si="528"/>
        <v>3.6694775618376534</v>
      </c>
      <c r="K1241" s="303"/>
      <c r="L1241" s="302">
        <v>0.28402865195904436</v>
      </c>
      <c r="M1241" s="302">
        <v>2.4753428123815824</v>
      </c>
      <c r="N1241" s="302">
        <v>3.5068737319328969E-2</v>
      </c>
      <c r="O1241" s="302">
        <f t="shared" si="527"/>
        <v>2.7944402016599557</v>
      </c>
    </row>
    <row r="1242" spans="1:15" s="236" customFormat="1" x14ac:dyDescent="0.2">
      <c r="A1242" s="237"/>
      <c r="B1242" s="302"/>
      <c r="C1242" s="302"/>
      <c r="D1242" s="302"/>
      <c r="E1242" s="302"/>
      <c r="F1242" s="303"/>
      <c r="G1242" s="302"/>
      <c r="H1242" s="302"/>
      <c r="I1242" s="302"/>
      <c r="J1242" s="302"/>
      <c r="K1242" s="303"/>
      <c r="L1242" s="302"/>
      <c r="M1242" s="302"/>
      <c r="N1242" s="302"/>
      <c r="O1242" s="302"/>
    </row>
    <row r="1243" spans="1:15" s="236" customFormat="1" x14ac:dyDescent="0.2">
      <c r="A1243" s="244" t="s">
        <v>32</v>
      </c>
      <c r="B1243" s="311">
        <f>SUM(B1233:B1241)</f>
        <v>24.319999999789623</v>
      </c>
      <c r="C1243" s="311">
        <f t="shared" ref="C1243:E1243" si="529">SUM(C1233:C1241)</f>
        <v>33.33500000015804</v>
      </c>
      <c r="D1243" s="311">
        <f t="shared" si="529"/>
        <v>11.54800000020078</v>
      </c>
      <c r="E1243" s="311">
        <f t="shared" si="529"/>
        <v>69.203000000148435</v>
      </c>
      <c r="F1243" s="311"/>
      <c r="G1243" s="311">
        <f t="shared" ref="G1243:J1243" si="530">SUM(G1233:G1241)</f>
        <v>23.836000000091506</v>
      </c>
      <c r="H1243" s="311">
        <f t="shared" si="530"/>
        <v>26.068999999839001</v>
      </c>
      <c r="I1243" s="311">
        <f t="shared" si="530"/>
        <v>11.924000000190796</v>
      </c>
      <c r="J1243" s="311">
        <f t="shared" si="530"/>
        <v>61.829000000121297</v>
      </c>
      <c r="K1243" s="311"/>
      <c r="L1243" s="311">
        <f t="shared" ref="L1243:O1243" si="531">SUM(L1233:L1241)</f>
        <v>30.349000000149712</v>
      </c>
      <c r="M1243" s="311">
        <f t="shared" si="531"/>
        <v>35.380999999827445</v>
      </c>
      <c r="N1243" s="311">
        <f t="shared" si="531"/>
        <v>16.950000000694185</v>
      </c>
      <c r="O1243" s="311">
        <f t="shared" si="531"/>
        <v>82.680000000671342</v>
      </c>
    </row>
    <row r="1244" spans="1:15" s="236" customFormat="1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37"/>
      <c r="M1244" s="237"/>
      <c r="N1244" s="240"/>
    </row>
    <row r="1245" spans="1:15" s="236" customFormat="1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37"/>
      <c r="M1245" s="237"/>
      <c r="N1245" s="240"/>
      <c r="O1245" s="251" t="s">
        <v>35</v>
      </c>
    </row>
    <row r="1246" spans="1:15" s="236" customFormat="1" x14ac:dyDescent="0.2">
      <c r="A1246" s="242"/>
      <c r="B1246" s="242"/>
      <c r="C1246" s="242"/>
      <c r="D1246" s="242"/>
      <c r="E1246" s="242"/>
      <c r="F1246" s="242"/>
      <c r="G1246" s="242"/>
      <c r="H1246" s="242"/>
      <c r="I1246" s="242"/>
      <c r="J1246" s="242"/>
      <c r="K1246" s="242"/>
      <c r="L1246" s="242"/>
      <c r="M1246" s="242"/>
      <c r="N1246" s="242"/>
      <c r="O1246" s="242"/>
    </row>
    <row r="1247" spans="1:15" s="236" customFormat="1" x14ac:dyDescent="0.2">
      <c r="A1247" s="241" t="str">
        <f>name!A76</f>
        <v>Membership organisations</v>
      </c>
      <c r="B1247" s="374">
        <f>$B$6</f>
        <v>2015</v>
      </c>
      <c r="C1247" s="374"/>
      <c r="D1247" s="374"/>
      <c r="E1247" s="374"/>
      <c r="F1247" s="263"/>
      <c r="G1247" s="374">
        <f>$G$6</f>
        <v>2020</v>
      </c>
      <c r="H1247" s="374"/>
      <c r="I1247" s="374"/>
      <c r="J1247" s="374"/>
      <c r="K1247" s="263"/>
      <c r="L1247" s="374">
        <f>$L$6</f>
        <v>2035</v>
      </c>
      <c r="M1247" s="374"/>
      <c r="N1247" s="374"/>
      <c r="O1247" s="374"/>
    </row>
    <row r="1248" spans="1:15" s="236" customFormat="1" x14ac:dyDescent="0.2">
      <c r="A1248" s="254"/>
      <c r="B1248" s="268" t="str">
        <f>$B$7</f>
        <v>FT</v>
      </c>
      <c r="C1248" s="268" t="str">
        <f>$C$7</f>
        <v>PT</v>
      </c>
      <c r="D1248" s="268" t="str">
        <f>$D$7</f>
        <v>SE</v>
      </c>
      <c r="E1248" s="268" t="str">
        <f>$E$7</f>
        <v>Total</v>
      </c>
      <c r="F1248" s="268"/>
      <c r="G1248" s="268" t="str">
        <f>$G$7</f>
        <v>FT</v>
      </c>
      <c r="H1248" s="268" t="str">
        <f>$H$7</f>
        <v>PT</v>
      </c>
      <c r="I1248" s="268" t="str">
        <f>$I$7</f>
        <v>SE</v>
      </c>
      <c r="J1248" s="268" t="str">
        <f>$J$7</f>
        <v>Total</v>
      </c>
      <c r="K1248" s="268"/>
      <c r="L1248" s="268" t="str">
        <f>$L$7</f>
        <v>FT</v>
      </c>
      <c r="M1248" s="268" t="str">
        <f>$M$7</f>
        <v>PT</v>
      </c>
      <c r="N1248" s="268" t="str">
        <f>$N$7</f>
        <v>SE</v>
      </c>
      <c r="O1248" s="268" t="str">
        <f>$O$7</f>
        <v>Total</v>
      </c>
    </row>
    <row r="1249" spans="1:15" s="236" customFormat="1" x14ac:dyDescent="0.2">
      <c r="A1249" s="258"/>
      <c r="B1249" s="239"/>
      <c r="C1249" s="239"/>
      <c r="D1249" s="239"/>
      <c r="E1249" s="239"/>
      <c r="F1249" s="239"/>
      <c r="G1249" s="239"/>
      <c r="H1249" s="239"/>
      <c r="I1249" s="239"/>
      <c r="J1249" s="239"/>
      <c r="K1249" s="239"/>
      <c r="L1249" s="239"/>
      <c r="M1249" s="239"/>
      <c r="N1249" s="239"/>
      <c r="O1249" s="239"/>
    </row>
    <row r="1250" spans="1:15" s="236" customFormat="1" x14ac:dyDescent="0.2">
      <c r="A1250" s="237" t="str">
        <f>name!E$4</f>
        <v>Managers, directors and senior officials</v>
      </c>
      <c r="B1250" s="302">
        <v>5.5071102349712637</v>
      </c>
      <c r="C1250" s="302">
        <v>1.0082594329582328</v>
      </c>
      <c r="D1250" s="302">
        <v>1.7328786197675172</v>
      </c>
      <c r="E1250" s="302">
        <f>SUM(B1250:D1250)</f>
        <v>8.2482482876970131</v>
      </c>
      <c r="F1250" s="303"/>
      <c r="G1250" s="302">
        <v>4.7640124466830231</v>
      </c>
      <c r="H1250" s="302">
        <v>1.1396056789798239</v>
      </c>
      <c r="I1250" s="302">
        <v>1.834139976148663</v>
      </c>
      <c r="J1250" s="302">
        <f>SUM(G1250:I1250)</f>
        <v>7.7377581018115098</v>
      </c>
      <c r="K1250" s="303"/>
      <c r="L1250" s="302">
        <v>5.4998354072290079</v>
      </c>
      <c r="M1250" s="302">
        <v>1.6264886027647294</v>
      </c>
      <c r="N1250" s="302">
        <v>2.5842619110022089</v>
      </c>
      <c r="O1250" s="302">
        <f>SUM(L1250:N1250)</f>
        <v>9.7105859209959462</v>
      </c>
    </row>
    <row r="1251" spans="1:15" s="236" customFormat="1" x14ac:dyDescent="0.2">
      <c r="A1251" s="237" t="str">
        <f>name!E$5</f>
        <v>Professional occupations</v>
      </c>
      <c r="B1251" s="302">
        <v>26.227665263662136</v>
      </c>
      <c r="C1251" s="302">
        <v>7.2737690083700377</v>
      </c>
      <c r="D1251" s="302">
        <v>6.082986705864724</v>
      </c>
      <c r="E1251" s="302">
        <f t="shared" ref="E1251:E1258" si="532">SUM(B1251:D1251)</f>
        <v>39.584420977896897</v>
      </c>
      <c r="F1251" s="303"/>
      <c r="G1251" s="302">
        <v>26.058951966355082</v>
      </c>
      <c r="H1251" s="302">
        <v>7.8024802618880269</v>
      </c>
      <c r="I1251" s="302">
        <v>6.4669235580031437</v>
      </c>
      <c r="J1251" s="302">
        <f t="shared" ref="J1251:J1253" si="533">SUM(G1251:I1251)</f>
        <v>40.328355786246256</v>
      </c>
      <c r="K1251" s="303"/>
      <c r="L1251" s="302">
        <v>33.080497912576611</v>
      </c>
      <c r="M1251" s="302">
        <v>10.695707842520545</v>
      </c>
      <c r="N1251" s="302">
        <v>7.7523098825700743</v>
      </c>
      <c r="O1251" s="302">
        <f t="shared" ref="O1251:O1258" si="534">SUM(L1251:N1251)</f>
        <v>51.528515637667226</v>
      </c>
    </row>
    <row r="1252" spans="1:15" s="236" customFormat="1" x14ac:dyDescent="0.2">
      <c r="A1252" s="237" t="str">
        <f>name!E$6</f>
        <v>Associate professional occupations</v>
      </c>
      <c r="B1252" s="302">
        <v>8.1866567196770905</v>
      </c>
      <c r="C1252" s="302">
        <v>5.1724825276310202</v>
      </c>
      <c r="D1252" s="302">
        <v>2.8743311544027201</v>
      </c>
      <c r="E1252" s="302">
        <f t="shared" si="532"/>
        <v>16.233470401710832</v>
      </c>
      <c r="F1252" s="303"/>
      <c r="G1252" s="302">
        <v>7.7809094736778777</v>
      </c>
      <c r="H1252" s="302">
        <v>4.5283144424527375</v>
      </c>
      <c r="I1252" s="302">
        <v>2.5416910439833065</v>
      </c>
      <c r="J1252" s="302">
        <f t="shared" si="533"/>
        <v>14.850914960113922</v>
      </c>
      <c r="K1252" s="303"/>
      <c r="L1252" s="302">
        <v>8.3974638533227601</v>
      </c>
      <c r="M1252" s="302">
        <v>5.1132154590371997</v>
      </c>
      <c r="N1252" s="302">
        <v>2.8700926888559999</v>
      </c>
      <c r="O1252" s="302">
        <f t="shared" si="534"/>
        <v>16.380772001215959</v>
      </c>
    </row>
    <row r="1253" spans="1:15" s="236" customFormat="1" x14ac:dyDescent="0.2">
      <c r="A1253" s="237" t="str">
        <f>name!E$7</f>
        <v>Administrative and secretarial occupations</v>
      </c>
      <c r="B1253" s="302">
        <v>5.0395952997483073</v>
      </c>
      <c r="C1253" s="302">
        <v>3.0970906162800524</v>
      </c>
      <c r="D1253" s="302">
        <v>1.0363304254271084</v>
      </c>
      <c r="E1253" s="302">
        <f t="shared" si="532"/>
        <v>9.1730163414554671</v>
      </c>
      <c r="F1253" s="303"/>
      <c r="G1253" s="302">
        <v>4.358224651211537</v>
      </c>
      <c r="H1253" s="302">
        <v>2.1155061770528651</v>
      </c>
      <c r="I1253" s="302">
        <v>0.78218526981472858</v>
      </c>
      <c r="J1253" s="302">
        <f t="shared" si="533"/>
        <v>7.2559160980791315</v>
      </c>
      <c r="K1253" s="303"/>
      <c r="L1253" s="302">
        <v>3.6903965146245423</v>
      </c>
      <c r="M1253" s="302">
        <v>1.5958107537411081</v>
      </c>
      <c r="N1253" s="302">
        <v>0.48134363886641668</v>
      </c>
      <c r="O1253" s="302">
        <f t="shared" si="534"/>
        <v>5.7675509072320672</v>
      </c>
    </row>
    <row r="1254" spans="1:15" s="236" customFormat="1" x14ac:dyDescent="0.2">
      <c r="A1254" s="237" t="str">
        <f>name!E$8</f>
        <v>Skilled trades occupations</v>
      </c>
      <c r="B1254" s="302">
        <v>0.6380667596833578</v>
      </c>
      <c r="C1254" s="302">
        <v>0.44754264778434727</v>
      </c>
      <c r="D1254" s="302">
        <v>0.45869129080404986</v>
      </c>
      <c r="E1254" s="302">
        <f t="shared" si="532"/>
        <v>1.5443006982717551</v>
      </c>
      <c r="F1254" s="303"/>
      <c r="G1254" s="302">
        <v>0.36731619367235974</v>
      </c>
      <c r="H1254" s="302">
        <v>0.29485860829903116</v>
      </c>
      <c r="I1254" s="302">
        <v>0.48512327861202764</v>
      </c>
      <c r="J1254" s="302">
        <f>SUM(G1254:I1254)</f>
        <v>1.1472980805834185</v>
      </c>
      <c r="K1254" s="303"/>
      <c r="L1254" s="302">
        <v>0.43099242906428969</v>
      </c>
      <c r="M1254" s="302">
        <v>0.35962006599061647</v>
      </c>
      <c r="N1254" s="302">
        <v>1.0196585319766729</v>
      </c>
      <c r="O1254" s="302">
        <f t="shared" si="534"/>
        <v>1.8102710270315789</v>
      </c>
    </row>
    <row r="1255" spans="1:15" s="236" customFormat="1" x14ac:dyDescent="0.2">
      <c r="A1255" s="237" t="str">
        <f>name!E$9</f>
        <v>Caring, leisure and other service occupations</v>
      </c>
      <c r="B1255" s="302">
        <v>1.7539951356479146</v>
      </c>
      <c r="C1255" s="302">
        <v>1.2483922948339217</v>
      </c>
      <c r="D1255" s="302">
        <v>0.66229275063101323</v>
      </c>
      <c r="E1255" s="302">
        <f t="shared" si="532"/>
        <v>3.6646801811128498</v>
      </c>
      <c r="F1255" s="303"/>
      <c r="G1255" s="302">
        <v>1.5653136008205444</v>
      </c>
      <c r="H1255" s="302">
        <v>0.90321078137703115</v>
      </c>
      <c r="I1255" s="302">
        <v>0.59738266050551869</v>
      </c>
      <c r="J1255" s="302">
        <f t="shared" ref="J1255:J1258" si="535">SUM(G1255:I1255)</f>
        <v>3.0659070427030941</v>
      </c>
      <c r="K1255" s="303"/>
      <c r="L1255" s="302">
        <v>1.7786255757100604</v>
      </c>
      <c r="M1255" s="302">
        <v>1.0409201494134452</v>
      </c>
      <c r="N1255" s="302">
        <v>1.1303342701771526</v>
      </c>
      <c r="O1255" s="302">
        <f t="shared" si="534"/>
        <v>3.9498799953006585</v>
      </c>
    </row>
    <row r="1256" spans="1:15" s="236" customFormat="1" x14ac:dyDescent="0.2">
      <c r="A1256" s="237" t="str">
        <f>name!E$10</f>
        <v>Sales and customer service occupations</v>
      </c>
      <c r="B1256" s="302">
        <v>0.68221999862700022</v>
      </c>
      <c r="C1256" s="302">
        <v>0.4013713086985512</v>
      </c>
      <c r="D1256" s="302">
        <v>0.46084445037184896</v>
      </c>
      <c r="E1256" s="302">
        <f t="shared" si="532"/>
        <v>1.5444357576974004</v>
      </c>
      <c r="F1256" s="303"/>
      <c r="G1256" s="302">
        <v>0.55809581207639991</v>
      </c>
      <c r="H1256" s="302">
        <v>0.31001764390397829</v>
      </c>
      <c r="I1256" s="302">
        <v>0.29524997928378682</v>
      </c>
      <c r="J1256" s="302">
        <f t="shared" si="535"/>
        <v>1.1633634352641651</v>
      </c>
      <c r="K1256" s="303"/>
      <c r="L1256" s="302">
        <v>0.63537365440418447</v>
      </c>
      <c r="M1256" s="302">
        <v>0.39196188986114977</v>
      </c>
      <c r="N1256" s="302">
        <v>0.37457160073407908</v>
      </c>
      <c r="O1256" s="302">
        <f t="shared" si="534"/>
        <v>1.4019071449994134</v>
      </c>
    </row>
    <row r="1257" spans="1:15" s="236" customFormat="1" x14ac:dyDescent="0.2">
      <c r="A1257" s="237" t="str">
        <f>name!E$11</f>
        <v>Process, plant and machine operatives</v>
      </c>
      <c r="B1257" s="302">
        <v>0.15400473298472042</v>
      </c>
      <c r="C1257" s="302">
        <v>0.21946491755684794</v>
      </c>
      <c r="D1257" s="302">
        <v>7.701747907964375E-2</v>
      </c>
      <c r="E1257" s="302">
        <f t="shared" si="532"/>
        <v>0.45048712962121207</v>
      </c>
      <c r="F1257" s="303"/>
      <c r="G1257" s="302">
        <v>9.2676435787723208E-2</v>
      </c>
      <c r="H1257" s="302">
        <v>0.16012142814198574</v>
      </c>
      <c r="I1257" s="302">
        <v>7.493114645540952E-2</v>
      </c>
      <c r="J1257" s="302">
        <f t="shared" si="535"/>
        <v>0.32772901038511848</v>
      </c>
      <c r="K1257" s="303"/>
      <c r="L1257" s="302">
        <v>8.6813120541797059E-2</v>
      </c>
      <c r="M1257" s="302">
        <v>0.25228735614034892</v>
      </c>
      <c r="N1257" s="302">
        <v>8.3853862535415977E-2</v>
      </c>
      <c r="O1257" s="302">
        <f t="shared" si="534"/>
        <v>0.42295433921756198</v>
      </c>
    </row>
    <row r="1258" spans="1:15" s="236" customFormat="1" x14ac:dyDescent="0.2">
      <c r="A1258" s="237" t="str">
        <f>name!E$12</f>
        <v>Elementary occupations</v>
      </c>
      <c r="B1258" s="302">
        <v>0.26868585387582461</v>
      </c>
      <c r="C1258" s="302">
        <v>3.0436272457169715</v>
      </c>
      <c r="D1258" s="302">
        <v>0.28362712367272414</v>
      </c>
      <c r="E1258" s="302">
        <f t="shared" si="532"/>
        <v>3.5959402232655204</v>
      </c>
      <c r="F1258" s="303"/>
      <c r="G1258" s="302">
        <v>0.17149942011617461</v>
      </c>
      <c r="H1258" s="302">
        <v>1.6658849778434048</v>
      </c>
      <c r="I1258" s="302">
        <v>0.14837308745455077</v>
      </c>
      <c r="J1258" s="302">
        <f t="shared" si="535"/>
        <v>1.9857574854141302</v>
      </c>
      <c r="K1258" s="303"/>
      <c r="L1258" s="302">
        <v>0.14900153295991939</v>
      </c>
      <c r="M1258" s="302">
        <v>0.97698788044633678</v>
      </c>
      <c r="N1258" s="302">
        <v>0.10457361381890079</v>
      </c>
      <c r="O1258" s="302">
        <f t="shared" si="534"/>
        <v>1.2305630272251571</v>
      </c>
    </row>
    <row r="1259" spans="1:15" s="236" customFormat="1" x14ac:dyDescent="0.2">
      <c r="A1259" s="237"/>
      <c r="B1259" s="302"/>
      <c r="C1259" s="302"/>
      <c r="D1259" s="302"/>
      <c r="E1259" s="302"/>
      <c r="F1259" s="303"/>
      <c r="G1259" s="302"/>
      <c r="H1259" s="302"/>
      <c r="I1259" s="302"/>
      <c r="J1259" s="302"/>
      <c r="K1259" s="303"/>
      <c r="L1259" s="302"/>
      <c r="M1259" s="302"/>
      <c r="N1259" s="302"/>
      <c r="O1259" s="302"/>
    </row>
    <row r="1260" spans="1:15" s="236" customFormat="1" x14ac:dyDescent="0.2">
      <c r="A1260" s="244" t="s">
        <v>32</v>
      </c>
      <c r="B1260" s="311">
        <f>SUM(B1250:B1258)</f>
        <v>48.457999998877604</v>
      </c>
      <c r="C1260" s="311">
        <f t="shared" ref="C1260:E1260" si="536">SUM(C1250:C1258)</f>
        <v>21.911999999829984</v>
      </c>
      <c r="D1260" s="311">
        <f t="shared" si="536"/>
        <v>13.669000000021347</v>
      </c>
      <c r="E1260" s="311">
        <f t="shared" si="536"/>
        <v>84.038999998728926</v>
      </c>
      <c r="F1260" s="311"/>
      <c r="G1260" s="311">
        <f t="shared" ref="G1260:J1260" si="537">SUM(G1250:G1258)</f>
        <v>45.717000000400724</v>
      </c>
      <c r="H1260" s="311">
        <f t="shared" si="537"/>
        <v>18.919999999938884</v>
      </c>
      <c r="I1260" s="311">
        <f t="shared" si="537"/>
        <v>13.226000000261134</v>
      </c>
      <c r="J1260" s="311">
        <f t="shared" si="537"/>
        <v>77.863000000600721</v>
      </c>
      <c r="K1260" s="311"/>
      <c r="L1260" s="311">
        <f t="shared" ref="L1260:O1260" si="538">SUM(L1250:L1258)</f>
        <v>53.749000000433178</v>
      </c>
      <c r="M1260" s="311">
        <f t="shared" si="538"/>
        <v>22.052999999915478</v>
      </c>
      <c r="N1260" s="311">
        <f t="shared" si="538"/>
        <v>16.401000000536921</v>
      </c>
      <c r="O1260" s="311">
        <f t="shared" si="538"/>
        <v>92.203000000885567</v>
      </c>
    </row>
    <row r="1261" spans="1:15" s="236" customFormat="1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37"/>
      <c r="M1261" s="237"/>
      <c r="N1261" s="240"/>
    </row>
    <row r="1262" spans="1:15" s="236" customFormat="1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37"/>
      <c r="M1262" s="237"/>
      <c r="N1262" s="240"/>
      <c r="O1262" s="251" t="s">
        <v>35</v>
      </c>
    </row>
    <row r="1263" spans="1:15" s="236" customFormat="1" x14ac:dyDescent="0.2">
      <c r="A1263" s="242"/>
      <c r="B1263" s="242"/>
      <c r="C1263" s="242"/>
      <c r="D1263" s="242"/>
      <c r="E1263" s="242"/>
      <c r="F1263" s="242"/>
      <c r="G1263" s="242"/>
      <c r="H1263" s="242"/>
      <c r="I1263" s="242"/>
      <c r="J1263" s="242"/>
      <c r="K1263" s="242"/>
      <c r="L1263" s="242"/>
      <c r="M1263" s="242"/>
      <c r="N1263" s="242"/>
      <c r="O1263" s="242"/>
    </row>
    <row r="1264" spans="1:15" s="236" customFormat="1" x14ac:dyDescent="0.2">
      <c r="A1264" s="241" t="str">
        <f>name!A77</f>
        <v>Repair of goods</v>
      </c>
      <c r="B1264" s="374">
        <f>$B$6</f>
        <v>2015</v>
      </c>
      <c r="C1264" s="374"/>
      <c r="D1264" s="374"/>
      <c r="E1264" s="374"/>
      <c r="F1264" s="263"/>
      <c r="G1264" s="374">
        <f>$G$6</f>
        <v>2020</v>
      </c>
      <c r="H1264" s="374"/>
      <c r="I1264" s="374"/>
      <c r="J1264" s="374"/>
      <c r="K1264" s="263"/>
      <c r="L1264" s="374">
        <f>$L$6</f>
        <v>2035</v>
      </c>
      <c r="M1264" s="374"/>
      <c r="N1264" s="374"/>
      <c r="O1264" s="374"/>
    </row>
    <row r="1265" spans="1:15" s="236" customFormat="1" x14ac:dyDescent="0.2">
      <c r="A1265" s="254"/>
      <c r="B1265" s="268" t="str">
        <f>$B$7</f>
        <v>FT</v>
      </c>
      <c r="C1265" s="268" t="str">
        <f>$C$7</f>
        <v>PT</v>
      </c>
      <c r="D1265" s="268" t="str">
        <f>$D$7</f>
        <v>SE</v>
      </c>
      <c r="E1265" s="268" t="str">
        <f>$E$7</f>
        <v>Total</v>
      </c>
      <c r="F1265" s="268"/>
      <c r="G1265" s="268" t="str">
        <f>$G$7</f>
        <v>FT</v>
      </c>
      <c r="H1265" s="268" t="str">
        <f>$H$7</f>
        <v>PT</v>
      </c>
      <c r="I1265" s="268" t="str">
        <f>$I$7</f>
        <v>SE</v>
      </c>
      <c r="J1265" s="268" t="str">
        <f>$J$7</f>
        <v>Total</v>
      </c>
      <c r="K1265" s="268"/>
      <c r="L1265" s="268" t="str">
        <f>$L$7</f>
        <v>FT</v>
      </c>
      <c r="M1265" s="268" t="str">
        <f>$M$7</f>
        <v>PT</v>
      </c>
      <c r="N1265" s="268" t="str">
        <f>$N$7</f>
        <v>SE</v>
      </c>
      <c r="O1265" s="268" t="str">
        <f>$O$7</f>
        <v>Total</v>
      </c>
    </row>
    <row r="1266" spans="1:15" s="236" customFormat="1" x14ac:dyDescent="0.2">
      <c r="A1266" s="258"/>
      <c r="B1266" s="239"/>
      <c r="C1266" s="239"/>
      <c r="D1266" s="239"/>
      <c r="E1266" s="239"/>
      <c r="F1266" s="239"/>
      <c r="G1266" s="239"/>
      <c r="H1266" s="239"/>
      <c r="I1266" s="239"/>
      <c r="J1266" s="239"/>
      <c r="K1266" s="239"/>
      <c r="L1266" s="239"/>
      <c r="M1266" s="239"/>
      <c r="N1266" s="239"/>
      <c r="O1266" s="239"/>
    </row>
    <row r="1267" spans="1:15" s="236" customFormat="1" x14ac:dyDescent="0.2">
      <c r="A1267" s="237" t="str">
        <f>name!E$4</f>
        <v>Managers, directors and senior officials</v>
      </c>
      <c r="B1267" s="302">
        <v>0.73057172769048462</v>
      </c>
      <c r="C1267" s="302">
        <v>2.0772228218166492E-2</v>
      </c>
      <c r="D1267" s="302">
        <v>0.3749649387359516</v>
      </c>
      <c r="E1267" s="302">
        <f>SUM(B1267:D1267)</f>
        <v>1.1263088946446027</v>
      </c>
      <c r="F1267" s="303"/>
      <c r="G1267" s="302">
        <v>0.84906667942025749</v>
      </c>
      <c r="H1267" s="302">
        <v>8.4852493512227983E-2</v>
      </c>
      <c r="I1267" s="302">
        <v>1.5121057431518132</v>
      </c>
      <c r="J1267" s="302">
        <f>SUM(G1267:I1267)</f>
        <v>2.4460249160842986</v>
      </c>
      <c r="K1267" s="303"/>
      <c r="L1267" s="302">
        <v>1.0752409133243259</v>
      </c>
      <c r="M1267" s="302">
        <v>0.11634607179373077</v>
      </c>
      <c r="N1267" s="302">
        <v>2.2449019616250454</v>
      </c>
      <c r="O1267" s="302">
        <f>SUM(L1267:N1267)</f>
        <v>3.4364889467431023</v>
      </c>
    </row>
    <row r="1268" spans="1:15" s="236" customFormat="1" x14ac:dyDescent="0.2">
      <c r="A1268" s="237" t="str">
        <f>name!E$5</f>
        <v>Professional occupations</v>
      </c>
      <c r="B1268" s="302">
        <v>1.0979402278596075</v>
      </c>
      <c r="C1268" s="302">
        <v>3.693093848552112E-2</v>
      </c>
      <c r="D1268" s="302">
        <v>0.15402225660596905</v>
      </c>
      <c r="E1268" s="302">
        <f t="shared" ref="E1268:E1275" si="539">SUM(B1268:D1268)</f>
        <v>1.2888934229510978</v>
      </c>
      <c r="F1268" s="303"/>
      <c r="G1268" s="302">
        <v>1.4068498164027969</v>
      </c>
      <c r="H1268" s="302">
        <v>0.12341049588341327</v>
      </c>
      <c r="I1268" s="302">
        <v>0.65756587462105787</v>
      </c>
      <c r="J1268" s="302">
        <f t="shared" ref="J1268:J1270" si="540">SUM(G1268:I1268)</f>
        <v>2.1878261869072682</v>
      </c>
      <c r="K1268" s="303"/>
      <c r="L1268" s="302">
        <v>1.9574514668492944</v>
      </c>
      <c r="M1268" s="302">
        <v>0.17776726298601933</v>
      </c>
      <c r="N1268" s="302">
        <v>0.65037707627455121</v>
      </c>
      <c r="O1268" s="302">
        <f t="shared" ref="O1268:O1275" si="541">SUM(L1268:N1268)</f>
        <v>2.7855958061098649</v>
      </c>
    </row>
    <row r="1269" spans="1:15" s="236" customFormat="1" x14ac:dyDescent="0.2">
      <c r="A1269" s="237" t="str">
        <f>name!E$6</f>
        <v>Associate professional occupations</v>
      </c>
      <c r="B1269" s="302">
        <v>0.54998198322748582</v>
      </c>
      <c r="C1269" s="302">
        <v>4.3888022392552614E-2</v>
      </c>
      <c r="D1269" s="302">
        <v>0.11666989484796976</v>
      </c>
      <c r="E1269" s="302">
        <f t="shared" si="539"/>
        <v>0.71053990046800819</v>
      </c>
      <c r="F1269" s="303"/>
      <c r="G1269" s="302">
        <v>0.67724133862352931</v>
      </c>
      <c r="H1269" s="302">
        <v>0.13118288903106134</v>
      </c>
      <c r="I1269" s="302">
        <v>0.40667053586151797</v>
      </c>
      <c r="J1269" s="302">
        <f t="shared" si="540"/>
        <v>1.2150947635161087</v>
      </c>
      <c r="K1269" s="303"/>
      <c r="L1269" s="302">
        <v>0.81536514134887739</v>
      </c>
      <c r="M1269" s="302">
        <v>0.16717007093011588</v>
      </c>
      <c r="N1269" s="302">
        <v>0.41000502381385301</v>
      </c>
      <c r="O1269" s="302">
        <f t="shared" si="541"/>
        <v>1.3925402360928463</v>
      </c>
    </row>
    <row r="1270" spans="1:15" s="236" customFormat="1" x14ac:dyDescent="0.2">
      <c r="A1270" s="237" t="str">
        <f>name!E$7</f>
        <v>Administrative and secretarial occupations</v>
      </c>
      <c r="B1270" s="302">
        <v>0.21869986761209242</v>
      </c>
      <c r="C1270" s="302">
        <v>4.4526729045650477E-2</v>
      </c>
      <c r="D1270" s="302">
        <v>2.067259392697101E-2</v>
      </c>
      <c r="E1270" s="302">
        <f t="shared" si="539"/>
        <v>0.28389919058471391</v>
      </c>
      <c r="F1270" s="303"/>
      <c r="G1270" s="302">
        <v>0.26556368250119761</v>
      </c>
      <c r="H1270" s="302">
        <v>0.11797521538901319</v>
      </c>
      <c r="I1270" s="302">
        <v>5.0913152622306911E-2</v>
      </c>
      <c r="J1270" s="302">
        <f t="shared" si="540"/>
        <v>0.43445205051251767</v>
      </c>
      <c r="K1270" s="303"/>
      <c r="L1270" s="302">
        <v>0.2642133514093063</v>
      </c>
      <c r="M1270" s="302">
        <v>0.1250247541349018</v>
      </c>
      <c r="N1270" s="302">
        <v>5.7970541431191201E-2</v>
      </c>
      <c r="O1270" s="302">
        <f t="shared" si="541"/>
        <v>0.4472086469753993</v>
      </c>
    </row>
    <row r="1271" spans="1:15" s="236" customFormat="1" x14ac:dyDescent="0.2">
      <c r="A1271" s="237" t="str">
        <f>name!E$8</f>
        <v>Skilled trades occupations</v>
      </c>
      <c r="B1271" s="302">
        <v>0.24307788961367705</v>
      </c>
      <c r="C1271" s="302">
        <v>1.3721034830566281E-2</v>
      </c>
      <c r="D1271" s="302">
        <v>0.17170221428341062</v>
      </c>
      <c r="E1271" s="302">
        <f t="shared" si="539"/>
        <v>0.42850113872765394</v>
      </c>
      <c r="F1271" s="303"/>
      <c r="G1271" s="302">
        <v>0.17716108595628596</v>
      </c>
      <c r="H1271" s="302">
        <v>2.5719288406641859E-2</v>
      </c>
      <c r="I1271" s="302">
        <v>0.67340513144388825</v>
      </c>
      <c r="J1271" s="302">
        <f>SUM(G1271:I1271)</f>
        <v>0.87628550580681608</v>
      </c>
      <c r="K1271" s="303"/>
      <c r="L1271" s="302">
        <v>0.22508181218629961</v>
      </c>
      <c r="M1271" s="302">
        <v>3.1943227335019912E-2</v>
      </c>
      <c r="N1271" s="302">
        <v>1.1072573068662321</v>
      </c>
      <c r="O1271" s="302">
        <f t="shared" si="541"/>
        <v>1.3642823463875517</v>
      </c>
    </row>
    <row r="1272" spans="1:15" s="236" customFormat="1" x14ac:dyDescent="0.2">
      <c r="A1272" s="237" t="str">
        <f>name!E$9</f>
        <v>Caring, leisure and other service occupations</v>
      </c>
      <c r="B1272" s="302">
        <v>3.4663119956480956E-2</v>
      </c>
      <c r="C1272" s="302">
        <v>6.3635879830410283E-3</v>
      </c>
      <c r="D1272" s="302">
        <v>1.3898640258299417E-2</v>
      </c>
      <c r="E1272" s="302">
        <f t="shared" si="539"/>
        <v>5.4925348197821397E-2</v>
      </c>
      <c r="F1272" s="303"/>
      <c r="G1272" s="302">
        <v>3.8645679084799794E-2</v>
      </c>
      <c r="H1272" s="302">
        <v>1.4092536482142754E-2</v>
      </c>
      <c r="I1272" s="302">
        <v>4.1652176221503738E-2</v>
      </c>
      <c r="J1272" s="302">
        <f t="shared" ref="J1272:J1275" si="542">SUM(G1272:I1272)</f>
        <v>9.4390391788446285E-2</v>
      </c>
      <c r="K1272" s="303"/>
      <c r="L1272" s="302">
        <v>5.3494815779728568E-2</v>
      </c>
      <c r="M1272" s="302">
        <v>1.4502578088841239E-2</v>
      </c>
      <c r="N1272" s="302">
        <v>8.810721415652524E-2</v>
      </c>
      <c r="O1272" s="302">
        <f t="shared" si="541"/>
        <v>0.15610460802509504</v>
      </c>
    </row>
    <row r="1273" spans="1:15" s="236" customFormat="1" x14ac:dyDescent="0.2">
      <c r="A1273" s="237" t="str">
        <f>name!E$10</f>
        <v>Sales and customer service occupations</v>
      </c>
      <c r="B1273" s="302">
        <v>0.51342119730621472</v>
      </c>
      <c r="C1273" s="302">
        <v>0.58864319985796099</v>
      </c>
      <c r="D1273" s="302">
        <v>0.19363530367138657</v>
      </c>
      <c r="E1273" s="302">
        <f t="shared" si="539"/>
        <v>1.2956997008355622</v>
      </c>
      <c r="F1273" s="303"/>
      <c r="G1273" s="302">
        <v>0.4612659653447545</v>
      </c>
      <c r="H1273" s="302">
        <v>1.5052183397607084</v>
      </c>
      <c r="I1273" s="302">
        <v>0.65835328385527803</v>
      </c>
      <c r="J1273" s="302">
        <f t="shared" si="542"/>
        <v>2.6248375889607409</v>
      </c>
      <c r="K1273" s="303"/>
      <c r="L1273" s="302">
        <v>0.40664593271983718</v>
      </c>
      <c r="M1273" s="302">
        <v>1.7223414906619163</v>
      </c>
      <c r="N1273" s="302">
        <v>0.67175119479045609</v>
      </c>
      <c r="O1273" s="302">
        <f t="shared" si="541"/>
        <v>2.8007386181722098</v>
      </c>
    </row>
    <row r="1274" spans="1:15" s="236" customFormat="1" x14ac:dyDescent="0.2">
      <c r="A1274" s="237" t="str">
        <f>name!E$11</f>
        <v>Process, plant and machine operatives</v>
      </c>
      <c r="B1274" s="302">
        <v>0.14462038739452313</v>
      </c>
      <c r="C1274" s="302">
        <v>8.898585121040024E-3</v>
      </c>
      <c r="D1274" s="302">
        <v>1.8593115256918327E-2</v>
      </c>
      <c r="E1274" s="302">
        <f t="shared" si="539"/>
        <v>0.17211208777248149</v>
      </c>
      <c r="F1274" s="303"/>
      <c r="G1274" s="302">
        <v>0.11276831718220708</v>
      </c>
      <c r="H1274" s="302">
        <v>3.3498994808411821E-2</v>
      </c>
      <c r="I1274" s="302">
        <v>6.8961940657707332E-2</v>
      </c>
      <c r="J1274" s="302">
        <f t="shared" si="542"/>
        <v>0.21522925264832624</v>
      </c>
      <c r="K1274" s="303"/>
      <c r="L1274" s="302">
        <v>9.6769162821501165E-2</v>
      </c>
      <c r="M1274" s="302">
        <v>5.7790417233146991E-2</v>
      </c>
      <c r="N1274" s="302">
        <v>8.4855617449917931E-2</v>
      </c>
      <c r="O1274" s="302">
        <f t="shared" si="541"/>
        <v>0.23941519750456608</v>
      </c>
    </row>
    <row r="1275" spans="1:15" s="236" customFormat="1" x14ac:dyDescent="0.2">
      <c r="A1275" s="237" t="str">
        <f>name!E$12</f>
        <v>Elementary occupations</v>
      </c>
      <c r="B1275" s="302">
        <v>0.27602359928692066</v>
      </c>
      <c r="C1275" s="302">
        <v>0.11125567411019988</v>
      </c>
      <c r="D1275" s="302">
        <v>7.8410424264637024E-3</v>
      </c>
      <c r="E1275" s="302">
        <f t="shared" si="539"/>
        <v>0.39512031582358426</v>
      </c>
      <c r="F1275" s="303"/>
      <c r="G1275" s="302">
        <v>0.25043743548963365</v>
      </c>
      <c r="H1275" s="302">
        <v>0.23104974673315695</v>
      </c>
      <c r="I1275" s="302">
        <v>2.2372161593468838E-2</v>
      </c>
      <c r="J1275" s="302">
        <f t="shared" si="542"/>
        <v>0.50385934381625952</v>
      </c>
      <c r="K1275" s="303"/>
      <c r="L1275" s="302">
        <v>0.31873740358631469</v>
      </c>
      <c r="M1275" s="302">
        <v>0.22711412679266202</v>
      </c>
      <c r="N1275" s="302">
        <v>3.277406363280562E-2</v>
      </c>
      <c r="O1275" s="302">
        <f t="shared" si="541"/>
        <v>0.57862559401178237</v>
      </c>
    </row>
    <row r="1276" spans="1:15" s="236" customFormat="1" x14ac:dyDescent="0.2">
      <c r="A1276" s="237"/>
      <c r="B1276" s="302"/>
      <c r="C1276" s="302"/>
      <c r="D1276" s="302"/>
      <c r="E1276" s="302"/>
      <c r="F1276" s="303"/>
      <c r="G1276" s="302"/>
      <c r="H1276" s="302"/>
      <c r="I1276" s="302"/>
      <c r="J1276" s="302"/>
      <c r="K1276" s="303"/>
      <c r="L1276" s="302"/>
      <c r="M1276" s="302"/>
      <c r="N1276" s="302"/>
      <c r="O1276" s="302"/>
    </row>
    <row r="1277" spans="1:15" s="236" customFormat="1" x14ac:dyDescent="0.2">
      <c r="A1277" s="244" t="s">
        <v>32</v>
      </c>
      <c r="B1277" s="311">
        <f>SUM(B1267:B1275)</f>
        <v>3.8089999999474866</v>
      </c>
      <c r="C1277" s="311">
        <f t="shared" ref="C1277:E1277" si="543">SUM(C1267:C1275)</f>
        <v>0.87500000004469891</v>
      </c>
      <c r="D1277" s="311">
        <f t="shared" si="543"/>
        <v>1.0720000000133398</v>
      </c>
      <c r="E1277" s="311">
        <f t="shared" si="543"/>
        <v>5.7560000000055265</v>
      </c>
      <c r="F1277" s="311"/>
      <c r="G1277" s="311">
        <f t="shared" ref="G1277:J1277" si="544">SUM(G1267:G1275)</f>
        <v>4.2390000000054622</v>
      </c>
      <c r="H1277" s="311">
        <f t="shared" si="544"/>
        <v>2.267000000006778</v>
      </c>
      <c r="I1277" s="311">
        <f t="shared" si="544"/>
        <v>4.0920000000285421</v>
      </c>
      <c r="J1277" s="311">
        <f t="shared" si="544"/>
        <v>10.598000000040782</v>
      </c>
      <c r="K1277" s="311"/>
      <c r="L1277" s="311">
        <f t="shared" ref="L1277:O1277" si="545">SUM(L1267:L1275)</f>
        <v>5.2130000000254864</v>
      </c>
      <c r="M1277" s="311">
        <f t="shared" si="545"/>
        <v>2.6399999999563541</v>
      </c>
      <c r="N1277" s="311">
        <f t="shared" si="545"/>
        <v>5.3480000000405781</v>
      </c>
      <c r="O1277" s="311">
        <f t="shared" si="545"/>
        <v>13.201000000022418</v>
      </c>
    </row>
    <row r="1278" spans="1:15" s="236" customFormat="1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37"/>
      <c r="M1278" s="237"/>
      <c r="N1278" s="240"/>
    </row>
    <row r="1279" spans="1:15" s="236" customFormat="1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37"/>
      <c r="M1279" s="237"/>
      <c r="N1279" s="240"/>
      <c r="O1279" s="251" t="s">
        <v>35</v>
      </c>
    </row>
    <row r="1280" spans="1:15" s="236" customFormat="1" x14ac:dyDescent="0.2">
      <c r="A1280" s="242"/>
      <c r="B1280" s="242"/>
      <c r="C1280" s="242"/>
      <c r="D1280" s="242"/>
      <c r="E1280" s="242"/>
      <c r="F1280" s="242"/>
      <c r="G1280" s="242"/>
      <c r="H1280" s="242"/>
      <c r="I1280" s="242"/>
      <c r="J1280" s="242"/>
      <c r="K1280" s="242"/>
      <c r="L1280" s="242"/>
      <c r="M1280" s="242"/>
      <c r="N1280" s="242"/>
      <c r="O1280" s="242"/>
    </row>
    <row r="1281" spans="1:15" s="236" customFormat="1" x14ac:dyDescent="0.2">
      <c r="A1281" s="241" t="str">
        <f>name!A78</f>
        <v>Other personal service</v>
      </c>
      <c r="B1281" s="374">
        <f>$B$6</f>
        <v>2015</v>
      </c>
      <c r="C1281" s="374"/>
      <c r="D1281" s="374"/>
      <c r="E1281" s="374"/>
      <c r="F1281" s="263"/>
      <c r="G1281" s="374">
        <f>$G$6</f>
        <v>2020</v>
      </c>
      <c r="H1281" s="374"/>
      <c r="I1281" s="374"/>
      <c r="J1281" s="374"/>
      <c r="K1281" s="263"/>
      <c r="L1281" s="374">
        <f>$L$6</f>
        <v>2035</v>
      </c>
      <c r="M1281" s="374"/>
      <c r="N1281" s="374"/>
      <c r="O1281" s="374"/>
    </row>
    <row r="1282" spans="1:15" s="236" customFormat="1" x14ac:dyDescent="0.2">
      <c r="A1282" s="254"/>
      <c r="B1282" s="268" t="str">
        <f>$B$7</f>
        <v>FT</v>
      </c>
      <c r="C1282" s="268" t="str">
        <f>$C$7</f>
        <v>PT</v>
      </c>
      <c r="D1282" s="268" t="str">
        <f>$D$7</f>
        <v>SE</v>
      </c>
      <c r="E1282" s="268" t="str">
        <f>$E$7</f>
        <v>Total</v>
      </c>
      <c r="F1282" s="268"/>
      <c r="G1282" s="268" t="str">
        <f>$G$7</f>
        <v>FT</v>
      </c>
      <c r="H1282" s="268" t="str">
        <f>$H$7</f>
        <v>PT</v>
      </c>
      <c r="I1282" s="268" t="str">
        <f>$I$7</f>
        <v>SE</v>
      </c>
      <c r="J1282" s="268" t="str">
        <f>$J$7</f>
        <v>Total</v>
      </c>
      <c r="K1282" s="268"/>
      <c r="L1282" s="268" t="str">
        <f>$L$7</f>
        <v>FT</v>
      </c>
      <c r="M1282" s="268" t="str">
        <f>$M$7</f>
        <v>PT</v>
      </c>
      <c r="N1282" s="268" t="str">
        <f>$N$7</f>
        <v>SE</v>
      </c>
      <c r="O1282" s="268" t="str">
        <f>$O$7</f>
        <v>Total</v>
      </c>
    </row>
    <row r="1283" spans="1:15" s="236" customFormat="1" x14ac:dyDescent="0.2">
      <c r="A1283" s="258"/>
      <c r="B1283" s="239"/>
      <c r="C1283" s="239"/>
      <c r="D1283" s="239"/>
      <c r="E1283" s="239"/>
      <c r="F1283" s="239"/>
      <c r="G1283" s="239"/>
      <c r="H1283" s="239"/>
      <c r="I1283" s="239"/>
      <c r="J1283" s="239"/>
      <c r="K1283" s="239"/>
      <c r="L1283" s="239"/>
      <c r="M1283" s="239"/>
      <c r="N1283" s="239"/>
      <c r="O1283" s="239"/>
    </row>
    <row r="1284" spans="1:15" s="236" customFormat="1" x14ac:dyDescent="0.2">
      <c r="A1284" s="237" t="str">
        <f>name!E$4</f>
        <v>Managers, directors and senior officials</v>
      </c>
      <c r="B1284" s="302">
        <v>4.8460564548712899</v>
      </c>
      <c r="C1284" s="302">
        <v>0.49624387531809261</v>
      </c>
      <c r="D1284" s="302">
        <v>1.8116011854947489</v>
      </c>
      <c r="E1284" s="302">
        <f>SUM(B1284:D1284)</f>
        <v>7.1539015156841312</v>
      </c>
      <c r="F1284" s="303"/>
      <c r="G1284" s="302">
        <v>4.7328175965826116</v>
      </c>
      <c r="H1284" s="302">
        <v>0.93095937993175926</v>
      </c>
      <c r="I1284" s="302">
        <v>2.8664677025384568</v>
      </c>
      <c r="J1284" s="302">
        <f>SUM(G1284:I1284)</f>
        <v>8.5302446790528279</v>
      </c>
      <c r="K1284" s="303"/>
      <c r="L1284" s="302">
        <v>6.39408261014629</v>
      </c>
      <c r="M1284" s="302">
        <v>1.3765053814148245</v>
      </c>
      <c r="N1284" s="302">
        <v>4.0731167497341945</v>
      </c>
      <c r="O1284" s="302">
        <f>SUM(L1284:N1284)</f>
        <v>11.843704741295308</v>
      </c>
    </row>
    <row r="1285" spans="1:15" s="236" customFormat="1" x14ac:dyDescent="0.2">
      <c r="A1285" s="237" t="str">
        <f>name!E$5</f>
        <v>Professional occupations</v>
      </c>
      <c r="B1285" s="302">
        <v>6.4917079139920499</v>
      </c>
      <c r="C1285" s="302">
        <v>1.5538742348413044</v>
      </c>
      <c r="D1285" s="302">
        <v>0.96262726708797863</v>
      </c>
      <c r="E1285" s="302">
        <f t="shared" ref="E1285:E1292" si="546">SUM(B1285:D1285)</f>
        <v>9.008209415921332</v>
      </c>
      <c r="F1285" s="303"/>
      <c r="G1285" s="302">
        <v>8.1208293365119015</v>
      </c>
      <c r="H1285" s="302">
        <v>2.9111951955350368</v>
      </c>
      <c r="I1285" s="302">
        <v>1.8301550835995899</v>
      </c>
      <c r="J1285" s="302">
        <f t="shared" ref="J1285:J1287" si="547">SUM(G1285:I1285)</f>
        <v>12.862179615646529</v>
      </c>
      <c r="K1285" s="303"/>
      <c r="L1285" s="302">
        <v>11.56839756559507</v>
      </c>
      <c r="M1285" s="302">
        <v>4.1963332169440362</v>
      </c>
      <c r="N1285" s="302">
        <v>1.6337404254651233</v>
      </c>
      <c r="O1285" s="302">
        <f t="shared" ref="O1285:O1292" si="548">SUM(L1285:N1285)</f>
        <v>17.398471208004231</v>
      </c>
    </row>
    <row r="1286" spans="1:15" s="236" customFormat="1" x14ac:dyDescent="0.2">
      <c r="A1286" s="237" t="str">
        <f>name!E$6</f>
        <v>Associate professional occupations</v>
      </c>
      <c r="B1286" s="302">
        <v>5.9244409644529252</v>
      </c>
      <c r="C1286" s="302">
        <v>1.9012925926406814</v>
      </c>
      <c r="D1286" s="302">
        <v>1.9615824128276929</v>
      </c>
      <c r="E1286" s="302">
        <f t="shared" si="546"/>
        <v>9.7873159699212984</v>
      </c>
      <c r="F1286" s="303"/>
      <c r="G1286" s="302">
        <v>6.5077984727350149</v>
      </c>
      <c r="H1286" s="302">
        <v>2.6908703061665138</v>
      </c>
      <c r="I1286" s="302">
        <v>3.2669681899177738</v>
      </c>
      <c r="J1286" s="302">
        <f t="shared" si="547"/>
        <v>12.465636968819302</v>
      </c>
      <c r="K1286" s="303"/>
      <c r="L1286" s="302">
        <v>8.0679823494671705</v>
      </c>
      <c r="M1286" s="302">
        <v>2.8775451368862632</v>
      </c>
      <c r="N1286" s="302">
        <v>2.6279161033327774</v>
      </c>
      <c r="O1286" s="302">
        <f t="shared" si="548"/>
        <v>13.573443589686212</v>
      </c>
    </row>
    <row r="1287" spans="1:15" s="236" customFormat="1" x14ac:dyDescent="0.2">
      <c r="A1287" s="237" t="str">
        <f>name!E$7</f>
        <v>Administrative and secretarial occupations</v>
      </c>
      <c r="B1287" s="302">
        <v>2.3657648072465784</v>
      </c>
      <c r="C1287" s="302">
        <v>1.4752463537619198</v>
      </c>
      <c r="D1287" s="302">
        <v>7.4679467712405037E-2</v>
      </c>
      <c r="E1287" s="302">
        <f t="shared" si="546"/>
        <v>3.915690628720903</v>
      </c>
      <c r="F1287" s="303"/>
      <c r="G1287" s="302">
        <v>2.5790367184109573</v>
      </c>
      <c r="H1287" s="302">
        <v>1.7177559474239399</v>
      </c>
      <c r="I1287" s="302">
        <v>9.0593015445757347E-2</v>
      </c>
      <c r="J1287" s="302">
        <f t="shared" si="547"/>
        <v>4.3873856812806551</v>
      </c>
      <c r="K1287" s="303"/>
      <c r="L1287" s="302">
        <v>2.8831726673092768</v>
      </c>
      <c r="M1287" s="302">
        <v>1.579396790959309</v>
      </c>
      <c r="N1287" s="302">
        <v>0.10543460995645196</v>
      </c>
      <c r="O1287" s="302">
        <f t="shared" si="548"/>
        <v>4.5680040682250382</v>
      </c>
    </row>
    <row r="1288" spans="1:15" s="236" customFormat="1" x14ac:dyDescent="0.2">
      <c r="A1288" s="237" t="str">
        <f>name!E$8</f>
        <v>Skilled trades occupations</v>
      </c>
      <c r="B1288" s="302">
        <v>2.2184042783809308</v>
      </c>
      <c r="C1288" s="302">
        <v>0.33177859340065941</v>
      </c>
      <c r="D1288" s="302">
        <v>0.56295922795699449</v>
      </c>
      <c r="E1288" s="302">
        <f t="shared" si="546"/>
        <v>3.1131420997385848</v>
      </c>
      <c r="F1288" s="303"/>
      <c r="G1288" s="302">
        <v>1.5446648604897799</v>
      </c>
      <c r="H1288" s="302">
        <v>0.44473702113461694</v>
      </c>
      <c r="I1288" s="302">
        <v>0.94615970078909795</v>
      </c>
      <c r="J1288" s="302">
        <f>SUM(G1288:I1288)</f>
        <v>2.9355615824134946</v>
      </c>
      <c r="K1288" s="303"/>
      <c r="L1288" s="302">
        <v>1.9891819948198144</v>
      </c>
      <c r="M1288" s="302">
        <v>0.6125964960423621</v>
      </c>
      <c r="N1288" s="302">
        <v>1.6055102186827153</v>
      </c>
      <c r="O1288" s="302">
        <f t="shared" si="548"/>
        <v>4.2072887095448923</v>
      </c>
    </row>
    <row r="1289" spans="1:15" s="236" customFormat="1" x14ac:dyDescent="0.2">
      <c r="A1289" s="237" t="str">
        <f>name!E$9</f>
        <v>Caring, leisure and other service occupations</v>
      </c>
      <c r="B1289" s="302">
        <v>8.0574716296304096</v>
      </c>
      <c r="C1289" s="302">
        <v>8.4717584618337547</v>
      </c>
      <c r="D1289" s="302">
        <v>4.843350873593109</v>
      </c>
      <c r="E1289" s="302">
        <f t="shared" si="546"/>
        <v>21.372580965057274</v>
      </c>
      <c r="F1289" s="303"/>
      <c r="G1289" s="302">
        <v>7.4547035088396019</v>
      </c>
      <c r="H1289" s="302">
        <v>8.9199101691858829</v>
      </c>
      <c r="I1289" s="302">
        <v>6.2929933205391073</v>
      </c>
      <c r="J1289" s="302">
        <f t="shared" ref="J1289:J1292" si="549">SUM(G1289:I1289)</f>
        <v>22.66760699856459</v>
      </c>
      <c r="K1289" s="303"/>
      <c r="L1289" s="302">
        <v>6.2346063830189067</v>
      </c>
      <c r="M1289" s="302">
        <v>10.714134589594176</v>
      </c>
      <c r="N1289" s="302">
        <v>8.7892554147514588</v>
      </c>
      <c r="O1289" s="302">
        <f t="shared" si="548"/>
        <v>25.737996387364539</v>
      </c>
    </row>
    <row r="1290" spans="1:15" s="236" customFormat="1" x14ac:dyDescent="0.2">
      <c r="A1290" s="237" t="str">
        <f>name!E$10</f>
        <v>Sales and customer service occupations</v>
      </c>
      <c r="B1290" s="302">
        <v>1.083778289312445</v>
      </c>
      <c r="C1290" s="302">
        <v>0.85743537059413832</v>
      </c>
      <c r="D1290" s="302">
        <v>0.53922799728175574</v>
      </c>
      <c r="E1290" s="302">
        <f t="shared" si="546"/>
        <v>2.4804416571883392</v>
      </c>
      <c r="F1290" s="303"/>
      <c r="G1290" s="302">
        <v>0.98269703954180365</v>
      </c>
      <c r="H1290" s="302">
        <v>1.1251722391838823</v>
      </c>
      <c r="I1290" s="302">
        <v>0.64948882759450055</v>
      </c>
      <c r="J1290" s="302">
        <f t="shared" si="549"/>
        <v>2.7573581063201864</v>
      </c>
      <c r="K1290" s="303"/>
      <c r="L1290" s="302">
        <v>1.2406600995150747</v>
      </c>
      <c r="M1290" s="302">
        <v>1.3684854783583911</v>
      </c>
      <c r="N1290" s="302">
        <v>0.61455429967974384</v>
      </c>
      <c r="O1290" s="302">
        <f t="shared" si="548"/>
        <v>3.2236998775532095</v>
      </c>
    </row>
    <row r="1291" spans="1:15" s="236" customFormat="1" x14ac:dyDescent="0.2">
      <c r="A1291" s="237" t="str">
        <f>name!E$11</f>
        <v>Process, plant and machine operatives</v>
      </c>
      <c r="B1291" s="302">
        <v>0.5663641968093891</v>
      </c>
      <c r="C1291" s="302">
        <v>0.48375452282557674</v>
      </c>
      <c r="D1291" s="302">
        <v>2.6384369294998409E-2</v>
      </c>
      <c r="E1291" s="302">
        <f t="shared" si="546"/>
        <v>1.076503088929964</v>
      </c>
      <c r="F1291" s="303"/>
      <c r="G1291" s="302">
        <v>0.3880028801158133</v>
      </c>
      <c r="H1291" s="302">
        <v>0.91377458919425736</v>
      </c>
      <c r="I1291" s="302">
        <v>5.2565624560253606E-2</v>
      </c>
      <c r="J1291" s="302">
        <f t="shared" si="549"/>
        <v>1.3543430938703245</v>
      </c>
      <c r="K1291" s="303"/>
      <c r="L1291" s="302">
        <v>0.22305989640742005</v>
      </c>
      <c r="M1291" s="302">
        <v>1.3216934910710729</v>
      </c>
      <c r="N1291" s="302">
        <v>5.4345742390886402E-2</v>
      </c>
      <c r="O1291" s="302">
        <f t="shared" si="548"/>
        <v>1.5990991298693793</v>
      </c>
    </row>
    <row r="1292" spans="1:15" s="236" customFormat="1" x14ac:dyDescent="0.2">
      <c r="A1292" s="237" t="str">
        <f>name!E$12</f>
        <v>Elementary occupations</v>
      </c>
      <c r="B1292" s="302">
        <v>1.5390114652513207</v>
      </c>
      <c r="C1292" s="302">
        <v>2.1556159950810017</v>
      </c>
      <c r="D1292" s="302">
        <v>0.11158719908963116</v>
      </c>
      <c r="E1292" s="302">
        <f t="shared" si="546"/>
        <v>3.8062146594219533</v>
      </c>
      <c r="F1292" s="303"/>
      <c r="G1292" s="302">
        <v>1.1654495867548027</v>
      </c>
      <c r="H1292" s="302">
        <v>2.29462515216732</v>
      </c>
      <c r="I1292" s="302">
        <v>0.19360853495591293</v>
      </c>
      <c r="J1292" s="302">
        <f t="shared" si="549"/>
        <v>3.6536832738780358</v>
      </c>
      <c r="K1292" s="303"/>
      <c r="L1292" s="302">
        <v>1.4648564337751604</v>
      </c>
      <c r="M1292" s="302">
        <v>1.5013094185383662</v>
      </c>
      <c r="N1292" s="302">
        <v>0.24412643612328949</v>
      </c>
      <c r="O1292" s="302">
        <f t="shared" si="548"/>
        <v>3.2102922884368161</v>
      </c>
    </row>
    <row r="1293" spans="1:15" s="236" customFormat="1" x14ac:dyDescent="0.2">
      <c r="A1293" s="237"/>
      <c r="B1293" s="302"/>
      <c r="C1293" s="302"/>
      <c r="D1293" s="302"/>
      <c r="E1293" s="302"/>
      <c r="F1293" s="303"/>
      <c r="G1293" s="302"/>
      <c r="H1293" s="302"/>
      <c r="I1293" s="302"/>
      <c r="J1293" s="302"/>
      <c r="K1293" s="303"/>
      <c r="L1293" s="302"/>
      <c r="M1293" s="302"/>
      <c r="N1293" s="302"/>
      <c r="O1293" s="302"/>
    </row>
    <row r="1294" spans="1:15" s="236" customFormat="1" x14ac:dyDescent="0.2">
      <c r="A1294" s="244" t="s">
        <v>32</v>
      </c>
      <c r="B1294" s="311">
        <f>SUM(B1284:B1292)</f>
        <v>33.092999999947338</v>
      </c>
      <c r="C1294" s="311">
        <f t="shared" ref="C1294:E1294" si="550">SUM(C1284:C1292)</f>
        <v>17.727000000297128</v>
      </c>
      <c r="D1294" s="311">
        <f t="shared" si="550"/>
        <v>10.894000000339316</v>
      </c>
      <c r="E1294" s="311">
        <f t="shared" si="550"/>
        <v>61.714000000583773</v>
      </c>
      <c r="F1294" s="311"/>
      <c r="G1294" s="311">
        <f t="shared" ref="G1294:J1294" si="551">SUM(G1284:G1292)</f>
        <v>33.475999999982285</v>
      </c>
      <c r="H1294" s="311">
        <f t="shared" si="551"/>
        <v>21.948999999923213</v>
      </c>
      <c r="I1294" s="311">
        <f t="shared" si="551"/>
        <v>16.188999999940449</v>
      </c>
      <c r="J1294" s="311">
        <f t="shared" si="551"/>
        <v>71.61399999984593</v>
      </c>
      <c r="K1294" s="311"/>
      <c r="L1294" s="311">
        <f t="shared" ref="L1294:O1294" si="552">SUM(L1284:L1292)</f>
        <v>40.066000000054188</v>
      </c>
      <c r="M1294" s="311">
        <f t="shared" si="552"/>
        <v>25.547999999808802</v>
      </c>
      <c r="N1294" s="311">
        <f t="shared" si="552"/>
        <v>19.748000000116637</v>
      </c>
      <c r="O1294" s="311">
        <f t="shared" si="552"/>
        <v>85.361999999979616</v>
      </c>
    </row>
    <row r="1295" spans="1:15" s="236" customFormat="1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37"/>
      <c r="M1295" s="237"/>
      <c r="N1295" s="240"/>
    </row>
  </sheetData>
  <mergeCells count="228">
    <mergeCell ref="B6:E6"/>
    <mergeCell ref="G6:J6"/>
    <mergeCell ref="L6:O6"/>
    <mergeCell ref="B23:E23"/>
    <mergeCell ref="G23:J23"/>
    <mergeCell ref="L23:O23"/>
    <mergeCell ref="B108:E108"/>
    <mergeCell ref="G108:J108"/>
    <mergeCell ref="L108:O108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  <mergeCell ref="B125:E125"/>
    <mergeCell ref="G125:J125"/>
    <mergeCell ref="L125:O125"/>
    <mergeCell ref="B91:E91"/>
    <mergeCell ref="G91:J91"/>
    <mergeCell ref="L91:O91"/>
    <mergeCell ref="B176:E176"/>
    <mergeCell ref="G176:J176"/>
    <mergeCell ref="L176:O176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380:E380"/>
    <mergeCell ref="G380:J380"/>
    <mergeCell ref="L380:O380"/>
    <mergeCell ref="B397:E397"/>
    <mergeCell ref="G397:J397"/>
    <mergeCell ref="L397:O397"/>
    <mergeCell ref="B346:E346"/>
    <mergeCell ref="G346:J346"/>
    <mergeCell ref="L346:O346"/>
    <mergeCell ref="B363:E363"/>
    <mergeCell ref="G363:J363"/>
    <mergeCell ref="L363:O363"/>
    <mergeCell ref="B448:E448"/>
    <mergeCell ref="G448:J448"/>
    <mergeCell ref="L448:O448"/>
    <mergeCell ref="B465:E465"/>
    <mergeCell ref="G465:J465"/>
    <mergeCell ref="L465:O465"/>
    <mergeCell ref="B414:E414"/>
    <mergeCell ref="G414:J414"/>
    <mergeCell ref="L414:O414"/>
    <mergeCell ref="B431:E431"/>
    <mergeCell ref="G431:J431"/>
    <mergeCell ref="L431:O431"/>
    <mergeCell ref="B516:E516"/>
    <mergeCell ref="G516:J516"/>
    <mergeCell ref="L516:O516"/>
    <mergeCell ref="B533:E533"/>
    <mergeCell ref="G533:J533"/>
    <mergeCell ref="L533:O533"/>
    <mergeCell ref="B482:E482"/>
    <mergeCell ref="G482:J482"/>
    <mergeCell ref="L482:O482"/>
    <mergeCell ref="B499:E499"/>
    <mergeCell ref="G499:J499"/>
    <mergeCell ref="L499:O499"/>
    <mergeCell ref="B584:E584"/>
    <mergeCell ref="G584:J584"/>
    <mergeCell ref="L584:O584"/>
    <mergeCell ref="B601:E601"/>
    <mergeCell ref="G601:J601"/>
    <mergeCell ref="L601:O601"/>
    <mergeCell ref="B550:E550"/>
    <mergeCell ref="G550:J550"/>
    <mergeCell ref="L550:O550"/>
    <mergeCell ref="B567:E567"/>
    <mergeCell ref="G567:J567"/>
    <mergeCell ref="L567:O567"/>
    <mergeCell ref="B652:E652"/>
    <mergeCell ref="G652:J652"/>
    <mergeCell ref="L652:O652"/>
    <mergeCell ref="B669:E669"/>
    <mergeCell ref="G669:J669"/>
    <mergeCell ref="L669:O669"/>
    <mergeCell ref="B618:E618"/>
    <mergeCell ref="G618:J618"/>
    <mergeCell ref="L618:O618"/>
    <mergeCell ref="B635:E635"/>
    <mergeCell ref="G635:J635"/>
    <mergeCell ref="L635:O635"/>
    <mergeCell ref="B720:E720"/>
    <mergeCell ref="G720:J720"/>
    <mergeCell ref="L720:O720"/>
    <mergeCell ref="B737:E737"/>
    <mergeCell ref="G737:J737"/>
    <mergeCell ref="L737:O737"/>
    <mergeCell ref="B686:E686"/>
    <mergeCell ref="G686:J686"/>
    <mergeCell ref="L686:O686"/>
    <mergeCell ref="B703:E703"/>
    <mergeCell ref="G703:J703"/>
    <mergeCell ref="L703:O703"/>
    <mergeCell ref="B788:E788"/>
    <mergeCell ref="G788:J788"/>
    <mergeCell ref="L788:O788"/>
    <mergeCell ref="B805:E805"/>
    <mergeCell ref="G805:J805"/>
    <mergeCell ref="L805:O805"/>
    <mergeCell ref="B754:E754"/>
    <mergeCell ref="G754:J754"/>
    <mergeCell ref="L754:O754"/>
    <mergeCell ref="B771:E771"/>
    <mergeCell ref="G771:J771"/>
    <mergeCell ref="L771:O771"/>
    <mergeCell ref="B856:E856"/>
    <mergeCell ref="G856:J856"/>
    <mergeCell ref="L856:O856"/>
    <mergeCell ref="B873:E873"/>
    <mergeCell ref="G873:J873"/>
    <mergeCell ref="L873:O873"/>
    <mergeCell ref="B822:E822"/>
    <mergeCell ref="G822:J822"/>
    <mergeCell ref="L822:O822"/>
    <mergeCell ref="B839:E839"/>
    <mergeCell ref="G839:J839"/>
    <mergeCell ref="L839:O839"/>
    <mergeCell ref="B924:E924"/>
    <mergeCell ref="G924:J924"/>
    <mergeCell ref="L924:O924"/>
    <mergeCell ref="B941:E941"/>
    <mergeCell ref="G941:J941"/>
    <mergeCell ref="L941:O941"/>
    <mergeCell ref="B890:E890"/>
    <mergeCell ref="G890:J890"/>
    <mergeCell ref="L890:O890"/>
    <mergeCell ref="B907:E907"/>
    <mergeCell ref="G907:J907"/>
    <mergeCell ref="L907:O907"/>
    <mergeCell ref="B992:E992"/>
    <mergeCell ref="G992:J992"/>
    <mergeCell ref="L992:O992"/>
    <mergeCell ref="B1009:E1009"/>
    <mergeCell ref="G1009:J1009"/>
    <mergeCell ref="L1009:O1009"/>
    <mergeCell ref="B958:E958"/>
    <mergeCell ref="G958:J958"/>
    <mergeCell ref="L958:O958"/>
    <mergeCell ref="B975:E975"/>
    <mergeCell ref="G975:J975"/>
    <mergeCell ref="L975:O975"/>
    <mergeCell ref="B1060:E1060"/>
    <mergeCell ref="G1060:J1060"/>
    <mergeCell ref="L1060:O1060"/>
    <mergeCell ref="B1077:E1077"/>
    <mergeCell ref="G1077:J1077"/>
    <mergeCell ref="L1077:O1077"/>
    <mergeCell ref="B1026:E1026"/>
    <mergeCell ref="G1026:J1026"/>
    <mergeCell ref="L1026:O1026"/>
    <mergeCell ref="B1043:E1043"/>
    <mergeCell ref="G1043:J1043"/>
    <mergeCell ref="L1043:O1043"/>
    <mergeCell ref="B1128:E1128"/>
    <mergeCell ref="G1128:J1128"/>
    <mergeCell ref="L1128:O1128"/>
    <mergeCell ref="B1145:E1145"/>
    <mergeCell ref="G1145:J1145"/>
    <mergeCell ref="L1145:O1145"/>
    <mergeCell ref="B1094:E1094"/>
    <mergeCell ref="G1094:J1094"/>
    <mergeCell ref="L1094:O1094"/>
    <mergeCell ref="B1111:E1111"/>
    <mergeCell ref="G1111:J1111"/>
    <mergeCell ref="L1111:O1111"/>
    <mergeCell ref="B1196:E1196"/>
    <mergeCell ref="G1196:J1196"/>
    <mergeCell ref="L1196:O1196"/>
    <mergeCell ref="B1213:E1213"/>
    <mergeCell ref="G1213:J1213"/>
    <mergeCell ref="L1213:O1213"/>
    <mergeCell ref="B1162:E1162"/>
    <mergeCell ref="G1162:J1162"/>
    <mergeCell ref="L1162:O1162"/>
    <mergeCell ref="B1179:E1179"/>
    <mergeCell ref="G1179:J1179"/>
    <mergeCell ref="L1179:O1179"/>
    <mergeCell ref="B1264:E1264"/>
    <mergeCell ref="G1264:J1264"/>
    <mergeCell ref="L1264:O1264"/>
    <mergeCell ref="B1281:E1281"/>
    <mergeCell ref="G1281:J1281"/>
    <mergeCell ref="L1281:O1281"/>
    <mergeCell ref="B1230:E1230"/>
    <mergeCell ref="G1230:J1230"/>
    <mergeCell ref="L1230:O1230"/>
    <mergeCell ref="B1247:E1247"/>
    <mergeCell ref="G1247:J1247"/>
    <mergeCell ref="L1247:O1247"/>
  </mergeCells>
  <pageMargins left="0.7" right="0.7" top="0.75" bottom="0.75" header="0.3" footer="0.3"/>
  <pageSetup paperSize="9" scale="72" fitToHeight="0" orientation="portrait" r:id="rId1"/>
  <rowBreaks count="18" manualBreakCount="18">
    <brk id="71" max="14" man="1"/>
    <brk id="139" max="14" man="1"/>
    <brk id="207" max="14" man="1"/>
    <brk id="275" max="14" man="1"/>
    <brk id="343" max="14" man="1"/>
    <brk id="411" max="14" man="1"/>
    <brk id="479" max="14" man="1"/>
    <brk id="547" max="14" man="1"/>
    <brk id="615" max="14" man="1"/>
    <brk id="683" max="14" man="1"/>
    <brk id="751" max="14" man="1"/>
    <brk id="819" max="14" man="1"/>
    <brk id="887" max="14" man="1"/>
    <brk id="955" max="14" man="1"/>
    <brk id="1023" max="14" man="1"/>
    <brk id="1091" max="14" man="1"/>
    <brk id="1159" max="14" man="1"/>
    <brk id="1227" max="14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7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16.14062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8" t="str">
        <f>CONCATENATE("Occupation Table 1  Employment Change by Occupation Group (SOC 2020) and Replacement Demand, ",B$6,"-",F$6,", ",Info!B5)</f>
        <v>Occupation Table 1  Employment Change by Occupation Group (SOC 2020) and Replacement Demand, 2015-2035, London</v>
      </c>
      <c r="L1" s="18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London</v>
      </c>
      <c r="W1" s="18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London</v>
      </c>
    </row>
    <row r="2" spans="1:32" x14ac:dyDescent="0.2">
      <c r="A2" s="1" t="s">
        <v>536</v>
      </c>
    </row>
    <row r="3" spans="1:32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2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27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27" t="str">
        <f>CONCATENATE(Z6,"-",AB6)</f>
        <v>2020-2035</v>
      </c>
      <c r="AE4" s="35"/>
      <c r="AF4" s="35"/>
    </row>
    <row r="5" spans="1:32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2">
      <c r="A6" s="40" t="s">
        <v>13</v>
      </c>
      <c r="B6" s="34">
        <f>'Occ T2'!B6</f>
        <v>2015</v>
      </c>
      <c r="C6" s="34">
        <f>'Occ T2'!C6</f>
        <v>2019</v>
      </c>
      <c r="D6" s="34">
        <f>'Occ T2'!D6</f>
        <v>2020</v>
      </c>
      <c r="E6" s="34">
        <f>'Occ T2'!E6</f>
        <v>2025</v>
      </c>
      <c r="F6" s="34">
        <f>'Occ T2'!F6</f>
        <v>2035</v>
      </c>
      <c r="G6" s="10"/>
      <c r="H6" s="62" t="s">
        <v>18</v>
      </c>
      <c r="I6" s="62" t="s">
        <v>31</v>
      </c>
      <c r="J6" s="62" t="s">
        <v>33</v>
      </c>
      <c r="L6" s="40" t="s">
        <v>13</v>
      </c>
      <c r="M6" s="34">
        <f>'Occ T2'!B6</f>
        <v>2015</v>
      </c>
      <c r="N6" s="34">
        <f>'Occ T2'!C6</f>
        <v>2019</v>
      </c>
      <c r="O6" s="34">
        <f>'Occ T2'!D6</f>
        <v>2020</v>
      </c>
      <c r="P6" s="34">
        <f>'Occ T2'!E6</f>
        <v>2025</v>
      </c>
      <c r="Q6" s="34">
        <f>'Occ T2'!F6</f>
        <v>2035</v>
      </c>
      <c r="R6" s="10"/>
      <c r="S6" s="62" t="s">
        <v>18</v>
      </c>
      <c r="T6" s="62" t="s">
        <v>31</v>
      </c>
      <c r="U6" s="62" t="s">
        <v>33</v>
      </c>
      <c r="W6" s="40" t="s">
        <v>13</v>
      </c>
      <c r="X6" s="34">
        <f>'Occ T2'!B6</f>
        <v>2015</v>
      </c>
      <c r="Y6" s="34">
        <f>'Occ T2'!C6</f>
        <v>2019</v>
      </c>
      <c r="Z6" s="34">
        <f>'Occ T2'!D6</f>
        <v>2020</v>
      </c>
      <c r="AA6" s="34">
        <f>'Occ T2'!E6</f>
        <v>2025</v>
      </c>
      <c r="AB6" s="34">
        <f>'Occ T2'!F6</f>
        <v>2035</v>
      </c>
      <c r="AC6" s="10"/>
      <c r="AD6" s="62" t="s">
        <v>18</v>
      </c>
      <c r="AE6" s="62" t="s">
        <v>31</v>
      </c>
      <c r="AF6" s="62" t="s">
        <v>33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MMULT(aggregation!$B$38:$AA$46,'Occ T2'!B8:B33)</f>
        <v>626.46199201398156</v>
      </c>
      <c r="C8" s="11">
        <f t="array" ref="C8:C16">MMULT(aggregation!$B$38:$AA$46,'Occ T2'!C8:C33)</f>
        <v>724.87092538366153</v>
      </c>
      <c r="D8" s="11">
        <f t="array" ref="D8:D16">MMULT(aggregation!$B$38:$AA$46,'Occ T2'!D8:D33)</f>
        <v>725.07323238495474</v>
      </c>
      <c r="E8" s="11">
        <f t="array" ref="E8:E16">MMULT(aggregation!$B$38:$AA$46,'Occ T2'!E8:E33)</f>
        <v>754.09062631299162</v>
      </c>
      <c r="F8" s="11">
        <f t="array" ref="F8:F16">MMULT(aggregation!$B$38:$AA$46,'Occ T2'!F8:F33)</f>
        <v>825.42675998664572</v>
      </c>
      <c r="G8" s="11"/>
      <c r="H8" s="11">
        <f>F8-D8</f>
        <v>100.35352760169098</v>
      </c>
      <c r="I8" s="11">
        <f t="array" ref="I8:I16">MMULT(aggregation!$B$38:$AA$46,'Occ T2'!I8:I33)</f>
        <v>413.67450469665414</v>
      </c>
      <c r="J8" s="11">
        <f>SUM(H8:I8)</f>
        <v>514.02803229834512</v>
      </c>
      <c r="L8" s="10" t="str">
        <f>name!E4</f>
        <v>Managers, directors and senior officials</v>
      </c>
      <c r="M8" s="11">
        <f t="array" ref="M8:M16">MMULT(aggregation!$B$38:$AA$46,'Occ T2'!M8:M33)</f>
        <v>406.83484189924536</v>
      </c>
      <c r="N8" s="11">
        <f t="array" ref="N8:N16">MMULT(aggregation!$B$38:$AA$46,'Occ T2'!N8:N33)</f>
        <v>462.06487084778661</v>
      </c>
      <c r="O8" s="11">
        <f t="array" ref="O8:O16">MMULT(aggregation!$B$38:$AA$46,'Occ T2'!O8:O33)</f>
        <v>455.95049591140645</v>
      </c>
      <c r="P8" s="11">
        <f t="array" ref="P8:P16">MMULT(aggregation!$B$38:$AA$46,'Occ T2'!P8:P33)</f>
        <v>465.70922136538053</v>
      </c>
      <c r="Q8" s="11">
        <f t="array" ref="Q8:Q16">MMULT(aggregation!$B$38:$AA$46,'Occ T2'!Q8:Q33)</f>
        <v>498.776857162243</v>
      </c>
      <c r="R8" s="11"/>
      <c r="S8" s="11">
        <f>Q8-O8</f>
        <v>42.826361250836555</v>
      </c>
      <c r="T8" s="11">
        <f t="array" ref="T8:T16">MMULT(aggregation!$B$38:$AA$46,'Occ T2'!T8:T33)</f>
        <v>233.29078857176506</v>
      </c>
      <c r="U8" s="11">
        <f>SUM(S8:T8)</f>
        <v>276.11714982260162</v>
      </c>
      <c r="W8" s="10" t="str">
        <f>name!E4</f>
        <v>Managers, directors and senior officials</v>
      </c>
      <c r="X8" s="11">
        <f t="array" ref="X8:X16">MMULT(aggregation!$B$38:$AA$46,'Occ T2'!X8:X33)</f>
        <v>219.62715011473679</v>
      </c>
      <c r="Y8" s="11">
        <f t="array" ref="Y8:Y16">MMULT(aggregation!$B$38:$AA$46,'Occ T2'!Y8:Y33)</f>
        <v>262.80605453587521</v>
      </c>
      <c r="Z8" s="11">
        <f t="array" ref="Z8:Z16">MMULT(aggregation!$B$38:$AA$46,'Occ T2'!Z8:Z33)</f>
        <v>269.12273647354857</v>
      </c>
      <c r="AA8" s="11">
        <f t="array" ref="AA8:AA16">MMULT(aggregation!$B$38:$AA$46,'Occ T2'!AA8:AA33)</f>
        <v>288.38140494761331</v>
      </c>
      <c r="AB8" s="11">
        <f t="array" ref="AB8:AB16">MMULT(aggregation!$B$38:$AA$46,'Occ T2'!AB8:AB33)</f>
        <v>326.64990282440277</v>
      </c>
      <c r="AC8" s="11"/>
      <c r="AD8" s="11">
        <f>AB8-Z8</f>
        <v>57.527166350854202</v>
      </c>
      <c r="AE8" s="11">
        <f t="array" ref="AE8:AE16">MMULT(aggregation!$B$38:$AA$46,'Occ T2'!AE8:AE33)</f>
        <v>180.38371612488913</v>
      </c>
      <c r="AF8" s="11">
        <f>SUM(AD8:AE8)</f>
        <v>237.91088247574334</v>
      </c>
    </row>
    <row r="9" spans="1:32" x14ac:dyDescent="0.2">
      <c r="A9" t="str">
        <f>name!E5</f>
        <v>Professional occupations</v>
      </c>
      <c r="B9" s="11">
        <v>1516.4657958964276</v>
      </c>
      <c r="C9" s="11">
        <v>1741.1553147238617</v>
      </c>
      <c r="D9" s="11">
        <v>1814.2132888802114</v>
      </c>
      <c r="E9" s="11">
        <v>1977.1952508240422</v>
      </c>
      <c r="F9" s="11">
        <v>2142.3646973245973</v>
      </c>
      <c r="G9" s="11"/>
      <c r="H9" s="11">
        <f t="shared" ref="H9:H16" si="0">F9-D9</f>
        <v>328.15140844438588</v>
      </c>
      <c r="I9" s="11">
        <v>952.02165729104331</v>
      </c>
      <c r="J9" s="11">
        <f t="shared" ref="J9:J15" si="1">SUM(H9:I9)</f>
        <v>1280.1730657354292</v>
      </c>
      <c r="L9" s="10" t="str">
        <f>name!E5</f>
        <v>Professional occupations</v>
      </c>
      <c r="M9" s="11">
        <v>756.18922403047566</v>
      </c>
      <c r="N9" s="11">
        <v>877.97939264578622</v>
      </c>
      <c r="O9" s="11">
        <v>903.42270018517365</v>
      </c>
      <c r="P9" s="11">
        <v>989.152791543273</v>
      </c>
      <c r="Q9" s="11">
        <v>1067.4919278588557</v>
      </c>
      <c r="R9" s="11"/>
      <c r="S9" s="11">
        <f t="shared" ref="S9:S16" si="2">Q9-O9</f>
        <v>164.06922767368201</v>
      </c>
      <c r="T9" s="11">
        <v>394.66881885802513</v>
      </c>
      <c r="U9" s="11">
        <f t="shared" ref="U9:U12" si="3">SUM(S9:T9)</f>
        <v>558.73804653170714</v>
      </c>
      <c r="W9" s="10" t="str">
        <f>name!E5</f>
        <v>Professional occupations</v>
      </c>
      <c r="X9" s="11">
        <v>760.27657186595002</v>
      </c>
      <c r="Y9" s="11">
        <v>863.17592207807581</v>
      </c>
      <c r="Z9" s="11">
        <v>910.7905886950366</v>
      </c>
      <c r="AA9" s="11">
        <v>988.04245928076728</v>
      </c>
      <c r="AB9" s="11">
        <v>1074.8727694657446</v>
      </c>
      <c r="AC9" s="11"/>
      <c r="AD9" s="11">
        <f t="shared" ref="AD9:AD16" si="4">AB9-Z9</f>
        <v>164.08218077070796</v>
      </c>
      <c r="AE9" s="11">
        <v>557.35283843301829</v>
      </c>
      <c r="AF9" s="11">
        <f t="shared" ref="AF9:AF12" si="5">SUM(AD9:AE9)</f>
        <v>721.43501920372626</v>
      </c>
    </row>
    <row r="10" spans="1:32" x14ac:dyDescent="0.2">
      <c r="A10" t="str">
        <f>name!E6</f>
        <v>Associate professional occupations</v>
      </c>
      <c r="B10" s="11">
        <v>971.86115815232506</v>
      </c>
      <c r="C10" s="11">
        <v>1034.9176447412417</v>
      </c>
      <c r="D10" s="11">
        <v>1085.4779270290016</v>
      </c>
      <c r="E10" s="11">
        <v>1083.2466314386847</v>
      </c>
      <c r="F10" s="11">
        <v>1150.8686915396661</v>
      </c>
      <c r="G10" s="11"/>
      <c r="H10" s="11">
        <f t="shared" si="0"/>
        <v>65.39076451066444</v>
      </c>
      <c r="I10" s="11">
        <v>511.20917778603632</v>
      </c>
      <c r="J10" s="11">
        <f t="shared" si="1"/>
        <v>576.59994229670076</v>
      </c>
      <c r="L10" s="10" t="str">
        <f>name!E6</f>
        <v>Associate professional occupations</v>
      </c>
      <c r="M10" s="11">
        <v>529.6327051007878</v>
      </c>
      <c r="N10" s="11">
        <v>556.40777716611069</v>
      </c>
      <c r="O10" s="11">
        <v>578.67469373055383</v>
      </c>
      <c r="P10" s="11">
        <v>563.28585932403621</v>
      </c>
      <c r="Q10" s="11">
        <v>585.71623159924343</v>
      </c>
      <c r="R10" s="11"/>
      <c r="S10" s="11">
        <f t="shared" si="2"/>
        <v>7.041537868689602</v>
      </c>
      <c r="T10" s="11">
        <v>221.72633504368088</v>
      </c>
      <c r="U10" s="11">
        <f t="shared" si="3"/>
        <v>228.76787291237048</v>
      </c>
      <c r="W10" s="10" t="str">
        <f>name!E6</f>
        <v>Associate professional occupations</v>
      </c>
      <c r="X10" s="11">
        <v>442.2284530515376</v>
      </c>
      <c r="Y10" s="11">
        <v>478.50986757513181</v>
      </c>
      <c r="Z10" s="11">
        <v>506.80323329844975</v>
      </c>
      <c r="AA10" s="11">
        <v>519.9607721146491</v>
      </c>
      <c r="AB10" s="11">
        <v>565.15245994042243</v>
      </c>
      <c r="AC10" s="11"/>
      <c r="AD10" s="11">
        <f t="shared" si="4"/>
        <v>58.349226641972677</v>
      </c>
      <c r="AE10" s="11">
        <v>289.48284274235539</v>
      </c>
      <c r="AF10" s="11">
        <f t="shared" si="5"/>
        <v>347.83206938432807</v>
      </c>
    </row>
    <row r="11" spans="1:32" x14ac:dyDescent="0.2">
      <c r="A11" t="str">
        <f>name!E7</f>
        <v>Administrative and secretarial occupations</v>
      </c>
      <c r="B11" s="11">
        <v>501.70362823889116</v>
      </c>
      <c r="C11" s="11">
        <v>484.92988937825146</v>
      </c>
      <c r="D11" s="11">
        <v>492.35763075020748</v>
      </c>
      <c r="E11" s="11">
        <v>453.8553569293</v>
      </c>
      <c r="F11" s="11">
        <v>414.15179836218863</v>
      </c>
      <c r="G11" s="11"/>
      <c r="H11" s="11">
        <f t="shared" si="0"/>
        <v>-78.205832388018848</v>
      </c>
      <c r="I11" s="11">
        <v>230.24306610459652</v>
      </c>
      <c r="J11" s="11">
        <f t="shared" si="1"/>
        <v>152.03723371657767</v>
      </c>
      <c r="L11" s="10" t="str">
        <f>name!E7</f>
        <v>Administrative and secretarial occupations</v>
      </c>
      <c r="M11" s="11">
        <v>110.5420111911194</v>
      </c>
      <c r="N11" s="11">
        <v>106.79307719145844</v>
      </c>
      <c r="O11" s="11">
        <v>122.71077718645863</v>
      </c>
      <c r="P11" s="11">
        <v>113.68434019573446</v>
      </c>
      <c r="Q11" s="11">
        <v>115.83215301583786</v>
      </c>
      <c r="R11" s="11"/>
      <c r="S11" s="11">
        <f t="shared" si="2"/>
        <v>-6.8786241706207676</v>
      </c>
      <c r="T11" s="11">
        <v>42.75488119119256</v>
      </c>
      <c r="U11" s="11">
        <f t="shared" si="3"/>
        <v>35.876257020571792</v>
      </c>
      <c r="W11" s="10" t="str">
        <f>name!E7</f>
        <v>Administrative and secretarial occupations</v>
      </c>
      <c r="X11" s="11">
        <v>391.16161704777102</v>
      </c>
      <c r="Y11" s="11">
        <v>378.13681218679284</v>
      </c>
      <c r="Z11" s="11">
        <v>369.64685356374912</v>
      </c>
      <c r="AA11" s="11">
        <v>340.17101673356592</v>
      </c>
      <c r="AB11" s="11">
        <v>298.31964534635074</v>
      </c>
      <c r="AC11" s="11"/>
      <c r="AD11" s="11">
        <f t="shared" si="4"/>
        <v>-71.327208217398379</v>
      </c>
      <c r="AE11" s="11">
        <v>187.48818491340393</v>
      </c>
      <c r="AF11" s="11">
        <f t="shared" si="5"/>
        <v>116.16097669600555</v>
      </c>
    </row>
    <row r="12" spans="1:32" x14ac:dyDescent="0.2">
      <c r="A12" t="str">
        <f>name!E8</f>
        <v>Skilled trades occupations</v>
      </c>
      <c r="B12" s="11">
        <v>438.29484433198445</v>
      </c>
      <c r="C12" s="11">
        <v>424.38222625246044</v>
      </c>
      <c r="D12" s="11">
        <v>361.80344341909864</v>
      </c>
      <c r="E12" s="11">
        <v>389.33143485034384</v>
      </c>
      <c r="F12" s="11">
        <v>408.56497115717872</v>
      </c>
      <c r="G12" s="11"/>
      <c r="H12" s="11">
        <f t="shared" si="0"/>
        <v>46.761527738080076</v>
      </c>
      <c r="I12" s="11">
        <v>171.57386493680997</v>
      </c>
      <c r="J12" s="11">
        <f t="shared" si="1"/>
        <v>218.33539267489004</v>
      </c>
      <c r="L12" s="10" t="str">
        <f>name!E8</f>
        <v>Skilled trades occupations</v>
      </c>
      <c r="M12" s="11">
        <v>390.40454868286804</v>
      </c>
      <c r="N12" s="11">
        <v>373.71093352775637</v>
      </c>
      <c r="O12" s="11">
        <v>309.94433899286861</v>
      </c>
      <c r="P12" s="11">
        <v>328.79363508485119</v>
      </c>
      <c r="Q12" s="11">
        <v>341.30748659761446</v>
      </c>
      <c r="R12" s="11"/>
      <c r="S12" s="11">
        <f t="shared" si="2"/>
        <v>31.363147604745848</v>
      </c>
      <c r="T12" s="11">
        <v>134.06499104857474</v>
      </c>
      <c r="U12" s="11">
        <f t="shared" si="3"/>
        <v>165.42813865332059</v>
      </c>
      <c r="W12" s="10" t="str">
        <f>name!E8</f>
        <v>Skilled trades occupations</v>
      </c>
      <c r="X12" s="11">
        <v>47.890295649115942</v>
      </c>
      <c r="Y12" s="11">
        <v>50.671292724704436</v>
      </c>
      <c r="Z12" s="11">
        <v>51.859104426229806</v>
      </c>
      <c r="AA12" s="11">
        <v>60.537799765492593</v>
      </c>
      <c r="AB12" s="11">
        <v>67.257484559564347</v>
      </c>
      <c r="AC12" s="11"/>
      <c r="AD12" s="11">
        <f t="shared" si="4"/>
        <v>15.398380133334541</v>
      </c>
      <c r="AE12" s="11">
        <v>37.508873888235229</v>
      </c>
      <c r="AF12" s="11">
        <f t="shared" si="5"/>
        <v>52.90725402156977</v>
      </c>
    </row>
    <row r="13" spans="1:32" x14ac:dyDescent="0.2">
      <c r="A13" t="str">
        <f>name!E9</f>
        <v>Caring, leisure and other service occupations</v>
      </c>
      <c r="B13" s="11">
        <v>359.12796442293251</v>
      </c>
      <c r="C13" s="11">
        <v>380.19703695698433</v>
      </c>
      <c r="D13" s="11">
        <v>358.39420959597021</v>
      </c>
      <c r="E13" s="11">
        <v>384.84661935634091</v>
      </c>
      <c r="F13" s="11">
        <v>408.44811050129965</v>
      </c>
      <c r="G13" s="11"/>
      <c r="H13" s="11">
        <f t="shared" si="0"/>
        <v>50.053900905329442</v>
      </c>
      <c r="I13" s="11">
        <v>208.79971001300675</v>
      </c>
      <c r="J13" s="11">
        <f>SUM(H13:I13)</f>
        <v>258.85361091833619</v>
      </c>
      <c r="L13" s="10" t="str">
        <f>name!E9</f>
        <v>Caring, leisure and other service occupations</v>
      </c>
      <c r="M13" s="11">
        <v>96.308125695872519</v>
      </c>
      <c r="N13" s="11">
        <v>107.60895719952785</v>
      </c>
      <c r="O13" s="11">
        <v>104.7725821864985</v>
      </c>
      <c r="P13" s="11">
        <v>119.05120988005322</v>
      </c>
      <c r="Q13" s="11">
        <v>133.80695361316185</v>
      </c>
      <c r="R13" s="11"/>
      <c r="S13" s="11">
        <f t="shared" si="2"/>
        <v>29.034371426663355</v>
      </c>
      <c r="T13" s="11">
        <v>55.947977485046643</v>
      </c>
      <c r="U13" s="11">
        <f>SUM(S13:T13)</f>
        <v>84.982348911710005</v>
      </c>
      <c r="W13" s="10" t="str">
        <f>name!E9</f>
        <v>Caring, leisure and other service occupations</v>
      </c>
      <c r="X13" s="11">
        <v>262.81983872705973</v>
      </c>
      <c r="Y13" s="11">
        <v>272.588079757456</v>
      </c>
      <c r="Z13" s="11">
        <v>253.62162740947221</v>
      </c>
      <c r="AA13" s="11">
        <v>265.79540947628766</v>
      </c>
      <c r="AB13" s="11">
        <v>274.64115688813763</v>
      </c>
      <c r="AC13" s="11"/>
      <c r="AD13" s="11">
        <f t="shared" si="4"/>
        <v>21.019529478665419</v>
      </c>
      <c r="AE13" s="11">
        <v>152.85173252796014</v>
      </c>
      <c r="AF13" s="11">
        <f>SUM(AD13:AE13)</f>
        <v>173.87126200662556</v>
      </c>
    </row>
    <row r="14" spans="1:32" x14ac:dyDescent="0.2">
      <c r="A14" t="str">
        <f>name!E10</f>
        <v>Sales and customer service occupations</v>
      </c>
      <c r="B14" s="11">
        <v>395.77466112139808</v>
      </c>
      <c r="C14" s="11">
        <v>368.27398378397208</v>
      </c>
      <c r="D14" s="11">
        <v>362.02446825408657</v>
      </c>
      <c r="E14" s="11">
        <v>363.25597157186576</v>
      </c>
      <c r="F14" s="11">
        <v>361.43165928598194</v>
      </c>
      <c r="G14" s="11"/>
      <c r="H14" s="11">
        <f t="shared" si="0"/>
        <v>-0.59280896810463446</v>
      </c>
      <c r="I14" s="11">
        <v>165.06691001600782</v>
      </c>
      <c r="J14" s="11">
        <f t="shared" si="1"/>
        <v>164.47410104790319</v>
      </c>
      <c r="L14" s="10" t="str">
        <f>name!E10</f>
        <v>Sales and customer service occupations</v>
      </c>
      <c r="M14" s="11">
        <v>179.33936551369359</v>
      </c>
      <c r="N14" s="11">
        <v>169.5324232066246</v>
      </c>
      <c r="O14" s="11">
        <v>169.77144693898788</v>
      </c>
      <c r="P14" s="11">
        <v>172.1747317833152</v>
      </c>
      <c r="Q14" s="11">
        <v>175.72241960831383</v>
      </c>
      <c r="R14" s="11"/>
      <c r="S14" s="11">
        <f t="shared" si="2"/>
        <v>5.9509726693259495</v>
      </c>
      <c r="T14" s="11">
        <v>61.285310641766969</v>
      </c>
      <c r="U14" s="11">
        <f t="shared" ref="U14:U15" si="6">SUM(S14:T14)</f>
        <v>67.236283311092919</v>
      </c>
      <c r="W14" s="10" t="str">
        <f>name!E10</f>
        <v>Sales and customer service occupations</v>
      </c>
      <c r="X14" s="11">
        <v>216.43529560770494</v>
      </c>
      <c r="Y14" s="11">
        <v>198.74156057734749</v>
      </c>
      <c r="Z14" s="11">
        <v>192.25302131509835</v>
      </c>
      <c r="AA14" s="11">
        <v>191.08123978854991</v>
      </c>
      <c r="AB14" s="11">
        <v>185.70923967766805</v>
      </c>
      <c r="AC14" s="11"/>
      <c r="AD14" s="11">
        <f t="shared" si="4"/>
        <v>-6.5437816374302997</v>
      </c>
      <c r="AE14" s="11">
        <v>103.78159937424086</v>
      </c>
      <c r="AF14" s="11">
        <f t="shared" ref="AF14:AF15" si="7">SUM(AD14:AE14)</f>
        <v>97.237817736810555</v>
      </c>
    </row>
    <row r="15" spans="1:32" x14ac:dyDescent="0.2">
      <c r="A15" t="str">
        <f>name!E11</f>
        <v>Process, plant and machine operatives</v>
      </c>
      <c r="B15" s="11">
        <v>217.67127014853645</v>
      </c>
      <c r="C15" s="11">
        <v>240.37232361819181</v>
      </c>
      <c r="D15" s="11">
        <v>214.5516190587644</v>
      </c>
      <c r="E15" s="11">
        <v>242.99268893146032</v>
      </c>
      <c r="F15" s="11">
        <v>242.77253892268169</v>
      </c>
      <c r="G15" s="11"/>
      <c r="H15" s="11">
        <f t="shared" si="0"/>
        <v>28.220919863917288</v>
      </c>
      <c r="I15" s="11">
        <v>123.34920584545915</v>
      </c>
      <c r="J15" s="11">
        <f t="shared" si="1"/>
        <v>151.57012570937644</v>
      </c>
      <c r="L15" s="10" t="str">
        <f>name!E11</f>
        <v>Process, plant and machine operatives</v>
      </c>
      <c r="M15" s="11">
        <v>197.28982838335077</v>
      </c>
      <c r="N15" s="11">
        <v>221.4248508371775</v>
      </c>
      <c r="O15" s="11">
        <v>194.75488814430466</v>
      </c>
      <c r="P15" s="11">
        <v>215.04164607056171</v>
      </c>
      <c r="Q15" s="11">
        <v>211.12258687215513</v>
      </c>
      <c r="R15" s="11"/>
      <c r="S15" s="11">
        <f t="shared" si="2"/>
        <v>16.367698727850467</v>
      </c>
      <c r="T15" s="11">
        <v>107.36948087676183</v>
      </c>
      <c r="U15" s="11">
        <f t="shared" si="6"/>
        <v>123.73717960461229</v>
      </c>
      <c r="W15" s="10" t="str">
        <f>name!E11</f>
        <v>Process, plant and machine operatives</v>
      </c>
      <c r="X15" s="11">
        <v>20.381441765186374</v>
      </c>
      <c r="Y15" s="11">
        <v>18.947472781014362</v>
      </c>
      <c r="Z15" s="11">
        <v>19.796730914459786</v>
      </c>
      <c r="AA15" s="11">
        <v>27.951042860898369</v>
      </c>
      <c r="AB15" s="11">
        <v>31.649952050527208</v>
      </c>
      <c r="AC15" s="11"/>
      <c r="AD15" s="11">
        <f t="shared" si="4"/>
        <v>11.853221136067422</v>
      </c>
      <c r="AE15" s="11">
        <v>15.979724968697319</v>
      </c>
      <c r="AF15" s="11">
        <f t="shared" si="7"/>
        <v>27.832946104764741</v>
      </c>
    </row>
    <row r="16" spans="1:32" x14ac:dyDescent="0.2">
      <c r="A16" t="str">
        <f>name!E12</f>
        <v>Elementary occupations</v>
      </c>
      <c r="B16" s="11">
        <v>546.19468567762976</v>
      </c>
      <c r="C16" s="11">
        <v>571.01765515963768</v>
      </c>
      <c r="D16" s="11">
        <v>523.48518063303334</v>
      </c>
      <c r="E16" s="11">
        <v>530.48341979566965</v>
      </c>
      <c r="F16" s="11">
        <v>526.70577292722078</v>
      </c>
      <c r="G16" s="11"/>
      <c r="H16" s="11">
        <f t="shared" si="0"/>
        <v>3.2205922941874405</v>
      </c>
      <c r="I16" s="11">
        <v>265.96636553878017</v>
      </c>
      <c r="J16" s="11">
        <f>SUM(H16:I16)</f>
        <v>269.18695783296761</v>
      </c>
      <c r="L16" s="10" t="str">
        <f>name!E12</f>
        <v>Elementary occupations</v>
      </c>
      <c r="M16" s="11">
        <v>282.44934950682398</v>
      </c>
      <c r="N16" s="11">
        <v>286.61071737737655</v>
      </c>
      <c r="O16" s="11">
        <v>273.22807673175362</v>
      </c>
      <c r="P16" s="11">
        <v>281.83556476411195</v>
      </c>
      <c r="Q16" s="11">
        <v>276.8313836810641</v>
      </c>
      <c r="R16" s="11"/>
      <c r="S16" s="11">
        <f t="shared" si="2"/>
        <v>3.603306949310479</v>
      </c>
      <c r="T16" s="11">
        <v>116.93252721078672</v>
      </c>
      <c r="U16" s="11">
        <f>SUM(S16:T16)</f>
        <v>120.5358341600972</v>
      </c>
      <c r="W16" s="10" t="str">
        <f>name!E12</f>
        <v>Elementary occupations</v>
      </c>
      <c r="X16" s="11">
        <v>263.74533617080692</v>
      </c>
      <c r="Y16" s="11">
        <v>284.40693778226034</v>
      </c>
      <c r="Z16" s="11">
        <v>250.25710390128009</v>
      </c>
      <c r="AA16" s="11">
        <v>248.64785503155784</v>
      </c>
      <c r="AB16" s="11">
        <v>249.87438924615637</v>
      </c>
      <c r="AC16" s="11"/>
      <c r="AD16" s="11">
        <f t="shared" si="4"/>
        <v>-0.3827146551237206</v>
      </c>
      <c r="AE16" s="11">
        <v>149.03383832799346</v>
      </c>
      <c r="AF16" s="11">
        <f>SUM(AD16:AE16)</f>
        <v>148.65112367286974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3" t="str">
        <f>name!E3</f>
        <v>All occupations</v>
      </c>
      <c r="B18" s="33">
        <f>SUM(B8:B16)</f>
        <v>5573.5560000041069</v>
      </c>
      <c r="C18" s="33">
        <f>SUM(C8:C16)</f>
        <v>5970.116999998264</v>
      </c>
      <c r="D18" s="33">
        <f>SUM(D8:D16)</f>
        <v>5937.3810000053281</v>
      </c>
      <c r="E18" s="33">
        <f>SUM(E8:E16)</f>
        <v>6179.2980000106991</v>
      </c>
      <c r="F18" s="33">
        <f>SUM(F8:F16)</f>
        <v>6480.7350000074621</v>
      </c>
      <c r="G18" s="11"/>
      <c r="H18" s="33">
        <f>SUM(H8:H16)</f>
        <v>543.35400000213201</v>
      </c>
      <c r="I18" s="33">
        <f>SUM(I8:I16)</f>
        <v>3041.9044622283946</v>
      </c>
      <c r="J18" s="33">
        <f>SUM(H18:I18)</f>
        <v>3585.2584622305267</v>
      </c>
      <c r="L18" s="231" t="str">
        <f>name!E3</f>
        <v>All occupations</v>
      </c>
      <c r="M18" s="33">
        <f>SUM(M8:M16)</f>
        <v>2948.9900000042376</v>
      </c>
      <c r="N18" s="33">
        <f>SUM(N8:N16)</f>
        <v>3162.1329999996051</v>
      </c>
      <c r="O18" s="33">
        <f>SUM(O8:O16)</f>
        <v>3113.2300000080058</v>
      </c>
      <c r="P18" s="33">
        <f>SUM(P8:P16)</f>
        <v>3248.7290000113176</v>
      </c>
      <c r="Q18" s="33">
        <f>SUM(Q8:Q16)</f>
        <v>3406.6080000084894</v>
      </c>
      <c r="R18" s="11"/>
      <c r="S18" s="33">
        <f>SUM(S8:S16)</f>
        <v>293.3780000004835</v>
      </c>
      <c r="T18" s="33">
        <f>SUM(T8:T16)</f>
        <v>1368.0411109276006</v>
      </c>
      <c r="U18" s="33">
        <f>SUM(S18:T18)</f>
        <v>1661.4191109280841</v>
      </c>
      <c r="W18" s="231" t="str">
        <f>name!E3</f>
        <v>All occupations</v>
      </c>
      <c r="X18" s="33">
        <f>SUM(X8:X16)</f>
        <v>2624.5659999998697</v>
      </c>
      <c r="Y18" s="33">
        <f>SUM(Y8:Y16)</f>
        <v>2807.9839999986584</v>
      </c>
      <c r="Z18" s="33">
        <f>SUM(Z8:Z16)</f>
        <v>2824.1509999973246</v>
      </c>
      <c r="AA18" s="33">
        <f>SUM(AA8:AA16)</f>
        <v>2930.568999999382</v>
      </c>
      <c r="AB18" s="33">
        <f>SUM(AB8:AB16)</f>
        <v>3074.126999998974</v>
      </c>
      <c r="AC18" s="11"/>
      <c r="AD18" s="33">
        <f>SUM(AD8:AD16)</f>
        <v>249.97600000164982</v>
      </c>
      <c r="AE18" s="33">
        <f>SUM(AE8:AE16)</f>
        <v>1673.8633513007937</v>
      </c>
      <c r="AF18" s="33">
        <f>SUM(AD18:AE18)</f>
        <v>1923.8393513024434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5" t="s">
        <v>34</v>
      </c>
      <c r="G21" s="11"/>
      <c r="J21" s="15" t="s">
        <v>34</v>
      </c>
      <c r="M21" s="11"/>
      <c r="N21" s="11"/>
      <c r="O21" s="11"/>
      <c r="P21" s="11"/>
      <c r="Q21" s="15" t="s">
        <v>34</v>
      </c>
      <c r="R21" s="11"/>
      <c r="U21" s="15" t="s">
        <v>34</v>
      </c>
      <c r="X21" s="11"/>
      <c r="Y21" s="11"/>
      <c r="Z21" s="11"/>
      <c r="AA21" s="11"/>
      <c r="AB21" s="15" t="s">
        <v>34</v>
      </c>
      <c r="AC21" s="11"/>
      <c r="AF21" s="15" t="s">
        <v>34</v>
      </c>
    </row>
    <row r="22" spans="1:32" x14ac:dyDescent="0.2">
      <c r="A22" s="35"/>
      <c r="B22" s="64"/>
      <c r="C22" s="64"/>
      <c r="D22" s="64"/>
      <c r="E22" s="64"/>
      <c r="F22" s="64"/>
      <c r="G22" s="11"/>
      <c r="H22" s="27" t="str">
        <f>H4</f>
        <v>2020-2035</v>
      </c>
      <c r="I22" s="35"/>
      <c r="J22" s="35"/>
      <c r="L22" s="35"/>
      <c r="M22" s="64"/>
      <c r="N22" s="64"/>
      <c r="O22" s="64"/>
      <c r="P22" s="64"/>
      <c r="Q22" s="64"/>
      <c r="R22" s="11"/>
      <c r="S22" s="27" t="str">
        <f>S4</f>
        <v>2020-2035</v>
      </c>
      <c r="T22" s="35"/>
      <c r="U22" s="35"/>
      <c r="W22" s="35"/>
      <c r="X22" s="64"/>
      <c r="Y22" s="64"/>
      <c r="Z22" s="64"/>
      <c r="AA22" s="64"/>
      <c r="AB22" s="64"/>
      <c r="AC22" s="11"/>
      <c r="AD22" s="27" t="str">
        <f>AD4</f>
        <v>2020-2035</v>
      </c>
      <c r="AE22" s="35"/>
      <c r="AF22" s="35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0" t="s">
        <v>463</v>
      </c>
      <c r="B24" s="34">
        <f>B$6</f>
        <v>2015</v>
      </c>
      <c r="C24" s="34">
        <f>C$6</f>
        <v>2019</v>
      </c>
      <c r="D24" s="34">
        <f>D$6</f>
        <v>2020</v>
      </c>
      <c r="E24" s="34">
        <f>E$6</f>
        <v>2025</v>
      </c>
      <c r="F24" s="34">
        <f>F$6</f>
        <v>2035</v>
      </c>
      <c r="G24" s="11"/>
      <c r="H24" s="23" t="str">
        <f>H6</f>
        <v>Change</v>
      </c>
      <c r="I24" s="23" t="str">
        <f>I6</f>
        <v>Demand</v>
      </c>
      <c r="J24" s="23" t="str">
        <f>J6</f>
        <v>Requirement</v>
      </c>
      <c r="L24" s="40" t="s">
        <v>463</v>
      </c>
      <c r="M24" s="34">
        <f>M$6</f>
        <v>2015</v>
      </c>
      <c r="N24" s="34">
        <f>N$6</f>
        <v>2019</v>
      </c>
      <c r="O24" s="34">
        <f>O$6</f>
        <v>2020</v>
      </c>
      <c r="P24" s="34">
        <f>P$6</f>
        <v>2025</v>
      </c>
      <c r="Q24" s="34">
        <f>Q$6</f>
        <v>2035</v>
      </c>
      <c r="R24" s="11"/>
      <c r="S24" s="23" t="str">
        <f>S6</f>
        <v>Change</v>
      </c>
      <c r="T24" s="23" t="str">
        <f>T6</f>
        <v>Demand</v>
      </c>
      <c r="U24" s="23" t="str">
        <f>U6</f>
        <v>Requirement</v>
      </c>
      <c r="W24" s="40" t="s">
        <v>463</v>
      </c>
      <c r="X24" s="34">
        <f>X$6</f>
        <v>2015</v>
      </c>
      <c r="Y24" s="34">
        <f>Y$6</f>
        <v>2019</v>
      </c>
      <c r="Z24" s="34">
        <f>Z$6</f>
        <v>2020</v>
      </c>
      <c r="AA24" s="34">
        <f>AA$6</f>
        <v>2025</v>
      </c>
      <c r="AB24" s="34">
        <f>AB$6</f>
        <v>2035</v>
      </c>
      <c r="AC24" s="11"/>
      <c r="AD24" s="23" t="str">
        <f>AD6</f>
        <v>Change</v>
      </c>
      <c r="AE24" s="23" t="str">
        <f>AE6</f>
        <v>Demand</v>
      </c>
      <c r="AF24" s="23" t="str">
        <f>AF6</f>
        <v>Requirement</v>
      </c>
    </row>
    <row r="25" spans="1:32" x14ac:dyDescent="0.2">
      <c r="A25" s="1"/>
      <c r="B25" s="16"/>
      <c r="C25" s="16"/>
      <c r="D25" s="16"/>
      <c r="E25" s="16"/>
      <c r="F25" s="16"/>
      <c r="G25" s="11"/>
      <c r="L25" s="1"/>
      <c r="M25" s="16"/>
      <c r="N25" s="16"/>
      <c r="O25" s="16"/>
      <c r="P25" s="16"/>
      <c r="Q25" s="16"/>
      <c r="R25" s="11"/>
      <c r="W25" s="1"/>
      <c r="X25" s="16"/>
      <c r="Y25" s="16"/>
      <c r="Z25" s="16"/>
      <c r="AA25" s="16"/>
      <c r="AB25" s="16"/>
      <c r="AC25" s="11"/>
    </row>
    <row r="26" spans="1:32" x14ac:dyDescent="0.2">
      <c r="A26" t="str">
        <f>$A$8</f>
        <v>Managers, directors and senior officials</v>
      </c>
      <c r="B26" s="17">
        <f t="shared" ref="B26:F34" si="8">B8/B$18*100</f>
        <v>11.239897688540673</v>
      </c>
      <c r="C26" s="17">
        <f t="shared" si="8"/>
        <v>12.141653595463412</v>
      </c>
      <c r="D26" s="17">
        <f t="shared" si="8"/>
        <v>12.212004457593407</v>
      </c>
      <c r="E26" s="17">
        <f t="shared" si="8"/>
        <v>12.203499917169976</v>
      </c>
      <c r="F26" s="17">
        <f t="shared" si="8"/>
        <v>12.736622620515964</v>
      </c>
      <c r="G26" s="11"/>
      <c r="H26" s="39">
        <f>IF(D8&gt;0,(H8/D8)*100,0)</f>
        <v>13.840467847861671</v>
      </c>
      <c r="I26" s="39">
        <f>IF(D8&gt;0,(I8/D8)*100,0)</f>
        <v>57.052789459068975</v>
      </c>
      <c r="J26" s="39">
        <f>IF(D8&gt;0,(J8/D8)*100,0)</f>
        <v>70.89325730693065</v>
      </c>
      <c r="L26" t="str">
        <f>$A$8</f>
        <v>Managers, directors and senior officials</v>
      </c>
      <c r="M26" s="17">
        <f t="shared" ref="M26:Q26" si="9">M8/M$18*100</f>
        <v>13.795734875284785</v>
      </c>
      <c r="N26" s="17">
        <f t="shared" si="9"/>
        <v>14.612442640706266</v>
      </c>
      <c r="O26" s="17">
        <f t="shared" si="9"/>
        <v>14.645576970228152</v>
      </c>
      <c r="P26" s="17">
        <f t="shared" si="9"/>
        <v>14.335120638371441</v>
      </c>
      <c r="Q26" s="17">
        <f t="shared" si="9"/>
        <v>14.641451471992081</v>
      </c>
      <c r="R26" s="11"/>
      <c r="S26" s="39">
        <f>IF(O8&gt;0,(S8/O8)*100,0)</f>
        <v>9.3927655819806244</v>
      </c>
      <c r="T26" s="39">
        <f>IF(O8&gt;0,(T8/O8)*100,0)</f>
        <v>51.16581529436359</v>
      </c>
      <c r="U26" s="39">
        <f>IF(O8&gt;0,(U8/O8)*100,0)</f>
        <v>60.558580876344216</v>
      </c>
      <c r="W26" t="str">
        <f>$A$8</f>
        <v>Managers, directors and senior officials</v>
      </c>
      <c r="X26" s="17">
        <f t="shared" ref="X26:AB26" si="10">X8/X$18*100</f>
        <v>8.3681321069749313</v>
      </c>
      <c r="Y26" s="17">
        <f t="shared" si="10"/>
        <v>9.3592433053749868</v>
      </c>
      <c r="Z26" s="17">
        <f t="shared" si="10"/>
        <v>9.5293324072899619</v>
      </c>
      <c r="AA26" s="17">
        <f t="shared" si="10"/>
        <v>9.8404577727968228</v>
      </c>
      <c r="AB26" s="17">
        <f t="shared" si="10"/>
        <v>10.625777751684032</v>
      </c>
      <c r="AC26" s="11"/>
      <c r="AD26" s="39">
        <f>IF(Z8&gt;0,(AD8/Z8)*100,0)</f>
        <v>21.375810570545536</v>
      </c>
      <c r="AE26" s="39">
        <f>IF(Z8&gt;0,(AE8/Z8)*100,0)</f>
        <v>67.026561370677285</v>
      </c>
      <c r="AF26" s="39">
        <f>IF(Z8&gt;0,(AF8/Z8)*100,0)</f>
        <v>88.402371941222825</v>
      </c>
    </row>
    <row r="27" spans="1:32" x14ac:dyDescent="0.2">
      <c r="A27" t="str">
        <f>$A$9</f>
        <v>Professional occupations</v>
      </c>
      <c r="B27" s="17">
        <f t="shared" si="8"/>
        <v>27.208227492382065</v>
      </c>
      <c r="C27" s="17">
        <f t="shared" si="8"/>
        <v>29.164509082893485</v>
      </c>
      <c r="D27" s="17">
        <f t="shared" si="8"/>
        <v>30.55578358334396</v>
      </c>
      <c r="E27" s="17">
        <f t="shared" si="8"/>
        <v>31.997085280894673</v>
      </c>
      <c r="F27" s="17">
        <f t="shared" si="8"/>
        <v>33.057434030586506</v>
      </c>
      <c r="G27" s="11"/>
      <c r="H27" s="39">
        <f>IF(D9&gt;0,(H9/D9)*100,0)</f>
        <v>18.087807561311113</v>
      </c>
      <c r="I27" s="39">
        <f t="shared" ref="I27:I36" si="11">IF(D9&gt;0,(I9/D9)*100,0)</f>
        <v>52.47572945949814</v>
      </c>
      <c r="J27" s="39">
        <f t="shared" ref="J27:J36" si="12">IF(D9&gt;0,(J9/D9)*100,0)</f>
        <v>70.563537020809264</v>
      </c>
      <c r="L27" t="str">
        <f>$A$9</f>
        <v>Professional occupations</v>
      </c>
      <c r="M27" s="17">
        <f t="shared" ref="M27:Q27" si="13">M9/M$18*100</f>
        <v>25.642312250275147</v>
      </c>
      <c r="N27" s="17">
        <f t="shared" si="13"/>
        <v>27.765416339094401</v>
      </c>
      <c r="O27" s="17">
        <f t="shared" si="13"/>
        <v>29.01882290042337</v>
      </c>
      <c r="P27" s="17">
        <f t="shared" si="13"/>
        <v>30.447377775734054</v>
      </c>
      <c r="Q27" s="17">
        <f t="shared" si="13"/>
        <v>31.335919127067026</v>
      </c>
      <c r="R27" s="11"/>
      <c r="S27" s="39">
        <f t="shared" ref="S27:S34" si="14">IF(O9&gt;0,(S9/O9)*100,0)</f>
        <v>18.160848475475866</v>
      </c>
      <c r="T27" s="39">
        <f t="shared" ref="T27:T34" si="15">IF(O9&gt;0,(T9/O9)*100,0)</f>
        <v>43.685953294856354</v>
      </c>
      <c r="U27" s="39">
        <f t="shared" ref="U27:U34" si="16">IF(O9&gt;0,(U9/O9)*100,0)</f>
        <v>61.846801770332227</v>
      </c>
      <c r="W27" t="str">
        <f>$A$9</f>
        <v>Professional occupations</v>
      </c>
      <c r="X27" s="17">
        <f t="shared" ref="X27:AB27" si="17">X9/X$18*100</f>
        <v>28.967706350916217</v>
      </c>
      <c r="Y27" s="17">
        <f t="shared" si="17"/>
        <v>30.740058421931472</v>
      </c>
      <c r="Z27" s="17">
        <f t="shared" si="17"/>
        <v>32.250066965112687</v>
      </c>
      <c r="AA27" s="17">
        <f t="shared" si="17"/>
        <v>33.715038249601889</v>
      </c>
      <c r="AB27" s="17">
        <f t="shared" si="17"/>
        <v>34.965138703316526</v>
      </c>
      <c r="AC27" s="11"/>
      <c r="AD27" s="39">
        <f t="shared" ref="AD27:AD34" si="18">IF(Z9&gt;0,(AD9/Z9)*100,0)</f>
        <v>18.015357515474747</v>
      </c>
      <c r="AE27" s="39">
        <f t="shared" ref="AE27:AE34" si="19">IF(Z9&gt;0,(AE9/Z9)*100,0)</f>
        <v>61.194400266210792</v>
      </c>
      <c r="AF27" s="39">
        <f t="shared" ref="AF27:AF34" si="20">IF(Z9&gt;0,(AF9/Z9)*100,0)</f>
        <v>79.209757781685525</v>
      </c>
    </row>
    <row r="28" spans="1:32" x14ac:dyDescent="0.2">
      <c r="A28" t="str">
        <f>$A$10</f>
        <v>Associate professional occupations</v>
      </c>
      <c r="B28" s="17">
        <f t="shared" si="8"/>
        <v>17.437003560233517</v>
      </c>
      <c r="C28" s="17">
        <f t="shared" si="8"/>
        <v>17.334964201564937</v>
      </c>
      <c r="D28" s="17">
        <f t="shared" si="8"/>
        <v>18.282099919611486</v>
      </c>
      <c r="E28" s="17">
        <f t="shared" si="8"/>
        <v>17.530253945299439</v>
      </c>
      <c r="F28" s="17">
        <f t="shared" si="8"/>
        <v>17.758305061668793</v>
      </c>
      <c r="G28" s="11"/>
      <c r="H28" s="39">
        <f t="shared" ref="H28:H34" si="21">IF(D10&gt;0,(H10/D10)*100,0)</f>
        <v>6.0241450224272812</v>
      </c>
      <c r="I28" s="39">
        <f t="shared" si="11"/>
        <v>47.095308440332559</v>
      </c>
      <c r="J28" s="39">
        <f t="shared" si="12"/>
        <v>53.11945346275985</v>
      </c>
      <c r="L28" t="str">
        <f>$A$10</f>
        <v>Associate professional occupations</v>
      </c>
      <c r="M28" s="17">
        <f t="shared" ref="M28:Q28" si="22">M10/M$18*100</f>
        <v>17.959799968803786</v>
      </c>
      <c r="N28" s="17">
        <f t="shared" si="22"/>
        <v>17.595963774015203</v>
      </c>
      <c r="O28" s="17">
        <f t="shared" si="22"/>
        <v>18.587598530435134</v>
      </c>
      <c r="P28" s="17">
        <f t="shared" si="22"/>
        <v>17.33865334172453</v>
      </c>
      <c r="Q28" s="17">
        <f t="shared" si="22"/>
        <v>17.193531853321069</v>
      </c>
      <c r="R28" s="11"/>
      <c r="S28" s="39">
        <f t="shared" si="14"/>
        <v>1.2168387429031635</v>
      </c>
      <c r="T28" s="39">
        <f t="shared" si="15"/>
        <v>38.316231458865637</v>
      </c>
      <c r="U28" s="39">
        <f t="shared" si="16"/>
        <v>39.533070201768808</v>
      </c>
      <c r="W28" t="str">
        <f>$A$10</f>
        <v>Associate professional occupations</v>
      </c>
      <c r="X28" s="17">
        <f t="shared" ref="X28:AB28" si="23">X10/X$18*100</f>
        <v>16.849584009377534</v>
      </c>
      <c r="Y28" s="17">
        <f t="shared" si="23"/>
        <v>17.041046799958988</v>
      </c>
      <c r="Z28" s="17">
        <f t="shared" si="23"/>
        <v>17.945330589580013</v>
      </c>
      <c r="AA28" s="17">
        <f t="shared" si="23"/>
        <v>17.742655849930809</v>
      </c>
      <c r="AB28" s="17">
        <f t="shared" si="23"/>
        <v>18.384161094860787</v>
      </c>
      <c r="AC28" s="11"/>
      <c r="AD28" s="39">
        <f t="shared" si="18"/>
        <v>11.513191473190856</v>
      </c>
      <c r="AE28" s="39">
        <f t="shared" si="19"/>
        <v>57.119375671362924</v>
      </c>
      <c r="AF28" s="39">
        <f t="shared" si="20"/>
        <v>68.632567144553775</v>
      </c>
    </row>
    <row r="29" spans="1:32" x14ac:dyDescent="0.2">
      <c r="A29" t="str">
        <f>$A$11</f>
        <v>Administrative and secretarial occupations</v>
      </c>
      <c r="B29" s="17">
        <f t="shared" si="8"/>
        <v>9.0014997290512824</v>
      </c>
      <c r="C29" s="17">
        <f t="shared" si="8"/>
        <v>8.1226195295400814</v>
      </c>
      <c r="D29" s="17">
        <f t="shared" si="8"/>
        <v>8.2925052434695647</v>
      </c>
      <c r="E29" s="17">
        <f t="shared" si="8"/>
        <v>7.3447721234437022</v>
      </c>
      <c r="F29" s="17">
        <f t="shared" si="8"/>
        <v>6.3905066070702139</v>
      </c>
      <c r="G29" s="11"/>
      <c r="H29" s="39">
        <f t="shared" si="21"/>
        <v>-15.883948476406525</v>
      </c>
      <c r="I29" s="39">
        <f t="shared" si="11"/>
        <v>46.763379244021088</v>
      </c>
      <c r="J29" s="39">
        <f t="shared" si="12"/>
        <v>30.879430767614561</v>
      </c>
      <c r="L29" t="str">
        <f>$A$11</f>
        <v>Administrative and secretarial occupations</v>
      </c>
      <c r="M29" s="17">
        <f t="shared" ref="M29:Q29" si="24">M11/M$18*100</f>
        <v>3.7484701945737546</v>
      </c>
      <c r="N29" s="17">
        <f t="shared" si="24"/>
        <v>3.3772481167449873</v>
      </c>
      <c r="O29" s="17">
        <f t="shared" si="24"/>
        <v>3.9415904763266147</v>
      </c>
      <c r="P29" s="17">
        <f t="shared" si="24"/>
        <v>3.4993482126498829</v>
      </c>
      <c r="Q29" s="17">
        <f t="shared" si="24"/>
        <v>3.4002196030640799</v>
      </c>
      <c r="R29" s="11"/>
      <c r="S29" s="39">
        <f t="shared" si="14"/>
        <v>-5.605558312265206</v>
      </c>
      <c r="T29" s="39">
        <f t="shared" si="15"/>
        <v>34.841993646757416</v>
      </c>
      <c r="U29" s="39">
        <f t="shared" si="16"/>
        <v>29.236435334492207</v>
      </c>
      <c r="W29" t="str">
        <f>$A$11</f>
        <v>Administrative and secretarial occupations</v>
      </c>
      <c r="X29" s="17">
        <f t="shared" ref="X29:AB29" si="25">X11/X$18*100</f>
        <v>14.903859039848511</v>
      </c>
      <c r="Y29" s="17">
        <f t="shared" si="25"/>
        <v>13.466487422541352</v>
      </c>
      <c r="Z29" s="17">
        <f t="shared" si="25"/>
        <v>13.088777957131162</v>
      </c>
      <c r="AA29" s="17">
        <f t="shared" si="25"/>
        <v>11.607678124406478</v>
      </c>
      <c r="AB29" s="17">
        <f t="shared" si="25"/>
        <v>9.7042069292013728</v>
      </c>
      <c r="AC29" s="11"/>
      <c r="AD29" s="39">
        <f t="shared" si="18"/>
        <v>-19.296040945495921</v>
      </c>
      <c r="AE29" s="39">
        <f t="shared" si="19"/>
        <v>50.720892956571539</v>
      </c>
      <c r="AF29" s="39">
        <f t="shared" si="20"/>
        <v>31.424852011075615</v>
      </c>
    </row>
    <row r="30" spans="1:32" x14ac:dyDescent="0.2">
      <c r="A30" t="str">
        <f>$A$12</f>
        <v>Skilled trades occupations</v>
      </c>
      <c r="B30" s="17">
        <f t="shared" si="8"/>
        <v>7.8638277668989325</v>
      </c>
      <c r="C30" s="17">
        <f t="shared" si="8"/>
        <v>7.1084406930816231</v>
      </c>
      <c r="D30" s="17">
        <f t="shared" si="8"/>
        <v>6.0936538082830456</v>
      </c>
      <c r="E30" s="17">
        <f t="shared" si="8"/>
        <v>6.3005771019567227</v>
      </c>
      <c r="F30" s="17">
        <f t="shared" si="8"/>
        <v>6.3042999159309598</v>
      </c>
      <c r="G30" s="11"/>
      <c r="H30" s="39">
        <f t="shared" si="21"/>
        <v>12.924566802398669</v>
      </c>
      <c r="I30" s="39">
        <f t="shared" si="11"/>
        <v>47.421844113867557</v>
      </c>
      <c r="J30" s="39">
        <f t="shared" si="12"/>
        <v>60.346410916266223</v>
      </c>
      <c r="L30" t="str">
        <f>$A$12</f>
        <v>Skilled trades occupations</v>
      </c>
      <c r="M30" s="17">
        <f t="shared" ref="M30:Q30" si="26">M12/M$18*100</f>
        <v>13.238585030207192</v>
      </c>
      <c r="N30" s="17">
        <f t="shared" si="26"/>
        <v>11.81831800015379</v>
      </c>
      <c r="O30" s="17">
        <f t="shared" si="26"/>
        <v>9.9557160567022525</v>
      </c>
      <c r="P30" s="17">
        <f t="shared" si="26"/>
        <v>10.120685199772151</v>
      </c>
      <c r="Q30" s="17">
        <f t="shared" si="26"/>
        <v>10.018983299421709</v>
      </c>
      <c r="R30" s="11"/>
      <c r="S30" s="39">
        <f t="shared" si="14"/>
        <v>10.118961264676454</v>
      </c>
      <c r="T30" s="39">
        <f t="shared" si="15"/>
        <v>43.254537729001527</v>
      </c>
      <c r="U30" s="39">
        <f t="shared" si="16"/>
        <v>53.373498993677984</v>
      </c>
      <c r="W30" t="str">
        <f>$A$12</f>
        <v>Skilled trades occupations</v>
      </c>
      <c r="X30" s="17">
        <f t="shared" ref="X30:AB30" si="27">X12/X$18*100</f>
        <v>1.8246938979289651</v>
      </c>
      <c r="Y30" s="17">
        <f t="shared" si="27"/>
        <v>1.804543498991755</v>
      </c>
      <c r="Z30" s="17">
        <f t="shared" si="27"/>
        <v>1.8362723673868337</v>
      </c>
      <c r="AA30" s="17">
        <f t="shared" si="27"/>
        <v>2.0657353491934627</v>
      </c>
      <c r="AB30" s="17">
        <f t="shared" si="27"/>
        <v>2.1878564080009313</v>
      </c>
      <c r="AC30" s="11"/>
      <c r="AD30" s="39">
        <f t="shared" si="18"/>
        <v>29.692722818302659</v>
      </c>
      <c r="AE30" s="39">
        <f t="shared" si="19"/>
        <v>72.328425843897961</v>
      </c>
      <c r="AF30" s="39">
        <f t="shared" si="20"/>
        <v>102.02114866220062</v>
      </c>
    </row>
    <row r="31" spans="1:32" x14ac:dyDescent="0.2">
      <c r="A31" t="str">
        <f>$A$13</f>
        <v>Caring, leisure and other service occupations</v>
      </c>
      <c r="B31" s="17">
        <f t="shared" si="8"/>
        <v>6.4434261434292193</v>
      </c>
      <c r="C31" s="17">
        <f t="shared" si="8"/>
        <v>6.3683347739599565</v>
      </c>
      <c r="D31" s="17">
        <f t="shared" si="8"/>
        <v>6.0362339825530587</v>
      </c>
      <c r="E31" s="17">
        <f t="shared" si="8"/>
        <v>6.2279990276512729</v>
      </c>
      <c r="F31" s="17">
        <f t="shared" si="8"/>
        <v>6.3024967152773463</v>
      </c>
      <c r="G31" s="11"/>
      <c r="H31" s="39">
        <f t="shared" si="21"/>
        <v>13.966157813140139</v>
      </c>
      <c r="I31" s="39">
        <f t="shared" si="11"/>
        <v>58.259788920248923</v>
      </c>
      <c r="J31" s="39">
        <f t="shared" si="12"/>
        <v>72.225946733389051</v>
      </c>
      <c r="L31" t="str">
        <f>$A$13</f>
        <v>Caring, leisure and other service occupations</v>
      </c>
      <c r="M31" s="17">
        <f t="shared" ref="M31:Q31" si="28">M13/M$18*100</f>
        <v>3.2658003484492699</v>
      </c>
      <c r="N31" s="17">
        <f t="shared" si="28"/>
        <v>3.403049688281337</v>
      </c>
      <c r="O31" s="17">
        <f t="shared" si="28"/>
        <v>3.3653980652322208</v>
      </c>
      <c r="P31" s="17">
        <f t="shared" si="28"/>
        <v>3.6645472700135495</v>
      </c>
      <c r="Q31" s="17">
        <f t="shared" si="28"/>
        <v>3.9278647150722477</v>
      </c>
      <c r="R31" s="11"/>
      <c r="S31" s="39">
        <f t="shared" si="14"/>
        <v>27.711802859818096</v>
      </c>
      <c r="T31" s="39">
        <f t="shared" si="15"/>
        <v>53.399445081402575</v>
      </c>
      <c r="U31" s="39">
        <f t="shared" si="16"/>
        <v>81.111247941220682</v>
      </c>
      <c r="W31" t="str">
        <f>$A$13</f>
        <v>Caring, leisure and other service occupations</v>
      </c>
      <c r="X31" s="17">
        <f t="shared" ref="X31:AB31" si="29">X13/X$18*100</f>
        <v>10.013839953998977</v>
      </c>
      <c r="Y31" s="17">
        <f t="shared" si="29"/>
        <v>9.7076080119255028</v>
      </c>
      <c r="Z31" s="17">
        <f t="shared" si="29"/>
        <v>8.9804556275394791</v>
      </c>
      <c r="AA31" s="17">
        <f t="shared" si="29"/>
        <v>9.0697543540637913</v>
      </c>
      <c r="AB31" s="17">
        <f t="shared" si="29"/>
        <v>8.9339561081318148</v>
      </c>
      <c r="AC31" s="11"/>
      <c r="AD31" s="39">
        <f t="shared" si="18"/>
        <v>8.2877512037762369</v>
      </c>
      <c r="AE31" s="39">
        <f t="shared" si="19"/>
        <v>60.267625473903678</v>
      </c>
      <c r="AF31" s="39">
        <f t="shared" si="20"/>
        <v>68.555376677679916</v>
      </c>
    </row>
    <row r="32" spans="1:32" x14ac:dyDescent="0.2">
      <c r="A32" t="str">
        <f>$A$14</f>
        <v>Sales and customer service occupations</v>
      </c>
      <c r="B32" s="17">
        <f t="shared" si="8"/>
        <v>7.1009362984978788</v>
      </c>
      <c r="C32" s="17">
        <f t="shared" si="8"/>
        <v>6.1686225543666762</v>
      </c>
      <c r="D32" s="17">
        <f t="shared" si="8"/>
        <v>6.0973764064283849</v>
      </c>
      <c r="E32" s="17">
        <f t="shared" si="8"/>
        <v>5.8785961054352258</v>
      </c>
      <c r="F32" s="17">
        <f t="shared" si="8"/>
        <v>5.5770164847901631</v>
      </c>
      <c r="H32" s="39">
        <f t="shared" si="21"/>
        <v>-0.16374831540076237</v>
      </c>
      <c r="I32" s="39">
        <f t="shared" si="11"/>
        <v>45.595512041510894</v>
      </c>
      <c r="J32" s="39">
        <f t="shared" si="12"/>
        <v>45.431763726110134</v>
      </c>
      <c r="L32" t="str">
        <f>$A$14</f>
        <v>Sales and customer service occupations</v>
      </c>
      <c r="M32" s="17">
        <f t="shared" ref="M32:Q32" si="30">M14/M$18*100</f>
        <v>6.0813826263716013</v>
      </c>
      <c r="N32" s="17">
        <f t="shared" si="30"/>
        <v>5.3613312029141653</v>
      </c>
      <c r="O32" s="17">
        <f t="shared" si="30"/>
        <v>5.4532253299162381</v>
      </c>
      <c r="P32" s="17">
        <f t="shared" si="30"/>
        <v>5.2997566673833179</v>
      </c>
      <c r="Q32" s="17">
        <f t="shared" si="30"/>
        <v>5.1582811878524302</v>
      </c>
      <c r="S32" s="39">
        <f t="shared" si="14"/>
        <v>3.505284767623261</v>
      </c>
      <c r="T32" s="39">
        <f t="shared" si="15"/>
        <v>36.098714917468754</v>
      </c>
      <c r="U32" s="39">
        <f t="shared" si="16"/>
        <v>39.60399968509202</v>
      </c>
      <c r="W32" t="str">
        <f>$A$14</f>
        <v>Sales and customer service occupations</v>
      </c>
      <c r="X32" s="17">
        <f t="shared" ref="X32:AB32" si="31">X14/X$18*100</f>
        <v>8.2465175426228825</v>
      </c>
      <c r="Y32" s="17">
        <f t="shared" si="31"/>
        <v>7.0777312327079649</v>
      </c>
      <c r="Z32" s="17">
        <f t="shared" si="31"/>
        <v>6.8074625370697417</v>
      </c>
      <c r="AA32" s="17">
        <f t="shared" si="31"/>
        <v>6.5202777954926221</v>
      </c>
      <c r="AB32" s="17">
        <f t="shared" si="31"/>
        <v>6.0410399335398317</v>
      </c>
      <c r="AD32" s="39">
        <f t="shared" si="18"/>
        <v>-3.4037340961758882</v>
      </c>
      <c r="AE32" s="39">
        <f t="shared" si="19"/>
        <v>53.981778109039524</v>
      </c>
      <c r="AF32" s="39">
        <f t="shared" si="20"/>
        <v>50.578044012863643</v>
      </c>
    </row>
    <row r="33" spans="1:32" x14ac:dyDescent="0.2">
      <c r="A33" t="str">
        <f>$A$15</f>
        <v>Process, plant and machine operatives</v>
      </c>
      <c r="B33" s="17">
        <f t="shared" si="8"/>
        <v>3.9054289604047407</v>
      </c>
      <c r="C33" s="17">
        <f t="shared" si="8"/>
        <v>4.0262581724656608</v>
      </c>
      <c r="D33" s="17">
        <f t="shared" si="8"/>
        <v>3.6135733761834024</v>
      </c>
      <c r="E33" s="17">
        <f t="shared" si="8"/>
        <v>3.9323672192381656</v>
      </c>
      <c r="F33" s="17">
        <f t="shared" si="8"/>
        <v>3.7460648973056627</v>
      </c>
      <c r="G33" s="11"/>
      <c r="H33" s="39">
        <f t="shared" si="21"/>
        <v>13.153440644131306</v>
      </c>
      <c r="I33" s="39">
        <f t="shared" si="11"/>
        <v>57.491622009934375</v>
      </c>
      <c r="J33" s="39">
        <f t="shared" si="12"/>
        <v>70.645062654065683</v>
      </c>
      <c r="L33" t="str">
        <f>$A$15</f>
        <v>Process, plant and machine operatives</v>
      </c>
      <c r="M33" s="17">
        <f t="shared" ref="M33:Q33" si="32">M15/M$18*100</f>
        <v>6.6900812950558413</v>
      </c>
      <c r="N33" s="17">
        <f t="shared" si="32"/>
        <v>7.002388920301744</v>
      </c>
      <c r="O33" s="17">
        <f t="shared" si="32"/>
        <v>6.2557179567138892</v>
      </c>
      <c r="P33" s="17">
        <f t="shared" si="32"/>
        <v>6.6192546706669768</v>
      </c>
      <c r="Q33" s="17">
        <f t="shared" si="32"/>
        <v>6.197442936540658</v>
      </c>
      <c r="R33" s="11"/>
      <c r="S33" s="39">
        <f t="shared" si="14"/>
        <v>8.4042556691684851</v>
      </c>
      <c r="T33" s="39">
        <f t="shared" si="15"/>
        <v>55.130570482629352</v>
      </c>
      <c r="U33" s="39">
        <f t="shared" si="16"/>
        <v>63.53482615179783</v>
      </c>
      <c r="W33" t="str">
        <f>$A$15</f>
        <v>Process, plant and machine operatives</v>
      </c>
      <c r="X33" s="17">
        <f t="shared" ref="X33:AB33" si="33">X15/X$18*100</f>
        <v>0.77656426872813966</v>
      </c>
      <c r="Y33" s="17">
        <f t="shared" si="33"/>
        <v>0.67477139403299358</v>
      </c>
      <c r="Z33" s="17">
        <f t="shared" si="33"/>
        <v>0.70097990208308769</v>
      </c>
      <c r="AA33" s="17">
        <f t="shared" si="33"/>
        <v>0.95377528599068173</v>
      </c>
      <c r="AB33" s="17">
        <f t="shared" si="33"/>
        <v>1.0295590276698969</v>
      </c>
      <c r="AC33" s="11"/>
      <c r="AD33" s="39">
        <f t="shared" si="18"/>
        <v>59.874638834483918</v>
      </c>
      <c r="AE33" s="39">
        <f t="shared" si="19"/>
        <v>80.719008798697772</v>
      </c>
      <c r="AF33" s="39">
        <f t="shared" si="20"/>
        <v>140.59364763318169</v>
      </c>
    </row>
    <row r="34" spans="1:32" x14ac:dyDescent="0.2">
      <c r="A34" t="str">
        <f>$A$16</f>
        <v>Elementary occupations</v>
      </c>
      <c r="B34" s="17">
        <f t="shared" si="8"/>
        <v>9.7997523605616816</v>
      </c>
      <c r="C34" s="17">
        <f t="shared" si="8"/>
        <v>9.5645973966641478</v>
      </c>
      <c r="D34" s="17">
        <f t="shared" si="8"/>
        <v>8.8167692225336989</v>
      </c>
      <c r="E34" s="17">
        <f t="shared" si="8"/>
        <v>8.5848492789108271</v>
      </c>
      <c r="F34" s="17">
        <f t="shared" si="8"/>
        <v>8.1272536668543651</v>
      </c>
      <c r="G34" s="11"/>
      <c r="H34" s="39">
        <f t="shared" si="21"/>
        <v>0.61522129247152413</v>
      </c>
      <c r="I34" s="39">
        <f t="shared" si="11"/>
        <v>50.806856694043532</v>
      </c>
      <c r="J34" s="39">
        <f t="shared" si="12"/>
        <v>51.422077986515056</v>
      </c>
      <c r="L34" t="str">
        <f>$A$16</f>
        <v>Elementary occupations</v>
      </c>
      <c r="M34" s="17">
        <f t="shared" ref="M34:Q34" si="34">M16/M$18*100</f>
        <v>9.5778334109786112</v>
      </c>
      <c r="N34" s="17">
        <f t="shared" si="34"/>
        <v>9.0638413177880981</v>
      </c>
      <c r="O34" s="17">
        <f t="shared" si="34"/>
        <v>8.7763537140221253</v>
      </c>
      <c r="P34" s="17">
        <f t="shared" si="34"/>
        <v>8.6752562236840962</v>
      </c>
      <c r="Q34" s="17">
        <f t="shared" si="34"/>
        <v>8.1263058056686948</v>
      </c>
      <c r="R34" s="11"/>
      <c r="S34" s="39">
        <f t="shared" si="14"/>
        <v>1.3187908769888563</v>
      </c>
      <c r="T34" s="39">
        <f t="shared" si="15"/>
        <v>42.796673244377899</v>
      </c>
      <c r="U34" s="39">
        <f t="shared" si="16"/>
        <v>44.115464121366756</v>
      </c>
      <c r="W34" t="str">
        <f>$A$16</f>
        <v>Elementary occupations</v>
      </c>
      <c r="X34" s="17">
        <f t="shared" ref="X34:AB34" si="35">X16/X$18*100</f>
        <v>10.049102829603829</v>
      </c>
      <c r="Y34" s="17">
        <f t="shared" si="35"/>
        <v>10.12850991253498</v>
      </c>
      <c r="Z34" s="17">
        <f t="shared" si="35"/>
        <v>8.8613216468070277</v>
      </c>
      <c r="AA34" s="17">
        <f t="shared" si="35"/>
        <v>8.4846272185234426</v>
      </c>
      <c r="AB34" s="17">
        <f t="shared" si="35"/>
        <v>8.1283040435948077</v>
      </c>
      <c r="AC34" s="11"/>
      <c r="AD34" s="39">
        <f t="shared" si="18"/>
        <v>-0.15292858790321956</v>
      </c>
      <c r="AE34" s="39">
        <f t="shared" si="19"/>
        <v>59.552290825991271</v>
      </c>
      <c r="AF34" s="39">
        <f t="shared" si="20"/>
        <v>59.399362238088052</v>
      </c>
    </row>
    <row r="35" spans="1:32" x14ac:dyDescent="0.2">
      <c r="B35" s="17"/>
      <c r="C35" s="17"/>
      <c r="D35" s="17"/>
      <c r="E35" s="17"/>
      <c r="F35" s="17"/>
      <c r="G35" s="11"/>
      <c r="H35" s="39"/>
      <c r="I35" s="39"/>
      <c r="J35" s="39"/>
      <c r="M35" s="17"/>
      <c r="N35" s="17"/>
      <c r="O35" s="17"/>
      <c r="P35" s="17"/>
      <c r="Q35" s="17"/>
      <c r="R35" s="11"/>
      <c r="S35" s="39"/>
      <c r="T35" s="39"/>
      <c r="U35" s="39"/>
      <c r="X35" s="17"/>
      <c r="Y35" s="17"/>
      <c r="Z35" s="17"/>
      <c r="AA35" s="17"/>
      <c r="AB35" s="17"/>
      <c r="AC35" s="11"/>
      <c r="AD35" s="39"/>
      <c r="AE35" s="39"/>
      <c r="AF35" s="39"/>
    </row>
    <row r="36" spans="1:32" x14ac:dyDescent="0.2">
      <c r="A36" s="23" t="str">
        <f>$A$18</f>
        <v>All occupations</v>
      </c>
      <c r="B36" s="25">
        <f>B18/B$18*100</f>
        <v>100</v>
      </c>
      <c r="C36" s="25">
        <f>C18/C$18*100</f>
        <v>100</v>
      </c>
      <c r="D36" s="25">
        <f>D18/D$18*100</f>
        <v>100</v>
      </c>
      <c r="E36" s="25">
        <f>E18/E$18*100</f>
        <v>100</v>
      </c>
      <c r="F36" s="25">
        <f>F18/F$18*100</f>
        <v>100</v>
      </c>
      <c r="G36" s="11"/>
      <c r="H36" s="42">
        <f>IF(D18&gt;0,(H18/D18)*100,0)</f>
        <v>9.1514086766815943</v>
      </c>
      <c r="I36" s="42">
        <f t="shared" si="11"/>
        <v>51.233101972497039</v>
      </c>
      <c r="J36" s="42">
        <f t="shared" si="12"/>
        <v>60.384510649178644</v>
      </c>
      <c r="L36" s="23" t="str">
        <f>$A$18</f>
        <v>All occupations</v>
      </c>
      <c r="M36" s="25">
        <f>M18/M$18*100</f>
        <v>100</v>
      </c>
      <c r="N36" s="25">
        <f>N18/N$18*100</f>
        <v>100</v>
      </c>
      <c r="O36" s="25">
        <f>O18/O$18*100</f>
        <v>100</v>
      </c>
      <c r="P36" s="25">
        <f>P18/P$18*100</f>
        <v>100</v>
      </c>
      <c r="Q36" s="25">
        <f>Q18/Q$18*100</f>
        <v>100</v>
      </c>
      <c r="R36" s="11"/>
      <c r="S36" s="42">
        <f t="shared" ref="S36" si="36">IF(O18&gt;0,(S18/O18)*100,0)</f>
        <v>9.4235890056221052</v>
      </c>
      <c r="T36" s="42">
        <f t="shared" ref="T36" si="37">IF(O18&gt;0,(T18/O18)*100,0)</f>
        <v>43.942821793573962</v>
      </c>
      <c r="U36" s="42">
        <f t="shared" ref="U36" si="38">IF(O18&gt;0,(U18/O18)*100,0)</f>
        <v>53.366410799196061</v>
      </c>
      <c r="W36" s="23" t="str">
        <f>$A$18</f>
        <v>All occupations</v>
      </c>
      <c r="X36" s="25">
        <f>X18/X$18*100</f>
        <v>100</v>
      </c>
      <c r="Y36" s="25">
        <f>Y18/Y$18*100</f>
        <v>100</v>
      </c>
      <c r="Z36" s="25">
        <f>Z18/Z$18*100</f>
        <v>100</v>
      </c>
      <c r="AA36" s="25">
        <f>AA18/AA$18*100</f>
        <v>100</v>
      </c>
      <c r="AB36" s="25">
        <f>AB18/AB$18*100</f>
        <v>100</v>
      </c>
      <c r="AC36" s="11"/>
      <c r="AD36" s="42">
        <f t="shared" ref="AD36" si="39">IF(Z18&gt;0,(AD18/Z18)*100,0)</f>
        <v>8.8513680749324894</v>
      </c>
      <c r="AE36" s="42">
        <f t="shared" ref="AE36" si="40">IF(Z18&gt;0,(AE18/Z18)*100,0)</f>
        <v>59.269612400412711</v>
      </c>
      <c r="AF36" s="42">
        <f t="shared" ref="AF36" si="41">IF(Z18&gt;0,(AF18/Z18)*100,0)</f>
        <v>68.120980475345192</v>
      </c>
    </row>
    <row r="37" spans="1:32" x14ac:dyDescent="0.2">
      <c r="B37" s="17"/>
      <c r="C37" s="17"/>
      <c r="D37" s="17"/>
      <c r="E37" s="17"/>
      <c r="F37" s="17"/>
      <c r="G37" s="11"/>
      <c r="M37" s="17"/>
      <c r="N37" s="17"/>
      <c r="O37" s="17"/>
      <c r="P37" s="17"/>
      <c r="Q37" s="17"/>
      <c r="R37" s="11"/>
      <c r="X37" s="17"/>
      <c r="Y37" s="17"/>
      <c r="Z37" s="17"/>
      <c r="AA37" s="17"/>
      <c r="AB37" s="17"/>
      <c r="AC37" s="11"/>
    </row>
    <row r="38" spans="1:32" x14ac:dyDescent="0.2">
      <c r="B38" s="17"/>
      <c r="C38" s="17"/>
      <c r="D38" s="17"/>
      <c r="E38" s="17"/>
      <c r="F38" s="17"/>
      <c r="G38" s="11"/>
      <c r="M38" s="17"/>
      <c r="N38" s="17"/>
      <c r="O38" s="17"/>
      <c r="P38" s="17"/>
      <c r="Q38" s="17"/>
      <c r="R38" s="11"/>
      <c r="X38" s="17"/>
      <c r="Y38" s="17"/>
      <c r="Z38" s="17"/>
      <c r="AA38" s="17"/>
      <c r="AB38" s="17"/>
      <c r="AC38" s="11"/>
    </row>
    <row r="39" spans="1:32" ht="15.75" x14ac:dyDescent="0.25">
      <c r="A39" s="18" t="str">
        <f>CONCATENATE(A$1," (Continued)")</f>
        <v>Occupation Table 1  Employment Change by Occupation Group (SOC 2020) and Replacement Demand, 2015-2035, London (Continued)</v>
      </c>
      <c r="B39" s="17"/>
      <c r="C39" s="17"/>
      <c r="D39" s="17"/>
      <c r="E39" s="17"/>
      <c r="F39" s="17"/>
      <c r="G39" s="11"/>
      <c r="L39" s="18" t="str">
        <f>CONCATENATE(L$1," (Continued)")</f>
        <v>Occupation Table 1.1  Males: Employment Change by Occupation Group (SOC 2020) and Replacement Demand, 2015-2035, London (Continued)</v>
      </c>
      <c r="M39" s="17"/>
      <c r="N39" s="17"/>
      <c r="O39" s="17"/>
      <c r="P39" s="17"/>
      <c r="Q39" s="17"/>
      <c r="R39" s="11"/>
      <c r="W39" s="18" t="str">
        <f>CONCATENATE(W$1," (Continued)")</f>
        <v>Occupation Table 1.2  Females: Employment Change by Occupation Group (SOC 2020) and Replacement Demand, 2015-2035, London (Continued)</v>
      </c>
      <c r="X39" s="17"/>
      <c r="Y39" s="17"/>
      <c r="Z39" s="17"/>
      <c r="AA39" s="17"/>
      <c r="AB39" s="17"/>
      <c r="AC39" s="11"/>
    </row>
    <row r="40" spans="1:32" x14ac:dyDescent="0.2">
      <c r="B40" s="17"/>
      <c r="C40" s="17"/>
      <c r="D40" s="17"/>
      <c r="E40" s="17"/>
      <c r="F40" s="17"/>
      <c r="G40" s="11"/>
      <c r="M40" s="17"/>
      <c r="N40" s="17"/>
      <c r="O40" s="17"/>
      <c r="P40" s="17"/>
      <c r="Q40" s="17"/>
      <c r="R40" s="11"/>
      <c r="X40" s="17"/>
      <c r="Y40" s="17"/>
      <c r="Z40" s="17"/>
      <c r="AA40" s="17"/>
      <c r="AB40" s="17"/>
      <c r="AC40" s="11"/>
    </row>
    <row r="41" spans="1:32" x14ac:dyDescent="0.2">
      <c r="B41" s="17"/>
      <c r="C41" s="17"/>
      <c r="D41" s="17"/>
      <c r="E41" s="17"/>
      <c r="F41" s="15" t="s">
        <v>36</v>
      </c>
      <c r="G41" s="11"/>
      <c r="J41" s="15" t="s">
        <v>36</v>
      </c>
      <c r="M41" s="17"/>
      <c r="N41" s="17"/>
      <c r="O41" s="17"/>
      <c r="P41" s="17"/>
      <c r="Q41" s="15" t="s">
        <v>36</v>
      </c>
      <c r="R41" s="11"/>
      <c r="U41" s="15" t="s">
        <v>36</v>
      </c>
      <c r="X41" s="17"/>
      <c r="Y41" s="17"/>
      <c r="Z41" s="17"/>
      <c r="AA41" s="17"/>
      <c r="AB41" s="15" t="s">
        <v>36</v>
      </c>
      <c r="AC41" s="11"/>
      <c r="AF41" s="15" t="s">
        <v>36</v>
      </c>
    </row>
    <row r="42" spans="1:32" x14ac:dyDescent="0.2">
      <c r="A42" s="35"/>
      <c r="B42" s="65"/>
      <c r="C42" s="65"/>
      <c r="D42" s="65"/>
      <c r="E42" s="65"/>
      <c r="F42" s="65"/>
      <c r="G42" s="11"/>
      <c r="H42" s="27" t="str">
        <f>H4</f>
        <v>2020-2035</v>
      </c>
      <c r="I42" s="35"/>
      <c r="J42" s="35"/>
      <c r="L42" s="35"/>
      <c r="M42" s="65"/>
      <c r="N42" s="65"/>
      <c r="O42" s="65"/>
      <c r="P42" s="65"/>
      <c r="Q42" s="65"/>
      <c r="R42" s="11"/>
      <c r="S42" s="27" t="str">
        <f>S4</f>
        <v>2020-2035</v>
      </c>
      <c r="T42" s="35"/>
      <c r="U42" s="35"/>
      <c r="W42" s="35"/>
      <c r="X42" s="65"/>
      <c r="Y42" s="65"/>
      <c r="Z42" s="65"/>
      <c r="AA42" s="65"/>
      <c r="AB42" s="65"/>
      <c r="AC42" s="11"/>
      <c r="AD42" s="27" t="str">
        <f>AD4</f>
        <v>2020-2035</v>
      </c>
      <c r="AE42" s="35"/>
      <c r="AF42" s="35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0" t="s">
        <v>14</v>
      </c>
      <c r="B44" s="63" t="str">
        <f>CONCATENATE(B$6,"-",C$6)</f>
        <v>2015-2019</v>
      </c>
      <c r="C44" s="63" t="str">
        <f>CONCATENATE(C$6,"-",D$6)</f>
        <v>2019-2020</v>
      </c>
      <c r="D44" s="63" t="str">
        <f>CONCATENATE(D$6,"-",E$6)</f>
        <v>2020-2025</v>
      </c>
      <c r="E44" s="63" t="str">
        <f>CONCATENATE(E$6,"-",F$6)</f>
        <v>2025-2035</v>
      </c>
      <c r="F44" s="63" t="str">
        <f>CONCATENATE(D$6,"-",F$6)</f>
        <v>2020-2035</v>
      </c>
      <c r="H44" s="23" t="str">
        <f>H6</f>
        <v>Change</v>
      </c>
      <c r="I44" s="23" t="str">
        <f>I6</f>
        <v>Demand</v>
      </c>
      <c r="J44" s="23" t="str">
        <f>J6</f>
        <v>Requirement</v>
      </c>
      <c r="L44" s="40" t="s">
        <v>14</v>
      </c>
      <c r="M44" s="63" t="str">
        <f>CONCATENATE(M$6,"-",N$6)</f>
        <v>2015-2019</v>
      </c>
      <c r="N44" s="63" t="str">
        <f>CONCATENATE(N$6,"-",O$6)</f>
        <v>2019-2020</v>
      </c>
      <c r="O44" s="63" t="str">
        <f>CONCATENATE(O$6,"-",P$6)</f>
        <v>2020-2025</v>
      </c>
      <c r="P44" s="63" t="str">
        <f>CONCATENATE(P$6,"-",Q$6)</f>
        <v>2025-2035</v>
      </c>
      <c r="Q44" s="63" t="str">
        <f>CONCATENATE(O$6,"-",Q$6)</f>
        <v>2020-2035</v>
      </c>
      <c r="S44" s="23" t="str">
        <f>S6</f>
        <v>Change</v>
      </c>
      <c r="T44" s="23" t="str">
        <f>T6</f>
        <v>Demand</v>
      </c>
      <c r="U44" s="23" t="str">
        <f>U6</f>
        <v>Requirement</v>
      </c>
      <c r="W44" s="40" t="s">
        <v>14</v>
      </c>
      <c r="X44" s="63" t="str">
        <f>CONCATENATE(X$6,"-",Y$6)</f>
        <v>2015-2019</v>
      </c>
      <c r="Y44" s="63" t="str">
        <f>CONCATENATE(Y$6,"-",Z$6)</f>
        <v>2019-2020</v>
      </c>
      <c r="Z44" s="63" t="str">
        <f>CONCATENATE(Z$6,"-",AA$6)</f>
        <v>2020-2025</v>
      </c>
      <c r="AA44" s="63" t="str">
        <f>CONCATENATE(AA$6,"-",AB$6)</f>
        <v>2025-2035</v>
      </c>
      <c r="AB44" s="63" t="str">
        <f>CONCATENATE(Z$6,"-",AB$6)</f>
        <v>2020-2035</v>
      </c>
      <c r="AD44" s="23" t="str">
        <f>AD6</f>
        <v>Change</v>
      </c>
      <c r="AE44" s="23" t="str">
        <f>AE6</f>
        <v>Demand</v>
      </c>
      <c r="AF44" s="23" t="str">
        <f>AF6</f>
        <v>Requirement</v>
      </c>
    </row>
    <row r="45" spans="1:32" x14ac:dyDescent="0.2">
      <c r="A45" s="1"/>
      <c r="B45" s="19"/>
      <c r="C45" s="19"/>
      <c r="D45" s="19"/>
      <c r="E45" s="19"/>
      <c r="F45" s="19"/>
      <c r="L45" s="1"/>
      <c r="M45" s="19"/>
      <c r="N45" s="19"/>
      <c r="O45" s="19"/>
      <c r="P45" s="19"/>
      <c r="Q45" s="19"/>
      <c r="W45" s="1"/>
      <c r="X45" s="19"/>
      <c r="Y45" s="19"/>
      <c r="Z45" s="19"/>
      <c r="AA45" s="19"/>
      <c r="AB45" s="19"/>
    </row>
    <row r="46" spans="1:32" x14ac:dyDescent="0.2">
      <c r="A46" t="str">
        <f>$A$8</f>
        <v>Managers, directors and senior officials</v>
      </c>
      <c r="B46" s="17">
        <f>IF(C$6-B$6 &lt;&gt; 0,(EXP(LN(C8/B8)/(C$6-B$6))-1)*100,0)</f>
        <v>3.7149800994715987</v>
      </c>
      <c r="C46" s="17">
        <f t="shared" ref="B46:E54" si="42">IF(D$6-C$6 &lt;&gt; 0,(EXP(LN(D8/C8)/(D$6-C$6))-1)*100,0)</f>
        <v>2.7909382789226278E-2</v>
      </c>
      <c r="D46" s="17">
        <f t="shared" si="42"/>
        <v>0.78788550847825878</v>
      </c>
      <c r="E46" s="17">
        <f t="shared" si="42"/>
        <v>0.90797715524180145</v>
      </c>
      <c r="F46" s="17">
        <f>IF(F$6-D$6 &lt;&gt; 0,(EXP(LN(F8/D8)/(F$6-D$6))-1)*100,0)</f>
        <v>0.86793071555335555</v>
      </c>
      <c r="H46" s="17">
        <f>IF($F$6-$D$6 &lt;&gt; 0,(EXP(LN(1+(H26/100))/($F$6-$D$6))-1)*100,0)</f>
        <v>0.86793071555335555</v>
      </c>
      <c r="I46" s="17">
        <f>IF($F$6-$D$6 &lt;&gt; 0,(EXP(LN(1+(I26/100))/($F$6-$D$6))-1)*100,0)</f>
        <v>3.0551524997334933</v>
      </c>
      <c r="J46" s="17">
        <f>IF($F$6-$D$6 &lt;&gt; 0,(EXP(LN(1+(J26/100))/($F$6-$D$6))-1)*100,0)</f>
        <v>3.6370387278925609</v>
      </c>
      <c r="L46" t="str">
        <f>$A$8</f>
        <v>Managers, directors and senior officials</v>
      </c>
      <c r="M46" s="17">
        <f t="shared" ref="M46:M54" si="43">IF(N$6-M$6 &lt;&gt; 0,(EXP(LN(N8/M8)/(N$6-M$6))-1)*100,0)</f>
        <v>3.2336310534498702</v>
      </c>
      <c r="N46" s="17">
        <f t="shared" ref="N46:N54" si="44">IF(O$6-N$6 &lt;&gt; 0,(EXP(LN(O8/N8)/(O$6-N$6))-1)*100,0)</f>
        <v>-1.3232719737299337</v>
      </c>
      <c r="O46" s="17">
        <f t="shared" ref="O46:O54" si="45">IF(P$6-O$6 &lt;&gt; 0,(EXP(LN(P8/O8)/(P$6-O$6))-1)*100,0)</f>
        <v>0.42444239309871179</v>
      </c>
      <c r="P46" s="17">
        <f t="shared" ref="P46:P54" si="46">IF(Q$6-P$6 &lt;&gt; 0,(EXP(LN(Q8/P8)/(Q$6-P$6))-1)*100,0)</f>
        <v>0.6883318365663138</v>
      </c>
      <c r="Q46" s="17">
        <f>IF(Q$6-O$6 &lt;&gt; 0,(EXP(LN(Q8/O8)/(Q$6-O$6))-1)*100,0)</f>
        <v>0.60029173046061146</v>
      </c>
      <c r="S46" s="17">
        <f>IF($F$6-$D$6 &lt;&gt; 0,(EXP(LN(1+(S26/100))/($F$6-$D$6))-1)*100,0)</f>
        <v>0.60029173046061146</v>
      </c>
      <c r="T46" s="17">
        <f>IF($F$6-$D$6 &lt;&gt; 0,(EXP(LN(1+(T26/100))/($F$6-$D$6))-1)*100,0)</f>
        <v>2.7930074897231094</v>
      </c>
      <c r="U46" s="17">
        <f>IF($F$6-$D$6 &lt;&gt; 0,(EXP(LN(1+(U26/100))/($F$6-$D$6))-1)*100,0)</f>
        <v>3.2069399103344054</v>
      </c>
      <c r="W46" t="str">
        <f>$A$8</f>
        <v>Managers, directors and senior officials</v>
      </c>
      <c r="X46" s="17">
        <f t="shared" ref="X46:X54" si="47">IF(Y$6-X$6 &lt;&gt; 0,(EXP(LN(Y8/X8)/(Y$6-X$6))-1)*100,0)</f>
        <v>4.5893189489000896</v>
      </c>
      <c r="Y46" s="17">
        <f t="shared" ref="Y46:Y54" si="48">IF(Z$6-Y$6 &lt;&gt; 0,(EXP(LN(Z8/Y8)/(Z$6-Y$6))-1)*100,0)</f>
        <v>2.4035526688412245</v>
      </c>
      <c r="Z46" s="17">
        <f t="shared" ref="Z46:Z54" si="49">IF(AA$6-Z$6 &lt;&gt; 0,(EXP(LN(AA8/Z8)/(AA$6-Z$6))-1)*100,0)</f>
        <v>1.3919259595828626</v>
      </c>
      <c r="AA46" s="17">
        <f t="shared" ref="AA46:AA54" si="50">IF(AB$6-AA$6 &lt;&gt; 0,(EXP(LN(AB8/AA8)/(AB$6-AA$6))-1)*100,0)</f>
        <v>1.2538459234842758</v>
      </c>
      <c r="AB46" s="17">
        <f>IF(AB$6-Z$6 &lt;&gt; 0,(EXP(LN(AB8/Z8)/(AB$6-Z$6))-1)*100,0)</f>
        <v>1.2998516958012019</v>
      </c>
      <c r="AD46" s="17">
        <f>IF($F$6-$D$6 &lt;&gt; 0,(EXP(LN(1+(AD26/100))/($F$6-$D$6))-1)*100,0)</f>
        <v>1.2998516958012019</v>
      </c>
      <c r="AE46" s="17">
        <f>IF($F$6-$D$6 &lt;&gt; 0,(EXP(LN(1+(AE26/100))/($F$6-$D$6))-1)*100,0)</f>
        <v>3.4790348393615833</v>
      </c>
      <c r="AF46" s="17">
        <f>IF($F$6-$D$6 &lt;&gt; 0,(EXP(LN(1+(AF26/100))/($F$6-$D$6))-1)*100,0)</f>
        <v>4.313157410650259</v>
      </c>
    </row>
    <row r="47" spans="1:32" x14ac:dyDescent="0.2">
      <c r="A47" t="str">
        <f>$A$9</f>
        <v>Professional occupations</v>
      </c>
      <c r="B47" s="17">
        <f t="shared" si="42"/>
        <v>3.5145082688101237</v>
      </c>
      <c r="C47" s="17">
        <f t="shared" si="42"/>
        <v>4.1959481465291493</v>
      </c>
      <c r="D47" s="17">
        <f t="shared" si="42"/>
        <v>1.7354342014481938</v>
      </c>
      <c r="E47" s="17">
        <f t="shared" si="42"/>
        <v>0.80553629721844544</v>
      </c>
      <c r="F47" s="17">
        <f>IF(F$6-D$6 &lt;&gt; 0,(EXP(LN(F9/D9)/(F$6-D$6))-1)*100,0)</f>
        <v>1.1145540086237915</v>
      </c>
      <c r="H47" s="17">
        <f t="shared" ref="H47:J56" si="51">IF($F$6-$D$6 &lt;&gt; 0,(EXP(LN(1+(H27/100))/($F$6-$D$6))-1)*100,0)</f>
        <v>1.1145540086237915</v>
      </c>
      <c r="I47" s="17">
        <f t="shared" si="51"/>
        <v>2.852151607788711</v>
      </c>
      <c r="J47" s="17">
        <f t="shared" si="51"/>
        <v>3.6236962706863274</v>
      </c>
      <c r="L47" t="str">
        <f>$A$9</f>
        <v>Professional occupations</v>
      </c>
      <c r="M47" s="17">
        <f t="shared" si="43"/>
        <v>3.8038495565825059</v>
      </c>
      <c r="N47" s="17">
        <f t="shared" si="44"/>
        <v>2.8979390350739598</v>
      </c>
      <c r="O47" s="17">
        <f t="shared" si="45"/>
        <v>1.8297028452147757</v>
      </c>
      <c r="P47" s="17">
        <f t="shared" si="46"/>
        <v>0.76509574092258337</v>
      </c>
      <c r="Q47" s="17">
        <f>IF(Q$6-O$6 &lt;&gt; 0,(EXP(LN(Q9/O9)/(Q$6-O$6))-1)*100,0)</f>
        <v>1.1187223014986314</v>
      </c>
      <c r="S47" s="17">
        <f t="shared" ref="S47:U47" si="52">IF($F$6-$D$6 &lt;&gt; 0,(EXP(LN(1+(S27/100))/($F$6-$D$6))-1)*100,0)</f>
        <v>1.1187223014986314</v>
      </c>
      <c r="T47" s="17">
        <f t="shared" si="52"/>
        <v>2.445830517763814</v>
      </c>
      <c r="U47" s="17">
        <f t="shared" si="52"/>
        <v>3.2619387713919146</v>
      </c>
      <c r="W47" t="str">
        <f>$A$9</f>
        <v>Professional occupations</v>
      </c>
      <c r="X47" s="17">
        <f t="shared" si="47"/>
        <v>3.2242954710016258</v>
      </c>
      <c r="Y47" s="17">
        <f t="shared" si="48"/>
        <v>5.5162181195149262</v>
      </c>
      <c r="Z47" s="17">
        <f t="shared" si="49"/>
        <v>1.6415817006255606</v>
      </c>
      <c r="AA47" s="17">
        <f t="shared" si="50"/>
        <v>0.84587656626644581</v>
      </c>
      <c r="AB47" s="17">
        <f>IF(AB$6-Z$6 &lt;&gt; 0,(EXP(LN(AB9/Z9)/(AB$6-Z$6))-1)*100,0)</f>
        <v>1.1104170574804062</v>
      </c>
      <c r="AD47" s="17">
        <f t="shared" ref="AD47:AF47" si="53">IF($F$6-$D$6 &lt;&gt; 0,(EXP(LN(1+(AD27/100))/($F$6-$D$6))-1)*100,0)</f>
        <v>1.1104170574804062</v>
      </c>
      <c r="AE47" s="17">
        <f t="shared" si="53"/>
        <v>3.2341366351767098</v>
      </c>
      <c r="AF47" s="17">
        <f t="shared" si="53"/>
        <v>3.9658663386005211</v>
      </c>
    </row>
    <row r="48" spans="1:32" x14ac:dyDescent="0.2">
      <c r="A48" t="str">
        <f>$A$10</f>
        <v>Associate professional occupations</v>
      </c>
      <c r="B48" s="17">
        <f t="shared" si="42"/>
        <v>1.5840191390545932</v>
      </c>
      <c r="C48" s="17">
        <f t="shared" si="42"/>
        <v>4.8854401647003831</v>
      </c>
      <c r="D48" s="17">
        <f t="shared" si="42"/>
        <v>-4.1145608780690512E-2</v>
      </c>
      <c r="E48" s="17">
        <f t="shared" si="42"/>
        <v>0.60738081424778212</v>
      </c>
      <c r="F48" s="17">
        <f t="shared" ref="F48:F56" si="54">IF(F$6-D$6 &lt;&gt; 0,(EXP(LN(F10/D10)/(F$6-D$6))-1)*100,0)</f>
        <v>0.39073917218710452</v>
      </c>
      <c r="H48" s="17">
        <f t="shared" si="51"/>
        <v>0.39073917218710452</v>
      </c>
      <c r="I48" s="17">
        <f t="shared" si="51"/>
        <v>2.6061175104231227</v>
      </c>
      <c r="J48" s="17">
        <f t="shared" si="51"/>
        <v>2.8810428988347514</v>
      </c>
      <c r="L48" t="str">
        <f>$A$10</f>
        <v>Associate professional occupations</v>
      </c>
      <c r="M48" s="17">
        <f t="shared" si="43"/>
        <v>1.2405740777015284</v>
      </c>
      <c r="N48" s="17">
        <f t="shared" si="44"/>
        <v>4.0019060621065972</v>
      </c>
      <c r="O48" s="17">
        <f t="shared" si="45"/>
        <v>-0.53761436946484498</v>
      </c>
      <c r="P48" s="17">
        <f t="shared" si="46"/>
        <v>0.39124520926479001</v>
      </c>
      <c r="Q48" s="17">
        <f t="shared" ref="Q48:Q54" si="55">IF(Q$6-O$6 &lt;&gt; 0,(EXP(LN(Q10/O10)/(Q$6-O$6))-1)*100,0)</f>
        <v>8.0665502224142038E-2</v>
      </c>
      <c r="S48" s="17">
        <f t="shared" ref="S48:U48" si="56">IF($F$6-$D$6 &lt;&gt; 0,(EXP(LN(1+(S28/100))/($F$6-$D$6))-1)*100,0)</f>
        <v>8.0665502224142038E-2</v>
      </c>
      <c r="T48" s="17">
        <f t="shared" si="56"/>
        <v>2.1860338472364349</v>
      </c>
      <c r="U48" s="17">
        <f t="shared" si="56"/>
        <v>2.2457213737480775</v>
      </c>
      <c r="W48" t="str">
        <f>$A$10</f>
        <v>Associate professional occupations</v>
      </c>
      <c r="X48" s="17">
        <f t="shared" si="47"/>
        <v>1.9908130883423913</v>
      </c>
      <c r="Y48" s="17">
        <f t="shared" si="48"/>
        <v>5.9128071625138556</v>
      </c>
      <c r="Z48" s="17">
        <f t="shared" si="49"/>
        <v>0.51392694186778165</v>
      </c>
      <c r="AA48" s="17">
        <f t="shared" si="50"/>
        <v>0.8369042750835165</v>
      </c>
      <c r="AB48" s="17">
        <f t="shared" ref="AB48:AB54" si="57">IF(AB$6-Z$6 &lt;&gt; 0,(EXP(LN(AB10/Z10)/(AB$6-Z$6))-1)*100,0)</f>
        <v>0.72913001616135009</v>
      </c>
      <c r="AD48" s="17">
        <f t="shared" ref="AD48:AF48" si="58">IF($F$6-$D$6 &lt;&gt; 0,(EXP(LN(1+(AD28/100))/($F$6-$D$6))-1)*100,0)</f>
        <v>0.72913001616135009</v>
      </c>
      <c r="AE48" s="17">
        <f t="shared" si="58"/>
        <v>3.0580647667788341</v>
      </c>
      <c r="AF48" s="17">
        <f t="shared" si="58"/>
        <v>3.5450709668705338</v>
      </c>
    </row>
    <row r="49" spans="1:32" x14ac:dyDescent="0.2">
      <c r="A49" t="str">
        <f>$A$11</f>
        <v>Administrative and secretarial occupations</v>
      </c>
      <c r="B49" s="17">
        <f t="shared" si="42"/>
        <v>-0.84652762586847619</v>
      </c>
      <c r="C49" s="17">
        <f t="shared" si="42"/>
        <v>1.5317144879395617</v>
      </c>
      <c r="D49" s="17">
        <f t="shared" si="42"/>
        <v>-1.6153469270398291</v>
      </c>
      <c r="E49" s="17">
        <f t="shared" si="42"/>
        <v>-0.91128223316981893</v>
      </c>
      <c r="F49" s="17">
        <f t="shared" si="54"/>
        <v>-1.1465285201289421</v>
      </c>
      <c r="H49" s="17">
        <f t="shared" si="51"/>
        <v>-1.1465285201289421</v>
      </c>
      <c r="I49" s="17">
        <f t="shared" si="51"/>
        <v>2.5906654501989479</v>
      </c>
      <c r="J49" s="17">
        <f t="shared" si="51"/>
        <v>1.8102318597940537</v>
      </c>
      <c r="L49" t="str">
        <f>$A$11</f>
        <v>Administrative and secretarial occupations</v>
      </c>
      <c r="M49" s="17">
        <f t="shared" si="43"/>
        <v>-0.85885400375340648</v>
      </c>
      <c r="N49" s="17">
        <f t="shared" si="44"/>
        <v>14.905179636750198</v>
      </c>
      <c r="O49" s="17">
        <f t="shared" si="45"/>
        <v>-1.516474329432016</v>
      </c>
      <c r="P49" s="17">
        <f t="shared" si="46"/>
        <v>0.18734050718678397</v>
      </c>
      <c r="Q49" s="17">
        <f t="shared" si="55"/>
        <v>-0.38384804605801071</v>
      </c>
      <c r="S49" s="17">
        <f t="shared" ref="S49:U49" si="59">IF($F$6-$D$6 &lt;&gt; 0,(EXP(LN(1+(S29/100))/($F$6-$D$6))-1)*100,0)</f>
        <v>-0.38384804605801071</v>
      </c>
      <c r="T49" s="17">
        <f t="shared" si="59"/>
        <v>2.0128805579090248</v>
      </c>
      <c r="U49" s="17">
        <f t="shared" si="59"/>
        <v>1.7245236184769253</v>
      </c>
      <c r="W49" t="str">
        <f>$A$11</f>
        <v>Administrative and secretarial occupations</v>
      </c>
      <c r="X49" s="17">
        <f t="shared" si="47"/>
        <v>-0.84304503272732978</v>
      </c>
      <c r="Y49" s="17">
        <f t="shared" si="48"/>
        <v>-2.2452081758307707</v>
      </c>
      <c r="Z49" s="17">
        <f t="shared" si="49"/>
        <v>-1.6482574728129751</v>
      </c>
      <c r="AA49" s="17">
        <f t="shared" si="50"/>
        <v>-1.3042493287077517</v>
      </c>
      <c r="AB49" s="17">
        <f t="shared" si="57"/>
        <v>-1.41905219696149</v>
      </c>
      <c r="AD49" s="17">
        <f t="shared" ref="AD49:AF49" si="60">IF($F$6-$D$6 &lt;&gt; 0,(EXP(LN(1+(AD29/100))/($F$6-$D$6))-1)*100,0)</f>
        <v>-1.41905219696149</v>
      </c>
      <c r="AE49" s="17">
        <f t="shared" si="60"/>
        <v>2.7728098708908355</v>
      </c>
      <c r="AF49" s="17">
        <f t="shared" si="60"/>
        <v>1.8384623007139833</v>
      </c>
    </row>
    <row r="50" spans="1:32" x14ac:dyDescent="0.2">
      <c r="A50" t="str">
        <f>$A$12</f>
        <v>Skilled trades occupations</v>
      </c>
      <c r="B50" s="17">
        <f t="shared" si="42"/>
        <v>-0.80319001079144359</v>
      </c>
      <c r="C50" s="17">
        <f t="shared" si="42"/>
        <v>-14.745853846417766</v>
      </c>
      <c r="D50" s="17">
        <f t="shared" si="42"/>
        <v>1.4774054812420223</v>
      </c>
      <c r="E50" s="17">
        <f t="shared" si="42"/>
        <v>0.4833639658216482</v>
      </c>
      <c r="F50" s="17">
        <f t="shared" si="54"/>
        <v>0.81362447515980207</v>
      </c>
      <c r="H50" s="17">
        <f t="shared" si="51"/>
        <v>0.81362447515980207</v>
      </c>
      <c r="I50" s="17">
        <f t="shared" si="51"/>
        <v>2.6212867675025064</v>
      </c>
      <c r="J50" s="17">
        <f t="shared" si="51"/>
        <v>3.1978421188102457</v>
      </c>
      <c r="L50" t="str">
        <f>$A$12</f>
        <v>Skilled trades occupations</v>
      </c>
      <c r="M50" s="17">
        <f t="shared" si="43"/>
        <v>-1.0865764505610165</v>
      </c>
      <c r="N50" s="17">
        <f t="shared" si="44"/>
        <v>-17.063079726606844</v>
      </c>
      <c r="O50" s="17">
        <f t="shared" si="45"/>
        <v>1.1877498931496255</v>
      </c>
      <c r="P50" s="17">
        <f t="shared" si="46"/>
        <v>0.37423337317765704</v>
      </c>
      <c r="Q50" s="17">
        <f t="shared" si="55"/>
        <v>0.64467622562394133</v>
      </c>
      <c r="S50" s="17">
        <f t="shared" ref="S50:U50" si="61">IF($F$6-$D$6 &lt;&gt; 0,(EXP(LN(1+(S30/100))/($F$6-$D$6))-1)*100,0)</f>
        <v>0.64467622562394133</v>
      </c>
      <c r="T50" s="17">
        <f t="shared" si="61"/>
        <v>2.4252955608994986</v>
      </c>
      <c r="U50" s="17">
        <f t="shared" si="61"/>
        <v>2.892413652717396</v>
      </c>
      <c r="W50" t="str">
        <f>$A$12</f>
        <v>Skilled trades occupations</v>
      </c>
      <c r="X50" s="17">
        <f t="shared" si="47"/>
        <v>1.421170049545406</v>
      </c>
      <c r="Y50" s="17">
        <f t="shared" si="48"/>
        <v>2.3441511705231566</v>
      </c>
      <c r="Z50" s="17">
        <f t="shared" si="49"/>
        <v>3.1431341706476879</v>
      </c>
      <c r="AA50" s="17">
        <f t="shared" si="50"/>
        <v>1.0581628333069748</v>
      </c>
      <c r="AB50" s="17">
        <f t="shared" si="57"/>
        <v>1.7484277775282164</v>
      </c>
      <c r="AD50" s="17">
        <f t="shared" ref="AD50:AF50" si="62">IF($F$6-$D$6 &lt;&gt; 0,(EXP(LN(1+(AD30/100))/($F$6-$D$6))-1)*100,0)</f>
        <v>1.7484277775282164</v>
      </c>
      <c r="AE50" s="17">
        <f t="shared" si="62"/>
        <v>3.6948357580356861</v>
      </c>
      <c r="AF50" s="17">
        <f t="shared" si="62"/>
        <v>4.799639585019011</v>
      </c>
    </row>
    <row r="51" spans="1:32" x14ac:dyDescent="0.2">
      <c r="A51" t="str">
        <f>$A$13</f>
        <v>Caring, leisure and other service occupations</v>
      </c>
      <c r="B51" s="17">
        <f t="shared" si="42"/>
        <v>1.4354770435005548</v>
      </c>
      <c r="C51" s="17">
        <f t="shared" si="42"/>
        <v>-5.7346126459899001</v>
      </c>
      <c r="D51" s="17">
        <f t="shared" si="42"/>
        <v>1.4344172087407792</v>
      </c>
      <c r="E51" s="17">
        <f t="shared" si="42"/>
        <v>0.59697501709188305</v>
      </c>
      <c r="F51" s="17">
        <f t="shared" si="54"/>
        <v>0.87535136851821793</v>
      </c>
      <c r="H51" s="17">
        <f t="shared" si="51"/>
        <v>0.87535136851821793</v>
      </c>
      <c r="I51" s="17">
        <f t="shared" si="51"/>
        <v>3.1077647871748937</v>
      </c>
      <c r="J51" s="17">
        <f t="shared" si="51"/>
        <v>3.690723646861449</v>
      </c>
      <c r="L51" t="str">
        <f>$A$13</f>
        <v>Caring, leisure and other service occupations</v>
      </c>
      <c r="M51" s="17">
        <f t="shared" si="43"/>
        <v>2.8126073234533866</v>
      </c>
      <c r="N51" s="17">
        <f t="shared" si="44"/>
        <v>-2.6358168379702507</v>
      </c>
      <c r="O51" s="17">
        <f t="shared" si="45"/>
        <v>2.5881582759634147</v>
      </c>
      <c r="P51" s="17">
        <f t="shared" si="46"/>
        <v>1.1752967784582458</v>
      </c>
      <c r="Q51" s="17">
        <f t="shared" si="55"/>
        <v>1.6440752513606327</v>
      </c>
      <c r="S51" s="17">
        <f t="shared" ref="S51:U51" si="63">IF($F$6-$D$6 &lt;&gt; 0,(EXP(LN(1+(S31/100))/($F$6-$D$6))-1)*100,0)</f>
        <v>1.6440752513606327</v>
      </c>
      <c r="T51" s="17">
        <f t="shared" si="63"/>
        <v>2.8935739769687885</v>
      </c>
      <c r="U51" s="17">
        <f t="shared" si="63"/>
        <v>4.0390460761406066</v>
      </c>
      <c r="W51" t="str">
        <f>$A$13</f>
        <v>Caring, leisure and other service occupations</v>
      </c>
      <c r="X51" s="17">
        <f t="shared" si="47"/>
        <v>0.91649979215815414</v>
      </c>
      <c r="Y51" s="17">
        <f t="shared" si="48"/>
        <v>-6.9579170024088306</v>
      </c>
      <c r="Z51" s="17">
        <f t="shared" si="49"/>
        <v>0.94207737478537723</v>
      </c>
      <c r="AA51" s="17">
        <f t="shared" si="50"/>
        <v>0.32792134937686956</v>
      </c>
      <c r="AB51" s="17">
        <f t="shared" si="57"/>
        <v>0.53222371181833594</v>
      </c>
      <c r="AD51" s="17">
        <f t="shared" ref="AD51:AF51" si="64">IF($F$6-$D$6 &lt;&gt; 0,(EXP(LN(1+(AD31/100))/($F$6-$D$6))-1)*100,0)</f>
        <v>0.53222371181833594</v>
      </c>
      <c r="AE51" s="17">
        <f t="shared" si="64"/>
        <v>3.1944609590400574</v>
      </c>
      <c r="AF51" s="17">
        <f t="shared" si="64"/>
        <v>3.5419104859275352</v>
      </c>
    </row>
    <row r="52" spans="1:32" x14ac:dyDescent="0.2">
      <c r="A52" t="str">
        <f>$A$14</f>
        <v>Sales and customer service occupations</v>
      </c>
      <c r="B52" s="17">
        <f t="shared" si="42"/>
        <v>-1.7843345471418526</v>
      </c>
      <c r="C52" s="17">
        <f t="shared" si="42"/>
        <v>-1.6969744823330912</v>
      </c>
      <c r="D52" s="17">
        <f t="shared" si="42"/>
        <v>6.7941874062027452E-2</v>
      </c>
      <c r="E52" s="17">
        <f t="shared" si="42"/>
        <v>-5.0334982653887916E-2</v>
      </c>
      <c r="F52" s="17">
        <f t="shared" si="54"/>
        <v>-1.0924905154785503E-2</v>
      </c>
      <c r="H52" s="17">
        <f t="shared" si="51"/>
        <v>-1.0924905154785503E-2</v>
      </c>
      <c r="I52" s="17">
        <f t="shared" si="51"/>
        <v>2.5360380669566585</v>
      </c>
      <c r="J52" s="17">
        <f t="shared" si="51"/>
        <v>2.5283460156689364</v>
      </c>
      <c r="L52" t="str">
        <f>$A$14</f>
        <v>Sales and customer service occupations</v>
      </c>
      <c r="M52" s="17">
        <f t="shared" si="43"/>
        <v>-1.3960562716879399</v>
      </c>
      <c r="N52" s="17">
        <f t="shared" si="44"/>
        <v>0.14098998164613352</v>
      </c>
      <c r="O52" s="17">
        <f t="shared" si="45"/>
        <v>0.28153037236542389</v>
      </c>
      <c r="P52" s="17">
        <f t="shared" si="46"/>
        <v>0.20416558547060593</v>
      </c>
      <c r="Q52" s="17">
        <f t="shared" si="55"/>
        <v>0.22994721381945915</v>
      </c>
      <c r="S52" s="17">
        <f t="shared" ref="S52:U52" si="65">IF($F$6-$D$6 &lt;&gt; 0,(EXP(LN(1+(S32/100))/($F$6-$D$6))-1)*100,0)</f>
        <v>0.22994721381945915</v>
      </c>
      <c r="T52" s="17">
        <f t="shared" si="65"/>
        <v>2.0759902219116499</v>
      </c>
      <c r="U52" s="17">
        <f t="shared" si="65"/>
        <v>2.2491855543642858</v>
      </c>
      <c r="W52" t="str">
        <f>$A$14</f>
        <v>Sales and customer service occupations</v>
      </c>
      <c r="X52" s="17">
        <f t="shared" si="47"/>
        <v>-2.1095888668149265</v>
      </c>
      <c r="Y52" s="17">
        <f t="shared" si="48"/>
        <v>-3.2648124747535534</v>
      </c>
      <c r="Z52" s="17">
        <f t="shared" si="49"/>
        <v>-0.12219821695577116</v>
      </c>
      <c r="AA52" s="17">
        <f t="shared" si="50"/>
        <v>-0.28475832978279714</v>
      </c>
      <c r="AB52" s="17">
        <f t="shared" si="57"/>
        <v>-0.2306010447059248</v>
      </c>
      <c r="AD52" s="17">
        <f t="shared" ref="AD52:AF52" si="66">IF($F$6-$D$6 &lt;&gt; 0,(EXP(LN(1+(AD32/100))/($F$6-$D$6))-1)*100,0)</f>
        <v>-0.2306010447059248</v>
      </c>
      <c r="AE52" s="17">
        <f t="shared" si="66"/>
        <v>2.9195681765502801</v>
      </c>
      <c r="AF52" s="17">
        <f t="shared" si="66"/>
        <v>2.7663133220647618</v>
      </c>
    </row>
    <row r="53" spans="1:32" x14ac:dyDescent="0.2">
      <c r="A53" t="str">
        <f>$A$15</f>
        <v>Process, plant and machine operatives</v>
      </c>
      <c r="B53" s="17">
        <f t="shared" si="42"/>
        <v>2.5110867350833121</v>
      </c>
      <c r="C53" s="17">
        <f t="shared" si="42"/>
        <v>-10.741962373522295</v>
      </c>
      <c r="D53" s="17">
        <f t="shared" si="42"/>
        <v>2.5208698025965148</v>
      </c>
      <c r="E53" s="17">
        <f t="shared" si="42"/>
        <v>-9.0636395639331901E-3</v>
      </c>
      <c r="F53" s="17">
        <f t="shared" si="54"/>
        <v>0.82723344550887923</v>
      </c>
      <c r="H53" s="17">
        <f t="shared" si="51"/>
        <v>0.82723344550887923</v>
      </c>
      <c r="I53" s="17">
        <f t="shared" si="51"/>
        <v>3.0743244363083511</v>
      </c>
      <c r="J53" s="17">
        <f t="shared" si="51"/>
        <v>3.6269975247951391</v>
      </c>
      <c r="L53" t="str">
        <f>$A$15</f>
        <v>Process, plant and machine operatives</v>
      </c>
      <c r="M53" s="17">
        <f t="shared" si="43"/>
        <v>2.9272611259569592</v>
      </c>
      <c r="N53" s="17">
        <f t="shared" si="44"/>
        <v>-12.044701663809331</v>
      </c>
      <c r="O53" s="17">
        <f t="shared" si="45"/>
        <v>2.0015665590600085</v>
      </c>
      <c r="P53" s="17">
        <f t="shared" si="46"/>
        <v>-0.18375862486421646</v>
      </c>
      <c r="Q53" s="17">
        <f t="shared" si="55"/>
        <v>0.53943079133444982</v>
      </c>
      <c r="S53" s="17">
        <f t="shared" ref="S53:U53" si="67">IF($F$6-$D$6 &lt;&gt; 0,(EXP(LN(1+(S33/100))/($F$6-$D$6))-1)*100,0)</f>
        <v>0.53943079133444982</v>
      </c>
      <c r="T53" s="17">
        <f t="shared" si="67"/>
        <v>2.970580075039897</v>
      </c>
      <c r="U53" s="17">
        <f t="shared" si="67"/>
        <v>3.3333914983655788</v>
      </c>
      <c r="W53" t="str">
        <f>$A$15</f>
        <v>Process, plant and machine operatives</v>
      </c>
      <c r="X53" s="17">
        <f t="shared" si="47"/>
        <v>-1.8073236485365629</v>
      </c>
      <c r="Y53" s="17">
        <f t="shared" si="48"/>
        <v>4.4821710170044105</v>
      </c>
      <c r="Z53" s="17">
        <f t="shared" si="49"/>
        <v>7.1422857384854099</v>
      </c>
      <c r="AA53" s="17">
        <f t="shared" si="50"/>
        <v>1.2505763474925713</v>
      </c>
      <c r="AB53" s="17">
        <f t="shared" si="57"/>
        <v>3.1775723230748731</v>
      </c>
      <c r="AD53" s="17">
        <f t="shared" ref="AD53:AF53" si="68">IF($F$6-$D$6 &lt;&gt; 0,(EXP(LN(1+(AD33/100))/($F$6-$D$6))-1)*100,0)</f>
        <v>3.1775723230748731</v>
      </c>
      <c r="AE53" s="17">
        <f t="shared" si="68"/>
        <v>4.024009466238132</v>
      </c>
      <c r="AF53" s="17">
        <f t="shared" si="68"/>
        <v>6.02760311835564</v>
      </c>
    </row>
    <row r="54" spans="1:32" x14ac:dyDescent="0.2">
      <c r="A54" t="str">
        <f>$A$16</f>
        <v>Elementary occupations</v>
      </c>
      <c r="B54" s="17">
        <f t="shared" si="42"/>
        <v>1.1173120611112086</v>
      </c>
      <c r="C54" s="17">
        <f t="shared" si="42"/>
        <v>-8.3241689809601116</v>
      </c>
      <c r="D54" s="17">
        <f t="shared" si="42"/>
        <v>0.2659526679711588</v>
      </c>
      <c r="E54" s="17">
        <f t="shared" si="42"/>
        <v>-7.1440635580244383E-2</v>
      </c>
      <c r="F54" s="17">
        <f t="shared" si="54"/>
        <v>4.089746290780738E-2</v>
      </c>
      <c r="H54" s="17">
        <f t="shared" si="51"/>
        <v>4.089746290780738E-2</v>
      </c>
      <c r="I54" s="17">
        <f t="shared" si="51"/>
        <v>2.7767165994375009</v>
      </c>
      <c r="J54" s="17">
        <f t="shared" si="51"/>
        <v>2.8046155798236994</v>
      </c>
      <c r="L54" t="str">
        <f>$A$16</f>
        <v>Elementary occupations</v>
      </c>
      <c r="M54" s="17">
        <f t="shared" si="43"/>
        <v>0.36631100635338143</v>
      </c>
      <c r="N54" s="17">
        <f t="shared" si="44"/>
        <v>-4.6692743272409354</v>
      </c>
      <c r="O54" s="17">
        <f t="shared" si="45"/>
        <v>0.62226617950260632</v>
      </c>
      <c r="P54" s="17">
        <f t="shared" si="46"/>
        <v>-0.17899161386850659</v>
      </c>
      <c r="Q54" s="17">
        <f t="shared" si="55"/>
        <v>8.7382859053497519E-2</v>
      </c>
      <c r="S54" s="17">
        <f t="shared" ref="S54:U54" si="69">IF($F$6-$D$6 &lt;&gt; 0,(EXP(LN(1+(S34/100))/($F$6-$D$6))-1)*100,0)</f>
        <v>8.7382859053497519E-2</v>
      </c>
      <c r="T54" s="17">
        <f t="shared" si="69"/>
        <v>2.4034384297602962</v>
      </c>
      <c r="U54" s="17">
        <f t="shared" si="69"/>
        <v>2.4662177252680051</v>
      </c>
      <c r="W54" t="str">
        <f>$A$16</f>
        <v>Elementary occupations</v>
      </c>
      <c r="X54" s="17">
        <f t="shared" si="47"/>
        <v>1.903441049202903</v>
      </c>
      <c r="Y54" s="17">
        <f t="shared" si="48"/>
        <v>-12.007384259776776</v>
      </c>
      <c r="Z54" s="17">
        <f t="shared" si="49"/>
        <v>-0.12893972807576093</v>
      </c>
      <c r="AA54" s="17">
        <f t="shared" si="50"/>
        <v>4.9219007712397733E-2</v>
      </c>
      <c r="AB54" s="17">
        <f t="shared" si="57"/>
        <v>-1.0202522375546419E-2</v>
      </c>
      <c r="AD54" s="17">
        <f t="shared" ref="AD54:AF54" si="70">IF($F$6-$D$6 &lt;&gt; 0,(EXP(LN(1+(AD34/100))/($F$6-$D$6))-1)*100,0)</f>
        <v>-1.0202522375546419E-2</v>
      </c>
      <c r="AE54" s="17">
        <f t="shared" si="70"/>
        <v>3.1636904382736697</v>
      </c>
      <c r="AF54" s="17">
        <f t="shared" si="70"/>
        <v>3.1570954264505291</v>
      </c>
    </row>
    <row r="55" spans="1:32" x14ac:dyDescent="0.2">
      <c r="B55" s="17"/>
      <c r="C55" s="17"/>
      <c r="D55" s="17"/>
      <c r="E55" s="17"/>
      <c r="F55" s="17"/>
      <c r="H55" s="17"/>
      <c r="I55" s="17"/>
      <c r="J55" s="17"/>
      <c r="M55" s="17"/>
      <c r="N55" s="17"/>
      <c r="O55" s="17"/>
      <c r="P55" s="17"/>
      <c r="Q55" s="17"/>
      <c r="S55" s="17"/>
      <c r="T55" s="17"/>
      <c r="U55" s="17"/>
      <c r="X55" s="17"/>
      <c r="Y55" s="17"/>
      <c r="Z55" s="17"/>
      <c r="AA55" s="17"/>
      <c r="AB55" s="17"/>
      <c r="AD55" s="17"/>
      <c r="AE55" s="17"/>
      <c r="AF55" s="17"/>
    </row>
    <row r="56" spans="1:32" x14ac:dyDescent="0.2">
      <c r="A56" s="23" t="str">
        <f>$A$18</f>
        <v>All occupations</v>
      </c>
      <c r="B56" s="25">
        <f>IF(C$6-B$6 &lt;&gt; 0,(EXP(LN(C18/B18)/(C$6-B$6))-1)*100,0)</f>
        <v>1.733179610351665</v>
      </c>
      <c r="C56" s="25">
        <f>IF(D$6-C$6 &lt;&gt; 0,(EXP(LN(D18/C18)/(D$6-C$6))-1)*100,0)</f>
        <v>-0.54833096223986244</v>
      </c>
      <c r="D56" s="25">
        <f>IF(E$6-D$6 &lt;&gt; 0,(EXP(LN(E18/D18)/(E$6-D$6))-1)*100,0)</f>
        <v>0.80192927975628603</v>
      </c>
      <c r="E56" s="25">
        <f>IF(F$6-E$6 &lt;&gt; 0,(EXP(LN(F18/E18)/(F$6-E$6))-1)*100,0)</f>
        <v>0.47742864675834884</v>
      </c>
      <c r="F56" s="25">
        <f t="shared" si="54"/>
        <v>0.58547928810914751</v>
      </c>
      <c r="H56" s="25">
        <f t="shared" si="51"/>
        <v>0.58547928810914751</v>
      </c>
      <c r="I56" s="25">
        <f t="shared" ref="I56" si="71">IF($F$6-$D$6 &lt;&gt; 0,(EXP(LN(1+(I36/100))/($F$6-$D$6))-1)*100,0)</f>
        <v>2.7960571932020839</v>
      </c>
      <c r="J56" s="25">
        <f t="shared" ref="J56" si="72">IF($F$6-$D$6 &lt;&gt; 0,(EXP(LN(1+(J36/100))/($F$6-$D$6))-1)*100,0)</f>
        <v>3.1994766525636598</v>
      </c>
      <c r="L56" s="23" t="str">
        <f>$A$18</f>
        <v>All occupations</v>
      </c>
      <c r="M56" s="25">
        <f>IF(N$6-M$6 &lt;&gt; 0,(EXP(LN(N18/M18)/(N$6-M$6))-1)*100,0)</f>
        <v>1.759908584579617</v>
      </c>
      <c r="N56" s="25">
        <f>IF(O$6-N$6 &lt;&gt; 0,(EXP(LN(O18/N18)/(O$6-N$6))-1)*100,0)</f>
        <v>-1.5465193902851393</v>
      </c>
      <c r="O56" s="25">
        <f>IF(P$6-O$6 &lt;&gt; 0,(EXP(LN(P18/O18)/(P$6-O$6))-1)*100,0)</f>
        <v>0.8557017850007842</v>
      </c>
      <c r="P56" s="25">
        <f>IF(Q$6-P$6 &lt;&gt; 0,(EXP(LN(Q18/P18)/(Q$6-P$6))-1)*100,0)</f>
        <v>0.47566000660146379</v>
      </c>
      <c r="Q56" s="25">
        <f t="shared" ref="Q56" si="73">IF(Q$6-O$6 &lt;&gt; 0,(EXP(LN(Q18/O18)/(Q$6-O$6))-1)*100,0)</f>
        <v>0.60218121418280646</v>
      </c>
      <c r="S56" s="25">
        <f t="shared" ref="S56:U56" si="74">IF($F$6-$D$6 &lt;&gt; 0,(EXP(LN(1+(S36/100))/($F$6-$D$6))-1)*100,0)</f>
        <v>0.60218121418280646</v>
      </c>
      <c r="T56" s="25">
        <f t="shared" si="74"/>
        <v>2.4580298908200016</v>
      </c>
      <c r="U56" s="25">
        <f t="shared" si="74"/>
        <v>2.8920966326440478</v>
      </c>
      <c r="W56" s="23" t="str">
        <f>$A$18</f>
        <v>All occupations</v>
      </c>
      <c r="X56" s="25">
        <f>IF(Y$6-X$6 &lt;&gt; 0,(EXP(LN(Y18/X18)/(Y$6-X$6))-1)*100,0)</f>
        <v>1.703121496365978</v>
      </c>
      <c r="Y56" s="25">
        <f>IF(Z$6-Y$6 &lt;&gt; 0,(EXP(LN(Z18/Y18)/(Z$6-Y$6))-1)*100,0)</f>
        <v>0.57575114383392467</v>
      </c>
      <c r="Z56" s="25">
        <f>IF(AA$6-Z$6 &lt;&gt; 0,(EXP(LN(AA18/Z18)/(AA$6-Z$6))-1)*100,0)</f>
        <v>0.74251937821057101</v>
      </c>
      <c r="AA56" s="25">
        <f>IF(AB$6-AA$6 &lt;&gt; 0,(EXP(LN(AB18/AA18)/(AB$6-AA$6))-1)*100,0)</f>
        <v>0.47938897359525168</v>
      </c>
      <c r="AB56" s="25">
        <f t="shared" ref="AB56" si="75">IF(AB$6-Z$6 &lt;&gt; 0,(EXP(LN(AB18/Z18)/(AB$6-Z$6))-1)*100,0)</f>
        <v>0.56702265602246449</v>
      </c>
      <c r="AD56" s="25">
        <f t="shared" ref="AD56:AF56" si="76">IF($F$6-$D$6 &lt;&gt; 0,(EXP(LN(1+(AD36/100))/($F$6-$D$6))-1)*100,0)</f>
        <v>0.56702265602246449</v>
      </c>
      <c r="AE56" s="25">
        <f t="shared" si="76"/>
        <v>3.151495360809009</v>
      </c>
      <c r="AF56" s="25">
        <f t="shared" si="76"/>
        <v>3.5240993673079757</v>
      </c>
    </row>
    <row r="57" spans="1:32" x14ac:dyDescent="0.2">
      <c r="B57" s="17"/>
      <c r="C57" s="17"/>
      <c r="D57" s="17"/>
      <c r="E57" s="17"/>
      <c r="F57" s="17"/>
      <c r="M57" s="17"/>
      <c r="N57" s="17"/>
      <c r="O57" s="17"/>
      <c r="P57" s="17"/>
      <c r="Q57" s="17"/>
      <c r="X57" s="17"/>
      <c r="Y57" s="17"/>
      <c r="Z57" s="17"/>
      <c r="AA57" s="17"/>
      <c r="AB57" s="17"/>
    </row>
    <row r="58" spans="1:32" x14ac:dyDescent="0.2">
      <c r="B58" s="17"/>
      <c r="C58" s="17"/>
      <c r="D58" s="17"/>
      <c r="E58" s="17"/>
      <c r="F58" s="17"/>
      <c r="M58" s="17"/>
      <c r="N58" s="17"/>
      <c r="O58" s="17"/>
      <c r="P58" s="17"/>
      <c r="Q58" s="17"/>
      <c r="X58" s="17"/>
      <c r="Y58" s="17"/>
      <c r="Z58" s="17"/>
      <c r="AA58" s="17"/>
      <c r="AB58" s="17"/>
    </row>
    <row r="59" spans="1:32" x14ac:dyDescent="0.2">
      <c r="B59" s="17"/>
      <c r="C59" s="17"/>
      <c r="D59" s="17"/>
      <c r="E59" s="17"/>
      <c r="F59" s="15" t="s">
        <v>35</v>
      </c>
      <c r="M59" s="17"/>
      <c r="N59" s="17"/>
      <c r="O59" s="17"/>
      <c r="P59" s="17"/>
      <c r="Q59" s="15" t="s">
        <v>35</v>
      </c>
      <c r="X59" s="17"/>
      <c r="Y59" s="17"/>
      <c r="Z59" s="17"/>
      <c r="AA59" s="17"/>
      <c r="AB59" s="15" t="s">
        <v>35</v>
      </c>
    </row>
    <row r="60" spans="1:32" x14ac:dyDescent="0.2">
      <c r="A60" s="35"/>
      <c r="B60" s="65"/>
      <c r="C60" s="65"/>
      <c r="D60" s="65"/>
      <c r="E60" s="65"/>
      <c r="F60" s="65"/>
      <c r="L60" s="35"/>
      <c r="M60" s="65"/>
      <c r="N60" s="65"/>
      <c r="O60" s="65"/>
      <c r="P60" s="65"/>
      <c r="Q60" s="65"/>
      <c r="W60" s="35"/>
      <c r="X60" s="65"/>
      <c r="Y60" s="65"/>
      <c r="Z60" s="65"/>
      <c r="AA60" s="65"/>
      <c r="AB60" s="65"/>
    </row>
    <row r="62" spans="1:32" x14ac:dyDescent="0.2">
      <c r="A62" s="40" t="s">
        <v>15</v>
      </c>
      <c r="B62" s="63" t="str">
        <f>CONCATENATE(B$6,"-",C$6)</f>
        <v>2015-2019</v>
      </c>
      <c r="C62" s="63" t="str">
        <f>CONCATENATE(C$6,"-",D$6)</f>
        <v>2019-2020</v>
      </c>
      <c r="D62" s="63" t="str">
        <f>CONCATENATE(D$6,"-",E$6)</f>
        <v>2020-2025</v>
      </c>
      <c r="E62" s="63" t="str">
        <f>CONCATENATE(E$6,"-",F$6)</f>
        <v>2025-2035</v>
      </c>
      <c r="F62" s="63" t="str">
        <f>CONCATENATE(D$6,"-",F$6)</f>
        <v>2020-2035</v>
      </c>
      <c r="L62" s="40" t="s">
        <v>15</v>
      </c>
      <c r="M62" s="63" t="str">
        <f>CONCATENATE(M$6,"-",N$6)</f>
        <v>2015-2019</v>
      </c>
      <c r="N62" s="63" t="str">
        <f>CONCATENATE(N$6,"-",O$6)</f>
        <v>2019-2020</v>
      </c>
      <c r="O62" s="63" t="str">
        <f>CONCATENATE(O$6,"-",P$6)</f>
        <v>2020-2025</v>
      </c>
      <c r="P62" s="63" t="str">
        <f>CONCATENATE(P$6,"-",Q$6)</f>
        <v>2025-2035</v>
      </c>
      <c r="Q62" s="63" t="str">
        <f>CONCATENATE(O$6,"-",Q$6)</f>
        <v>2020-2035</v>
      </c>
      <c r="W62" s="40" t="s">
        <v>15</v>
      </c>
      <c r="X62" s="63" t="str">
        <f>CONCATENATE(X$6,"-",Y$6)</f>
        <v>2015-2019</v>
      </c>
      <c r="Y62" s="63" t="str">
        <f>CONCATENATE(Y$6,"-",Z$6)</f>
        <v>2019-2020</v>
      </c>
      <c r="Z62" s="63" t="str">
        <f>CONCATENATE(Z$6,"-",AA$6)</f>
        <v>2020-2025</v>
      </c>
      <c r="AA62" s="63" t="str">
        <f>CONCATENATE(AA$6,"-",AB$6)</f>
        <v>2025-2035</v>
      </c>
      <c r="AB62" s="63" t="str">
        <f>CONCATENATE(Z$6,"-",AB$6)</f>
        <v>2020-2035</v>
      </c>
    </row>
    <row r="63" spans="1:32" x14ac:dyDescent="0.2">
      <c r="A63" s="1"/>
      <c r="B63" s="19"/>
      <c r="C63" s="19"/>
      <c r="D63" s="19"/>
      <c r="E63" s="19"/>
      <c r="F63" s="19"/>
      <c r="L63" s="1"/>
      <c r="M63" s="19"/>
      <c r="N63" s="19"/>
      <c r="O63" s="19"/>
      <c r="P63" s="19"/>
      <c r="Q63" s="19"/>
      <c r="W63" s="1"/>
      <c r="X63" s="19"/>
      <c r="Y63" s="19"/>
      <c r="Z63" s="19"/>
      <c r="AA63" s="19"/>
      <c r="AB63" s="19"/>
    </row>
    <row r="64" spans="1:32" x14ac:dyDescent="0.2">
      <c r="A64" t="str">
        <f>$A$8</f>
        <v>Managers, directors and senior officials</v>
      </c>
      <c r="B64" s="26">
        <f t="shared" ref="B64:E72" si="77">C8-B8</f>
        <v>98.408933369679971</v>
      </c>
      <c r="C64" s="26">
        <f t="shared" si="77"/>
        <v>0.20230700129320667</v>
      </c>
      <c r="D64" s="26">
        <f t="shared" si="77"/>
        <v>29.017393928036881</v>
      </c>
      <c r="E64" s="26">
        <f t="shared" si="77"/>
        <v>71.336133673654103</v>
      </c>
      <c r="F64" s="26">
        <f>F8-D8</f>
        <v>100.35352760169098</v>
      </c>
      <c r="L64" t="str">
        <f>$A$8</f>
        <v>Managers, directors and senior officials</v>
      </c>
      <c r="M64" s="26">
        <f t="shared" ref="M64:M72" si="78">N8-M8</f>
        <v>55.230028948541246</v>
      </c>
      <c r="N64" s="26">
        <f t="shared" ref="N64:N72" si="79">O8-N8</f>
        <v>-6.1143749363801589</v>
      </c>
      <c r="O64" s="26">
        <f t="shared" ref="O64:O72" si="80">P8-O8</f>
        <v>9.7587254539740798</v>
      </c>
      <c r="P64" s="26">
        <f t="shared" ref="P64:P72" si="81">Q8-P8</f>
        <v>33.067635796862476</v>
      </c>
      <c r="Q64" s="26">
        <f>Q8-O8</f>
        <v>42.826361250836555</v>
      </c>
      <c r="W64" t="str">
        <f>$A$8</f>
        <v>Managers, directors and senior officials</v>
      </c>
      <c r="X64" s="26">
        <f t="shared" ref="X64:X72" si="82">Y8-X8</f>
        <v>43.178904421138412</v>
      </c>
      <c r="Y64" s="26">
        <f t="shared" ref="Y64:Y72" si="83">Z8-Y8</f>
        <v>6.3166819376733656</v>
      </c>
      <c r="Z64" s="26">
        <f t="shared" ref="Z64:Z72" si="84">AA8-Z8</f>
        <v>19.258668474064734</v>
      </c>
      <c r="AA64" s="26">
        <f t="shared" ref="AA64:AA72" si="85">AB8-AA8</f>
        <v>38.268497876789468</v>
      </c>
      <c r="AB64" s="26">
        <f>AB8-Z8</f>
        <v>57.527166350854202</v>
      </c>
    </row>
    <row r="65" spans="1:31" x14ac:dyDescent="0.2">
      <c r="A65" t="str">
        <f>$A$9</f>
        <v>Professional occupations</v>
      </c>
      <c r="B65" s="26">
        <f t="shared" si="77"/>
        <v>224.68951882743409</v>
      </c>
      <c r="C65" s="26">
        <f t="shared" si="77"/>
        <v>73.057974156349701</v>
      </c>
      <c r="D65" s="26">
        <f t="shared" si="77"/>
        <v>162.98196194383081</v>
      </c>
      <c r="E65" s="26">
        <f t="shared" si="77"/>
        <v>165.16944650055507</v>
      </c>
      <c r="F65" s="26">
        <f t="shared" ref="F65:F72" si="86">F9-D9</f>
        <v>328.15140844438588</v>
      </c>
      <c r="L65" t="str">
        <f>$A$9</f>
        <v>Professional occupations</v>
      </c>
      <c r="M65" s="26">
        <f t="shared" si="78"/>
        <v>121.79016861531056</v>
      </c>
      <c r="N65" s="26">
        <f t="shared" si="79"/>
        <v>25.443307539387433</v>
      </c>
      <c r="O65" s="26">
        <f t="shared" si="80"/>
        <v>85.730091358099344</v>
      </c>
      <c r="P65" s="26">
        <f t="shared" si="81"/>
        <v>78.339136315582664</v>
      </c>
      <c r="Q65" s="26">
        <f t="shared" ref="Q65:Q72" si="87">Q9-O9</f>
        <v>164.06922767368201</v>
      </c>
      <c r="W65" t="str">
        <f>$A$9</f>
        <v>Professional occupations</v>
      </c>
      <c r="X65" s="26">
        <f t="shared" si="82"/>
        <v>102.8993502121258</v>
      </c>
      <c r="Y65" s="26">
        <f t="shared" si="83"/>
        <v>47.61466661696079</v>
      </c>
      <c r="Z65" s="26">
        <f t="shared" si="84"/>
        <v>77.251870585730671</v>
      </c>
      <c r="AA65" s="26">
        <f t="shared" si="85"/>
        <v>86.830310184977293</v>
      </c>
      <c r="AB65" s="26">
        <f t="shared" ref="AB65:AB72" si="88">AB9-Z9</f>
        <v>164.08218077070796</v>
      </c>
    </row>
    <row r="66" spans="1:31" x14ac:dyDescent="0.2">
      <c r="A66" t="str">
        <f>$A$10</f>
        <v>Associate professional occupations</v>
      </c>
      <c r="B66" s="26">
        <f t="shared" si="77"/>
        <v>63.056486588916641</v>
      </c>
      <c r="C66" s="26">
        <f t="shared" si="77"/>
        <v>50.560282287759946</v>
      </c>
      <c r="D66" s="26">
        <f t="shared" si="77"/>
        <v>-2.2312955903169041</v>
      </c>
      <c r="E66" s="26">
        <f t="shared" si="77"/>
        <v>67.622060100981344</v>
      </c>
      <c r="F66" s="26">
        <f t="shared" si="86"/>
        <v>65.39076451066444</v>
      </c>
      <c r="L66" t="str">
        <f>$A$10</f>
        <v>Associate professional occupations</v>
      </c>
      <c r="M66" s="26">
        <f t="shared" si="78"/>
        <v>26.775072065322888</v>
      </c>
      <c r="N66" s="26">
        <f t="shared" si="79"/>
        <v>22.266916564443136</v>
      </c>
      <c r="O66" s="26">
        <f t="shared" si="80"/>
        <v>-15.388834406517617</v>
      </c>
      <c r="P66" s="26">
        <f t="shared" si="81"/>
        <v>22.430372275207219</v>
      </c>
      <c r="Q66" s="26">
        <f t="shared" si="87"/>
        <v>7.041537868689602</v>
      </c>
      <c r="W66" t="str">
        <f>$A$10</f>
        <v>Associate professional occupations</v>
      </c>
      <c r="X66" s="26">
        <f t="shared" si="82"/>
        <v>36.281414523594208</v>
      </c>
      <c r="Y66" s="26">
        <f t="shared" si="83"/>
        <v>28.293365723317947</v>
      </c>
      <c r="Z66" s="26">
        <f t="shared" si="84"/>
        <v>13.157538816199349</v>
      </c>
      <c r="AA66" s="26">
        <f t="shared" si="85"/>
        <v>45.191687825773329</v>
      </c>
      <c r="AB66" s="26">
        <f t="shared" si="88"/>
        <v>58.349226641972677</v>
      </c>
    </row>
    <row r="67" spans="1:31" x14ac:dyDescent="0.2">
      <c r="A67" t="str">
        <f>$A$11</f>
        <v>Administrative and secretarial occupations</v>
      </c>
      <c r="B67" s="26">
        <f t="shared" si="77"/>
        <v>-16.773738860639696</v>
      </c>
      <c r="C67" s="26">
        <f t="shared" si="77"/>
        <v>7.4277413719560172</v>
      </c>
      <c r="D67" s="26">
        <f t="shared" si="77"/>
        <v>-38.502273820907476</v>
      </c>
      <c r="E67" s="26">
        <f t="shared" si="77"/>
        <v>-39.703558567111372</v>
      </c>
      <c r="F67" s="26">
        <f t="shared" si="86"/>
        <v>-78.205832388018848</v>
      </c>
      <c r="L67" t="str">
        <f>$A$11</f>
        <v>Administrative and secretarial occupations</v>
      </c>
      <c r="M67" s="26">
        <f t="shared" si="78"/>
        <v>-3.748933999660963</v>
      </c>
      <c r="N67" s="26">
        <f t="shared" si="79"/>
        <v>15.917699995000191</v>
      </c>
      <c r="O67" s="26">
        <f t="shared" si="80"/>
        <v>-9.0264369907241644</v>
      </c>
      <c r="P67" s="26">
        <f t="shared" si="81"/>
        <v>2.1478128201033968</v>
      </c>
      <c r="Q67" s="26">
        <f t="shared" si="87"/>
        <v>-6.8786241706207676</v>
      </c>
      <c r="W67" t="str">
        <f>$A$11</f>
        <v>Administrative and secretarial occupations</v>
      </c>
      <c r="X67" s="26">
        <f t="shared" si="82"/>
        <v>-13.024804860978179</v>
      </c>
      <c r="Y67" s="26">
        <f t="shared" si="83"/>
        <v>-8.4899586230437194</v>
      </c>
      <c r="Z67" s="26">
        <f t="shared" si="84"/>
        <v>-29.475836830183198</v>
      </c>
      <c r="AA67" s="26">
        <f t="shared" si="85"/>
        <v>-41.851371387215181</v>
      </c>
      <c r="AB67" s="26">
        <f t="shared" si="88"/>
        <v>-71.327208217398379</v>
      </c>
    </row>
    <row r="68" spans="1:31" x14ac:dyDescent="0.2">
      <c r="A68" t="str">
        <f>$A$12</f>
        <v>Skilled trades occupations</v>
      </c>
      <c r="B68" s="26">
        <f t="shared" si="77"/>
        <v>-13.912618079524009</v>
      </c>
      <c r="C68" s="26">
        <f t="shared" si="77"/>
        <v>-62.578782833361799</v>
      </c>
      <c r="D68" s="26">
        <f t="shared" si="77"/>
        <v>27.527991431245198</v>
      </c>
      <c r="E68" s="26">
        <f t="shared" si="77"/>
        <v>19.233536306834878</v>
      </c>
      <c r="F68" s="26">
        <f t="shared" si="86"/>
        <v>46.761527738080076</v>
      </c>
      <c r="L68" t="str">
        <f>$A$12</f>
        <v>Skilled trades occupations</v>
      </c>
      <c r="M68" s="26">
        <f t="shared" si="78"/>
        <v>-16.693615155111672</v>
      </c>
      <c r="N68" s="26">
        <f t="shared" si="79"/>
        <v>-63.766594534887759</v>
      </c>
      <c r="O68" s="26">
        <f t="shared" si="80"/>
        <v>18.84929609198258</v>
      </c>
      <c r="P68" s="26">
        <f t="shared" si="81"/>
        <v>12.513851512763267</v>
      </c>
      <c r="Q68" s="26">
        <f t="shared" si="87"/>
        <v>31.363147604745848</v>
      </c>
      <c r="W68" t="str">
        <f>$A$12</f>
        <v>Skilled trades occupations</v>
      </c>
      <c r="X68" s="26">
        <f t="shared" si="82"/>
        <v>2.7809970755884947</v>
      </c>
      <c r="Y68" s="26">
        <f t="shared" si="83"/>
        <v>1.1878117015253693</v>
      </c>
      <c r="Z68" s="26">
        <f t="shared" si="84"/>
        <v>8.6786953392627879</v>
      </c>
      <c r="AA68" s="26">
        <f t="shared" si="85"/>
        <v>6.7196847940717532</v>
      </c>
      <c r="AB68" s="26">
        <f t="shared" si="88"/>
        <v>15.398380133334541</v>
      </c>
    </row>
    <row r="69" spans="1:31" x14ac:dyDescent="0.2">
      <c r="A69" t="str">
        <f>$A$13</f>
        <v>Caring, leisure and other service occupations</v>
      </c>
      <c r="B69" s="26">
        <f t="shared" si="77"/>
        <v>21.069072534051827</v>
      </c>
      <c r="C69" s="26">
        <f t="shared" si="77"/>
        <v>-21.802827361014124</v>
      </c>
      <c r="D69" s="26">
        <f t="shared" si="77"/>
        <v>26.452409760370699</v>
      </c>
      <c r="E69" s="26">
        <f t="shared" si="77"/>
        <v>23.601491144958743</v>
      </c>
      <c r="F69" s="26">
        <f t="shared" si="86"/>
        <v>50.053900905329442</v>
      </c>
      <c r="L69" t="str">
        <f>$A$13</f>
        <v>Caring, leisure and other service occupations</v>
      </c>
      <c r="M69" s="26">
        <f t="shared" si="78"/>
        <v>11.300831503655331</v>
      </c>
      <c r="N69" s="26">
        <f t="shared" si="79"/>
        <v>-2.8363750130293539</v>
      </c>
      <c r="O69" s="26">
        <f t="shared" si="80"/>
        <v>14.278627693554725</v>
      </c>
      <c r="P69" s="26">
        <f t="shared" si="81"/>
        <v>14.755743733108631</v>
      </c>
      <c r="Q69" s="26">
        <f t="shared" si="87"/>
        <v>29.034371426663355</v>
      </c>
      <c r="W69" t="str">
        <f>$A$13</f>
        <v>Caring, leisure and other service occupations</v>
      </c>
      <c r="X69" s="26">
        <f t="shared" si="82"/>
        <v>9.7682410303962683</v>
      </c>
      <c r="Y69" s="26">
        <f t="shared" si="83"/>
        <v>-18.96645234798379</v>
      </c>
      <c r="Z69" s="26">
        <f t="shared" si="84"/>
        <v>12.173782066815448</v>
      </c>
      <c r="AA69" s="26">
        <f t="shared" si="85"/>
        <v>8.8457474118499704</v>
      </c>
      <c r="AB69" s="26">
        <f t="shared" si="88"/>
        <v>21.019529478665419</v>
      </c>
    </row>
    <row r="70" spans="1:31" x14ac:dyDescent="0.2">
      <c r="A70" t="str">
        <f>$A$14</f>
        <v>Sales and customer service occupations</v>
      </c>
      <c r="B70" s="26">
        <f t="shared" si="77"/>
        <v>-27.500677337425998</v>
      </c>
      <c r="C70" s="26">
        <f t="shared" si="77"/>
        <v>-6.2495155298855138</v>
      </c>
      <c r="D70" s="26">
        <f t="shared" si="77"/>
        <v>1.2315033177791861</v>
      </c>
      <c r="E70" s="26">
        <f t="shared" si="77"/>
        <v>-1.8243122858838206</v>
      </c>
      <c r="F70" s="26">
        <f t="shared" si="86"/>
        <v>-0.59280896810463446</v>
      </c>
      <c r="L70" t="str">
        <f>$A$14</f>
        <v>Sales and customer service occupations</v>
      </c>
      <c r="M70" s="26">
        <f t="shared" si="78"/>
        <v>-9.8069423070689936</v>
      </c>
      <c r="N70" s="26">
        <f t="shared" si="79"/>
        <v>0.2390237323632789</v>
      </c>
      <c r="O70" s="26">
        <f t="shared" si="80"/>
        <v>2.4032848443273167</v>
      </c>
      <c r="P70" s="26">
        <f t="shared" si="81"/>
        <v>3.5476878249986328</v>
      </c>
      <c r="Q70" s="26">
        <f t="shared" si="87"/>
        <v>5.9509726693259495</v>
      </c>
      <c r="W70" t="str">
        <f>$A$14</f>
        <v>Sales and customer service occupations</v>
      </c>
      <c r="X70" s="26">
        <f t="shared" si="82"/>
        <v>-17.693735030357459</v>
      </c>
      <c r="Y70" s="26">
        <f t="shared" si="83"/>
        <v>-6.4885392622491338</v>
      </c>
      <c r="Z70" s="26">
        <f t="shared" si="84"/>
        <v>-1.1717815265484433</v>
      </c>
      <c r="AA70" s="26">
        <f t="shared" si="85"/>
        <v>-5.3720001108818565</v>
      </c>
      <c r="AB70" s="26">
        <f t="shared" si="88"/>
        <v>-6.5437816374302997</v>
      </c>
    </row>
    <row r="71" spans="1:31" x14ac:dyDescent="0.2">
      <c r="A71" t="str">
        <f>$A$15</f>
        <v>Process, plant and machine operatives</v>
      </c>
      <c r="B71" s="26">
        <f t="shared" si="77"/>
        <v>22.701053469655363</v>
      </c>
      <c r="C71" s="26">
        <f t="shared" si="77"/>
        <v>-25.820704559427412</v>
      </c>
      <c r="D71" s="26">
        <f t="shared" si="77"/>
        <v>28.44106987269592</v>
      </c>
      <c r="E71" s="26">
        <f t="shared" si="77"/>
        <v>-0.22015000877863145</v>
      </c>
      <c r="F71" s="26">
        <f t="shared" si="86"/>
        <v>28.220919863917288</v>
      </c>
      <c r="L71" t="str">
        <f>$A$15</f>
        <v>Process, plant and machine operatives</v>
      </c>
      <c r="M71" s="26">
        <f t="shared" si="78"/>
        <v>24.135022453826736</v>
      </c>
      <c r="N71" s="26">
        <f t="shared" si="79"/>
        <v>-26.669962692872843</v>
      </c>
      <c r="O71" s="26">
        <f t="shared" si="80"/>
        <v>20.286757926257053</v>
      </c>
      <c r="P71" s="26">
        <f t="shared" si="81"/>
        <v>-3.9190591984065861</v>
      </c>
      <c r="Q71" s="26">
        <f t="shared" si="87"/>
        <v>16.367698727850467</v>
      </c>
      <c r="W71" t="str">
        <f>$A$15</f>
        <v>Process, plant and machine operatives</v>
      </c>
      <c r="X71" s="26">
        <f t="shared" si="82"/>
        <v>-1.4339689841720116</v>
      </c>
      <c r="Y71" s="26">
        <f t="shared" si="83"/>
        <v>0.84925813344542433</v>
      </c>
      <c r="Z71" s="26">
        <f t="shared" si="84"/>
        <v>8.1543119464385825</v>
      </c>
      <c r="AA71" s="26">
        <f t="shared" si="85"/>
        <v>3.6989091896288393</v>
      </c>
      <c r="AB71" s="26">
        <f t="shared" si="88"/>
        <v>11.853221136067422</v>
      </c>
    </row>
    <row r="72" spans="1:31" x14ac:dyDescent="0.2">
      <c r="A72" t="str">
        <f>$A$16</f>
        <v>Elementary occupations</v>
      </c>
      <c r="B72" s="26">
        <f t="shared" si="77"/>
        <v>24.82296948200792</v>
      </c>
      <c r="C72" s="26">
        <f t="shared" si="77"/>
        <v>-47.532474526604346</v>
      </c>
      <c r="D72" s="26">
        <f t="shared" si="77"/>
        <v>6.9982391626363096</v>
      </c>
      <c r="E72" s="26">
        <f t="shared" si="77"/>
        <v>-3.7776468684488691</v>
      </c>
      <c r="F72" s="26">
        <f t="shared" si="86"/>
        <v>3.2205922941874405</v>
      </c>
      <c r="L72" t="str">
        <f>$A$16</f>
        <v>Elementary occupations</v>
      </c>
      <c r="M72" s="26">
        <f t="shared" si="78"/>
        <v>4.1613678705525672</v>
      </c>
      <c r="N72" s="26">
        <f t="shared" si="79"/>
        <v>-13.382640645622928</v>
      </c>
      <c r="O72" s="26">
        <f t="shared" si="80"/>
        <v>8.6074880323583329</v>
      </c>
      <c r="P72" s="26">
        <f t="shared" si="81"/>
        <v>-5.0041810830478539</v>
      </c>
      <c r="Q72" s="26">
        <f t="shared" si="87"/>
        <v>3.603306949310479</v>
      </c>
      <c r="W72" t="str">
        <f>$A$16</f>
        <v>Elementary occupations</v>
      </c>
      <c r="X72" s="26">
        <f t="shared" si="82"/>
        <v>20.66160161145342</v>
      </c>
      <c r="Y72" s="26">
        <f t="shared" si="83"/>
        <v>-34.149833880980253</v>
      </c>
      <c r="Z72" s="26">
        <f t="shared" si="84"/>
        <v>-1.6092488697222507</v>
      </c>
      <c r="AA72" s="26">
        <f t="shared" si="85"/>
        <v>1.2265342145985301</v>
      </c>
      <c r="AB72" s="26">
        <f t="shared" si="88"/>
        <v>-0.3827146551237206</v>
      </c>
    </row>
    <row r="73" spans="1:31" x14ac:dyDescent="0.2">
      <c r="B73" s="26"/>
      <c r="C73" s="26"/>
      <c r="D73" s="26"/>
      <c r="E73" s="26"/>
      <c r="F73" s="26"/>
      <c r="M73" s="26"/>
      <c r="N73" s="26"/>
      <c r="O73" s="26"/>
      <c r="P73" s="26"/>
      <c r="Q73" s="26"/>
      <c r="X73" s="26"/>
      <c r="Y73" s="26"/>
      <c r="Z73" s="26"/>
      <c r="AA73" s="26"/>
      <c r="AB73" s="26"/>
    </row>
    <row r="74" spans="1:31" x14ac:dyDescent="0.2">
      <c r="A74" s="23" t="str">
        <f>$A$18</f>
        <v>All occupations</v>
      </c>
      <c r="B74" s="28">
        <f>C18-B18</f>
        <v>396.5609999941571</v>
      </c>
      <c r="C74" s="28">
        <f t="shared" ref="C74" si="89">D18-C18</f>
        <v>-32.735999992935831</v>
      </c>
      <c r="D74" s="28">
        <f>E18-D18</f>
        <v>241.91700000537094</v>
      </c>
      <c r="E74" s="28">
        <f>F18-E18</f>
        <v>301.43699999676301</v>
      </c>
      <c r="F74" s="28">
        <f>F18-D18</f>
        <v>543.35400000213394</v>
      </c>
      <c r="L74" s="23" t="str">
        <f>$A$18</f>
        <v>All occupations</v>
      </c>
      <c r="M74" s="28">
        <f>N18-M18</f>
        <v>213.14299999536752</v>
      </c>
      <c r="N74" s="28">
        <f t="shared" ref="N74" si="90">O18-N18</f>
        <v>-48.902999991599245</v>
      </c>
      <c r="O74" s="28">
        <f>P18-O18</f>
        <v>135.49900000331172</v>
      </c>
      <c r="P74" s="28">
        <f>Q18-P18</f>
        <v>157.87899999717183</v>
      </c>
      <c r="Q74" s="28">
        <f>Q18-O18</f>
        <v>293.37800000048355</v>
      </c>
      <c r="W74" s="23" t="str">
        <f>$A$18</f>
        <v>All occupations</v>
      </c>
      <c r="X74" s="28">
        <f>Y18-X18</f>
        <v>183.41799999878867</v>
      </c>
      <c r="Y74" s="28">
        <f t="shared" ref="Y74" si="91">Z18-Y18</f>
        <v>16.166999998666142</v>
      </c>
      <c r="Z74" s="28">
        <f>AA18-Z18</f>
        <v>106.4180000020574</v>
      </c>
      <c r="AA74" s="28">
        <f>AB18-AA18</f>
        <v>143.55799999959208</v>
      </c>
      <c r="AB74" s="28">
        <f>AB18-Z18</f>
        <v>249.97600000164948</v>
      </c>
    </row>
    <row r="78" spans="1:31" x14ac:dyDescent="0.2">
      <c r="D78" s="1" t="s">
        <v>13</v>
      </c>
      <c r="H78" s="40" t="s">
        <v>41</v>
      </c>
      <c r="O78" s="1" t="s">
        <v>13</v>
      </c>
      <c r="S78" s="40" t="s">
        <v>41</v>
      </c>
      <c r="Z78" s="1" t="s">
        <v>13</v>
      </c>
      <c r="AD78" s="40" t="s">
        <v>41</v>
      </c>
    </row>
    <row r="79" spans="1:31" x14ac:dyDescent="0.2">
      <c r="A79" s="21"/>
      <c r="B79" s="22">
        <f>B6</f>
        <v>2015</v>
      </c>
      <c r="C79" s="22">
        <f>C6</f>
        <v>2019</v>
      </c>
      <c r="D79" s="22">
        <f>D6</f>
        <v>2020</v>
      </c>
      <c r="E79" s="22">
        <f>E6</f>
        <v>2025</v>
      </c>
      <c r="F79" s="22">
        <f>F6</f>
        <v>2035</v>
      </c>
      <c r="H79" s="74" t="str">
        <f>CONCATENATE(B$6,"-",D$6)</f>
        <v>2015-2020</v>
      </c>
      <c r="I79" s="74" t="str">
        <f>F44</f>
        <v>2020-2035</v>
      </c>
      <c r="L79" s="21"/>
      <c r="M79" s="22">
        <f>M6</f>
        <v>2015</v>
      </c>
      <c r="N79" s="22">
        <f>N6</f>
        <v>2019</v>
      </c>
      <c r="O79" s="22">
        <f>O6</f>
        <v>2020</v>
      </c>
      <c r="P79" s="22">
        <f>P6</f>
        <v>2025</v>
      </c>
      <c r="Q79" s="22">
        <f>Q6</f>
        <v>2035</v>
      </c>
      <c r="S79" s="74" t="str">
        <f>CONCATENATE(M$6,"-",O$6)</f>
        <v>2015-2020</v>
      </c>
      <c r="T79" s="74" t="str">
        <f>Q44</f>
        <v>2020-2035</v>
      </c>
      <c r="W79" s="21"/>
      <c r="X79" s="22">
        <f>X6</f>
        <v>2015</v>
      </c>
      <c r="Y79" s="22">
        <f>Y6</f>
        <v>2019</v>
      </c>
      <c r="Z79" s="22">
        <f>Z6</f>
        <v>2020</v>
      </c>
      <c r="AA79" s="22">
        <f>AA6</f>
        <v>2025</v>
      </c>
      <c r="AB79" s="22">
        <f>AB6</f>
        <v>2035</v>
      </c>
      <c r="AD79" s="74" t="str">
        <f>CONCATENATE(X$6,"-",Z$6)</f>
        <v>2015-2020</v>
      </c>
      <c r="AE79" s="74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626.46199201398156</v>
      </c>
      <c r="C80" s="11">
        <f t="shared" si="92"/>
        <v>724.87092538366153</v>
      </c>
      <c r="D80" s="11">
        <f t="shared" si="92"/>
        <v>725.07323238495474</v>
      </c>
      <c r="E80" s="11">
        <f t="shared" si="92"/>
        <v>754.09062631299162</v>
      </c>
      <c r="F80" s="11">
        <f t="shared" si="92"/>
        <v>825.42675998664572</v>
      </c>
      <c r="H80" s="39">
        <f>IF(D$6-B$6 &lt;&gt; 0,(EXP(LN(D8/B8)/(D$6-B$6))-1)*100,0)</f>
        <v>2.966850529847509</v>
      </c>
      <c r="I80" s="39">
        <f t="shared" ref="I80:I88" si="93">F46</f>
        <v>0.86793071555335555</v>
      </c>
      <c r="L80" t="str">
        <f t="shared" ref="L80:Q88" si="94">L8</f>
        <v>Managers, directors and senior officials</v>
      </c>
      <c r="M80" s="11">
        <f t="shared" si="94"/>
        <v>406.83484189924536</v>
      </c>
      <c r="N80" s="11">
        <f t="shared" si="94"/>
        <v>462.06487084778661</v>
      </c>
      <c r="O80" s="11">
        <f t="shared" si="94"/>
        <v>455.95049591140645</v>
      </c>
      <c r="P80" s="11">
        <f t="shared" si="94"/>
        <v>465.70922136538053</v>
      </c>
      <c r="Q80" s="11">
        <f t="shared" si="94"/>
        <v>498.776857162243</v>
      </c>
      <c r="S80" s="39">
        <f t="shared" ref="S80:S88" si="95">IF(O$6-M$6 &lt;&gt; 0,(EXP(LN(O8/M8)/(O$6-M$6))-1)*100,0)</f>
        <v>2.3057186878767455</v>
      </c>
      <c r="T80" s="39">
        <f t="shared" ref="T80:T88" si="96">Q46</f>
        <v>0.60029173046061146</v>
      </c>
      <c r="W80" t="str">
        <f t="shared" ref="W80:AB88" si="97">W8</f>
        <v>Managers, directors and senior officials</v>
      </c>
      <c r="X80" s="11">
        <f t="shared" si="97"/>
        <v>219.62715011473679</v>
      </c>
      <c r="Y80" s="11">
        <f t="shared" si="97"/>
        <v>262.80605453587521</v>
      </c>
      <c r="Z80" s="11">
        <f t="shared" si="97"/>
        <v>269.12273647354857</v>
      </c>
      <c r="AA80" s="11">
        <f t="shared" si="97"/>
        <v>288.38140494761331</v>
      </c>
      <c r="AB80" s="11">
        <f t="shared" si="97"/>
        <v>326.64990282440277</v>
      </c>
      <c r="AD80" s="39">
        <f t="shared" ref="AD80:AD88" si="98">IF(Z$6-X$6 &lt;&gt; 0,(EXP(LN(Z8/X8)/(Z$6-X$6))-1)*100,0)</f>
        <v>4.1484648397103641</v>
      </c>
      <c r="AE80" s="39">
        <f t="shared" ref="AE80:AE88" si="99">AB46</f>
        <v>1.2998516958012019</v>
      </c>
    </row>
    <row r="81" spans="1:31" x14ac:dyDescent="0.2">
      <c r="A81" t="str">
        <f t="shared" si="92"/>
        <v>Professional occupations</v>
      </c>
      <c r="B81" s="11">
        <f t="shared" si="92"/>
        <v>1516.4657958964276</v>
      </c>
      <c r="C81" s="11">
        <f t="shared" si="92"/>
        <v>1741.1553147238617</v>
      </c>
      <c r="D81" s="11">
        <f t="shared" si="92"/>
        <v>1814.2132888802114</v>
      </c>
      <c r="E81" s="11">
        <f t="shared" si="92"/>
        <v>1977.1952508240422</v>
      </c>
      <c r="F81" s="11">
        <f t="shared" si="92"/>
        <v>2142.3646973245973</v>
      </c>
      <c r="H81" s="39">
        <f t="shared" ref="H81:H88" si="100">IF(D$6-B$6 &lt;&gt; 0,(EXP(LN(D9/B9)/(D$6-B$6))-1)*100,0)</f>
        <v>3.6504387798138804</v>
      </c>
      <c r="I81" s="39">
        <f t="shared" si="93"/>
        <v>1.1145540086237915</v>
      </c>
      <c r="L81" t="str">
        <f t="shared" si="94"/>
        <v>Professional occupations</v>
      </c>
      <c r="M81" s="11">
        <f t="shared" si="94"/>
        <v>756.18922403047566</v>
      </c>
      <c r="N81" s="11">
        <f t="shared" si="94"/>
        <v>877.97939264578622</v>
      </c>
      <c r="O81" s="11">
        <f t="shared" si="94"/>
        <v>903.42270018517365</v>
      </c>
      <c r="P81" s="11">
        <f t="shared" si="94"/>
        <v>989.152791543273</v>
      </c>
      <c r="Q81" s="11">
        <f t="shared" si="94"/>
        <v>1067.4919278588557</v>
      </c>
      <c r="S81" s="39">
        <f t="shared" si="95"/>
        <v>3.6220316395748853</v>
      </c>
      <c r="T81" s="39">
        <f t="shared" si="96"/>
        <v>1.1187223014986314</v>
      </c>
      <c r="W81" t="str">
        <f t="shared" si="97"/>
        <v>Professional occupations</v>
      </c>
      <c r="X81" s="11">
        <f t="shared" si="97"/>
        <v>760.27657186595002</v>
      </c>
      <c r="Y81" s="11">
        <f t="shared" si="97"/>
        <v>863.17592207807581</v>
      </c>
      <c r="Z81" s="11">
        <f t="shared" si="97"/>
        <v>910.7905886950366</v>
      </c>
      <c r="AA81" s="11">
        <f t="shared" si="97"/>
        <v>988.04245928076728</v>
      </c>
      <c r="AB81" s="11">
        <f t="shared" si="97"/>
        <v>1074.8727694657446</v>
      </c>
      <c r="AD81" s="39">
        <f t="shared" si="98"/>
        <v>3.6786623420514752</v>
      </c>
      <c r="AE81" s="39">
        <f t="shared" si="99"/>
        <v>1.1104170574804062</v>
      </c>
    </row>
    <row r="82" spans="1:31" x14ac:dyDescent="0.2">
      <c r="A82" t="str">
        <f t="shared" si="92"/>
        <v>Associate professional occupations</v>
      </c>
      <c r="B82" s="11">
        <f t="shared" si="92"/>
        <v>971.86115815232506</v>
      </c>
      <c r="C82" s="11">
        <f t="shared" si="92"/>
        <v>1034.9176447412417</v>
      </c>
      <c r="D82" s="11">
        <f t="shared" si="92"/>
        <v>1085.4779270290016</v>
      </c>
      <c r="E82" s="11">
        <f t="shared" si="92"/>
        <v>1083.2466314386847</v>
      </c>
      <c r="F82" s="11">
        <f t="shared" si="92"/>
        <v>1150.8686915396661</v>
      </c>
      <c r="H82" s="39">
        <f t="shared" si="100"/>
        <v>2.2358834644008008</v>
      </c>
      <c r="I82" s="39">
        <f t="shared" si="93"/>
        <v>0.39073917218710452</v>
      </c>
      <c r="L82" t="str">
        <f t="shared" si="94"/>
        <v>Associate professional occupations</v>
      </c>
      <c r="M82" s="11">
        <f t="shared" si="94"/>
        <v>529.6327051007878</v>
      </c>
      <c r="N82" s="11">
        <f t="shared" si="94"/>
        <v>556.40777716611069</v>
      </c>
      <c r="O82" s="11">
        <f t="shared" si="94"/>
        <v>578.67469373055383</v>
      </c>
      <c r="P82" s="11">
        <f t="shared" si="94"/>
        <v>563.28585932403621</v>
      </c>
      <c r="Q82" s="11">
        <f t="shared" si="94"/>
        <v>585.71623159924343</v>
      </c>
      <c r="S82" s="39">
        <f t="shared" si="95"/>
        <v>1.786912016512332</v>
      </c>
      <c r="T82" s="39">
        <f t="shared" si="96"/>
        <v>8.0665502224142038E-2</v>
      </c>
      <c r="W82" t="str">
        <f t="shared" si="97"/>
        <v>Associate professional occupations</v>
      </c>
      <c r="X82" s="11">
        <f t="shared" si="97"/>
        <v>442.2284530515376</v>
      </c>
      <c r="Y82" s="11">
        <f t="shared" si="97"/>
        <v>478.50986757513181</v>
      </c>
      <c r="Z82" s="11">
        <f t="shared" si="97"/>
        <v>506.80323329844975</v>
      </c>
      <c r="AA82" s="11">
        <f t="shared" si="97"/>
        <v>519.9607721146491</v>
      </c>
      <c r="AB82" s="11">
        <f t="shared" si="97"/>
        <v>565.15245994042243</v>
      </c>
      <c r="AD82" s="39">
        <f t="shared" si="98"/>
        <v>2.7634175735210764</v>
      </c>
      <c r="AE82" s="39">
        <f t="shared" si="99"/>
        <v>0.72913001616135009</v>
      </c>
    </row>
    <row r="83" spans="1:31" x14ac:dyDescent="0.2">
      <c r="A83" t="str">
        <f t="shared" si="92"/>
        <v>Administrative and secretarial occupations</v>
      </c>
      <c r="B83" s="11">
        <f t="shared" si="92"/>
        <v>501.70362823889116</v>
      </c>
      <c r="C83" s="11">
        <f t="shared" si="92"/>
        <v>484.92988937825146</v>
      </c>
      <c r="D83" s="11">
        <f t="shared" si="92"/>
        <v>492.35763075020748</v>
      </c>
      <c r="E83" s="11">
        <f t="shared" si="92"/>
        <v>453.8553569293</v>
      </c>
      <c r="F83" s="11">
        <f t="shared" si="92"/>
        <v>414.15179836218863</v>
      </c>
      <c r="H83" s="39">
        <f t="shared" si="100"/>
        <v>-0.37537807140950452</v>
      </c>
      <c r="I83" s="39">
        <f t="shared" si="93"/>
        <v>-1.1465285201289421</v>
      </c>
      <c r="L83" t="str">
        <f t="shared" si="94"/>
        <v>Administrative and secretarial occupations</v>
      </c>
      <c r="M83" s="11">
        <f t="shared" si="94"/>
        <v>110.5420111911194</v>
      </c>
      <c r="N83" s="11">
        <f t="shared" si="94"/>
        <v>106.79307719145844</v>
      </c>
      <c r="O83" s="11">
        <f t="shared" si="94"/>
        <v>122.71077718645863</v>
      </c>
      <c r="P83" s="11">
        <f t="shared" si="94"/>
        <v>113.68434019573446</v>
      </c>
      <c r="Q83" s="11">
        <f t="shared" si="94"/>
        <v>115.83215301583786</v>
      </c>
      <c r="S83" s="39">
        <f t="shared" si="95"/>
        <v>2.1106566330329146</v>
      </c>
      <c r="T83" s="39">
        <f t="shared" si="96"/>
        <v>-0.38384804605801071</v>
      </c>
      <c r="W83" t="str">
        <f t="shared" si="97"/>
        <v>Administrative and secretarial occupations</v>
      </c>
      <c r="X83" s="11">
        <f t="shared" si="97"/>
        <v>391.16161704777102</v>
      </c>
      <c r="Y83" s="11">
        <f t="shared" si="97"/>
        <v>378.13681218679284</v>
      </c>
      <c r="Z83" s="11">
        <f t="shared" si="97"/>
        <v>369.64685356374912</v>
      </c>
      <c r="AA83" s="11">
        <f t="shared" si="97"/>
        <v>340.17101673356592</v>
      </c>
      <c r="AB83" s="11">
        <f t="shared" si="97"/>
        <v>298.31964534635074</v>
      </c>
      <c r="AD83" s="39">
        <f t="shared" si="98"/>
        <v>-1.125077476071612</v>
      </c>
      <c r="AE83" s="39">
        <f t="shared" si="99"/>
        <v>-1.41905219696149</v>
      </c>
    </row>
    <row r="84" spans="1:31" x14ac:dyDescent="0.2">
      <c r="A84" t="str">
        <f t="shared" si="92"/>
        <v>Skilled trades occupations</v>
      </c>
      <c r="B84" s="11">
        <f t="shared" si="92"/>
        <v>438.29484433198445</v>
      </c>
      <c r="C84" s="11">
        <f t="shared" si="92"/>
        <v>424.38222625246044</v>
      </c>
      <c r="D84" s="11">
        <f t="shared" si="92"/>
        <v>361.80344341909864</v>
      </c>
      <c r="E84" s="11">
        <f t="shared" si="92"/>
        <v>389.33143485034384</v>
      </c>
      <c r="F84" s="11">
        <f t="shared" si="92"/>
        <v>408.56497115717872</v>
      </c>
      <c r="H84" s="39">
        <f t="shared" si="100"/>
        <v>-3.7631793800655067</v>
      </c>
      <c r="I84" s="39">
        <f t="shared" si="93"/>
        <v>0.81362447515980207</v>
      </c>
      <c r="L84" t="str">
        <f t="shared" si="94"/>
        <v>Skilled trades occupations</v>
      </c>
      <c r="M84" s="11">
        <f t="shared" si="94"/>
        <v>390.40454868286804</v>
      </c>
      <c r="N84" s="11">
        <f t="shared" si="94"/>
        <v>373.71093352775637</v>
      </c>
      <c r="O84" s="11">
        <f t="shared" si="94"/>
        <v>309.94433899286861</v>
      </c>
      <c r="P84" s="11">
        <f t="shared" si="94"/>
        <v>328.79363508485119</v>
      </c>
      <c r="Q84" s="11">
        <f t="shared" si="94"/>
        <v>341.30748659761446</v>
      </c>
      <c r="S84" s="39">
        <f t="shared" si="95"/>
        <v>-4.5109070735074646</v>
      </c>
      <c r="T84" s="39">
        <f t="shared" si="96"/>
        <v>0.64467622562394133</v>
      </c>
      <c r="W84" t="str">
        <f t="shared" si="97"/>
        <v>Skilled trades occupations</v>
      </c>
      <c r="X84" s="11">
        <f t="shared" si="97"/>
        <v>47.890295649115942</v>
      </c>
      <c r="Y84" s="11">
        <f t="shared" si="97"/>
        <v>50.671292724704436</v>
      </c>
      <c r="Z84" s="11">
        <f t="shared" si="97"/>
        <v>51.859104426229806</v>
      </c>
      <c r="AA84" s="11">
        <f t="shared" si="97"/>
        <v>60.537799765492593</v>
      </c>
      <c r="AB84" s="11">
        <f t="shared" si="97"/>
        <v>67.257484559564347</v>
      </c>
      <c r="AD84" s="39">
        <f t="shared" si="98"/>
        <v>1.6050979541058386</v>
      </c>
      <c r="AE84" s="39">
        <f t="shared" si="99"/>
        <v>1.7484277775282164</v>
      </c>
    </row>
    <row r="85" spans="1:31" x14ac:dyDescent="0.2">
      <c r="A85" t="str">
        <f t="shared" si="92"/>
        <v>Caring, leisure and other service occupations</v>
      </c>
      <c r="B85" s="11">
        <f t="shared" si="92"/>
        <v>359.12796442293251</v>
      </c>
      <c r="C85" s="11">
        <f t="shared" si="92"/>
        <v>380.19703695698433</v>
      </c>
      <c r="D85" s="11">
        <f t="shared" si="92"/>
        <v>358.39420959597021</v>
      </c>
      <c r="E85" s="11">
        <f t="shared" si="92"/>
        <v>384.84661935634091</v>
      </c>
      <c r="F85" s="11">
        <f t="shared" si="92"/>
        <v>408.44811050129965</v>
      </c>
      <c r="H85" s="39">
        <f t="shared" si="100"/>
        <v>-4.0896577623117381E-2</v>
      </c>
      <c r="I85" s="39">
        <f t="shared" si="93"/>
        <v>0.87535136851821793</v>
      </c>
      <c r="L85" t="str">
        <f t="shared" si="94"/>
        <v>Caring, leisure and other service occupations</v>
      </c>
      <c r="M85" s="11">
        <f t="shared" si="94"/>
        <v>96.308125695872519</v>
      </c>
      <c r="N85" s="11">
        <f t="shared" si="94"/>
        <v>107.60895719952785</v>
      </c>
      <c r="O85" s="11">
        <f t="shared" si="94"/>
        <v>104.7725821864985</v>
      </c>
      <c r="P85" s="11">
        <f t="shared" si="94"/>
        <v>119.05120988005322</v>
      </c>
      <c r="Q85" s="11">
        <f t="shared" si="94"/>
        <v>133.80695361316185</v>
      </c>
      <c r="S85" s="39">
        <f t="shared" si="95"/>
        <v>1.6990610640272852</v>
      </c>
      <c r="T85" s="39">
        <f t="shared" si="96"/>
        <v>1.6440752513606327</v>
      </c>
      <c r="W85" t="str">
        <f t="shared" si="97"/>
        <v>Caring, leisure and other service occupations</v>
      </c>
      <c r="X85" s="11">
        <f t="shared" si="97"/>
        <v>262.81983872705973</v>
      </c>
      <c r="Y85" s="11">
        <f t="shared" si="97"/>
        <v>272.588079757456</v>
      </c>
      <c r="Z85" s="11">
        <f t="shared" si="97"/>
        <v>253.62162740947221</v>
      </c>
      <c r="AA85" s="11">
        <f t="shared" si="97"/>
        <v>265.79540947628766</v>
      </c>
      <c r="AB85" s="11">
        <f t="shared" si="97"/>
        <v>274.64115688813763</v>
      </c>
      <c r="AD85" s="39">
        <f t="shared" si="98"/>
        <v>-0.70997315927614491</v>
      </c>
      <c r="AE85" s="39">
        <f t="shared" si="99"/>
        <v>0.53222371181833594</v>
      </c>
    </row>
    <row r="86" spans="1:31" x14ac:dyDescent="0.2">
      <c r="A86" t="str">
        <f t="shared" si="92"/>
        <v>Sales and customer service occupations</v>
      </c>
      <c r="B86" s="11">
        <f t="shared" si="92"/>
        <v>395.77466112139808</v>
      </c>
      <c r="C86" s="11">
        <f t="shared" si="92"/>
        <v>368.27398378397208</v>
      </c>
      <c r="D86" s="11">
        <f t="shared" si="92"/>
        <v>362.02446825408657</v>
      </c>
      <c r="E86" s="11">
        <f t="shared" si="92"/>
        <v>363.25597157186576</v>
      </c>
      <c r="F86" s="11">
        <f t="shared" si="92"/>
        <v>361.43165928598194</v>
      </c>
      <c r="H86" s="39">
        <f t="shared" si="100"/>
        <v>-1.7668687472097377</v>
      </c>
      <c r="I86" s="39">
        <f t="shared" si="93"/>
        <v>-1.0924905154785503E-2</v>
      </c>
      <c r="L86" t="str">
        <f t="shared" si="94"/>
        <v>Sales and customer service occupations</v>
      </c>
      <c r="M86" s="11">
        <f t="shared" si="94"/>
        <v>179.33936551369359</v>
      </c>
      <c r="N86" s="11">
        <f t="shared" si="94"/>
        <v>169.5324232066246</v>
      </c>
      <c r="O86" s="11">
        <f t="shared" si="94"/>
        <v>169.77144693898788</v>
      </c>
      <c r="P86" s="11">
        <f t="shared" si="94"/>
        <v>172.1747317833152</v>
      </c>
      <c r="Q86" s="11">
        <f t="shared" si="94"/>
        <v>175.72241960831383</v>
      </c>
      <c r="S86" s="39">
        <f t="shared" si="95"/>
        <v>-1.090546055215591</v>
      </c>
      <c r="T86" s="39">
        <f t="shared" si="96"/>
        <v>0.22994721381945915</v>
      </c>
      <c r="W86" t="str">
        <f t="shared" si="97"/>
        <v>Sales and customer service occupations</v>
      </c>
      <c r="X86" s="11">
        <f t="shared" si="97"/>
        <v>216.43529560770494</v>
      </c>
      <c r="Y86" s="11">
        <f t="shared" si="97"/>
        <v>198.74156057734749</v>
      </c>
      <c r="Z86" s="11">
        <f t="shared" si="97"/>
        <v>192.25302131509835</v>
      </c>
      <c r="AA86" s="11">
        <f t="shared" si="97"/>
        <v>191.08123978854991</v>
      </c>
      <c r="AB86" s="11">
        <f t="shared" si="97"/>
        <v>185.70923967766805</v>
      </c>
      <c r="AD86" s="39">
        <f t="shared" si="98"/>
        <v>-2.3417320166109978</v>
      </c>
      <c r="AE86" s="39">
        <f t="shared" si="99"/>
        <v>-0.2306010447059248</v>
      </c>
    </row>
    <row r="87" spans="1:31" x14ac:dyDescent="0.2">
      <c r="A87" t="str">
        <f t="shared" si="92"/>
        <v>Process, plant and machine operatives</v>
      </c>
      <c r="B87" s="11">
        <f t="shared" si="92"/>
        <v>217.67127014853645</v>
      </c>
      <c r="C87" s="11">
        <f t="shared" si="92"/>
        <v>240.37232361819181</v>
      </c>
      <c r="D87" s="11">
        <f t="shared" si="92"/>
        <v>214.5516190587644</v>
      </c>
      <c r="E87" s="11">
        <f t="shared" si="92"/>
        <v>242.99268893146032</v>
      </c>
      <c r="F87" s="11">
        <f t="shared" si="92"/>
        <v>242.77253892268169</v>
      </c>
      <c r="H87" s="39">
        <f t="shared" si="100"/>
        <v>-0.28829626392248286</v>
      </c>
      <c r="I87" s="39">
        <f t="shared" si="93"/>
        <v>0.82723344550887923</v>
      </c>
      <c r="L87" t="str">
        <f t="shared" si="94"/>
        <v>Process, plant and machine operatives</v>
      </c>
      <c r="M87" s="11">
        <f t="shared" si="94"/>
        <v>197.28982838335077</v>
      </c>
      <c r="N87" s="11">
        <f t="shared" si="94"/>
        <v>221.4248508371775</v>
      </c>
      <c r="O87" s="11">
        <f t="shared" si="94"/>
        <v>194.75488814430466</v>
      </c>
      <c r="P87" s="11">
        <f t="shared" si="94"/>
        <v>215.04164607056171</v>
      </c>
      <c r="Q87" s="11">
        <f t="shared" si="94"/>
        <v>211.12258687215513</v>
      </c>
      <c r="S87" s="39">
        <f t="shared" si="95"/>
        <v>-0.25830728342314258</v>
      </c>
      <c r="T87" s="39">
        <f t="shared" si="96"/>
        <v>0.53943079133444982</v>
      </c>
      <c r="W87" t="str">
        <f t="shared" si="97"/>
        <v>Process, plant and machine operatives</v>
      </c>
      <c r="X87" s="11">
        <f t="shared" si="97"/>
        <v>20.381441765186374</v>
      </c>
      <c r="Y87" s="11">
        <f t="shared" si="97"/>
        <v>18.947472781014362</v>
      </c>
      <c r="Z87" s="11">
        <f t="shared" si="97"/>
        <v>19.796730914459786</v>
      </c>
      <c r="AA87" s="11">
        <f t="shared" si="97"/>
        <v>27.951042860898369</v>
      </c>
      <c r="AB87" s="11">
        <f t="shared" si="97"/>
        <v>31.649952050527208</v>
      </c>
      <c r="AD87" s="39">
        <f t="shared" si="98"/>
        <v>-0.58046775144264817</v>
      </c>
      <c r="AE87" s="39">
        <f t="shared" si="99"/>
        <v>3.1775723230748731</v>
      </c>
    </row>
    <row r="88" spans="1:31" x14ac:dyDescent="0.2">
      <c r="A88" t="str">
        <f t="shared" si="92"/>
        <v>Elementary occupations</v>
      </c>
      <c r="B88" s="11">
        <f t="shared" si="92"/>
        <v>546.19468567762976</v>
      </c>
      <c r="C88" s="11">
        <f t="shared" si="92"/>
        <v>571.01765515963768</v>
      </c>
      <c r="D88" s="11">
        <f t="shared" si="92"/>
        <v>523.48518063303334</v>
      </c>
      <c r="E88" s="11">
        <f t="shared" si="92"/>
        <v>530.48341979566965</v>
      </c>
      <c r="F88" s="11">
        <f t="shared" si="92"/>
        <v>526.70577292722078</v>
      </c>
      <c r="H88" s="39">
        <f t="shared" si="100"/>
        <v>-0.84573849278366531</v>
      </c>
      <c r="I88" s="39">
        <f t="shared" si="93"/>
        <v>4.089746290780738E-2</v>
      </c>
      <c r="L88" t="str">
        <f t="shared" si="94"/>
        <v>Elementary occupations</v>
      </c>
      <c r="M88" s="11">
        <f t="shared" si="94"/>
        <v>282.44934950682398</v>
      </c>
      <c r="N88" s="11">
        <f t="shared" si="94"/>
        <v>286.61071737737655</v>
      </c>
      <c r="O88" s="11">
        <f t="shared" si="94"/>
        <v>273.22807673175362</v>
      </c>
      <c r="P88" s="11">
        <f t="shared" si="94"/>
        <v>281.83556476411195</v>
      </c>
      <c r="Q88" s="11">
        <f t="shared" si="94"/>
        <v>276.8313836810641</v>
      </c>
      <c r="S88" s="39">
        <f t="shared" si="95"/>
        <v>-0.66164837244905295</v>
      </c>
      <c r="T88" s="39">
        <f t="shared" si="96"/>
        <v>8.7382859053497519E-2</v>
      </c>
      <c r="W88" t="str">
        <f t="shared" si="97"/>
        <v>Elementary occupations</v>
      </c>
      <c r="X88" s="11">
        <f t="shared" si="97"/>
        <v>263.74533617080692</v>
      </c>
      <c r="Y88" s="11">
        <f t="shared" si="97"/>
        <v>284.40693778226034</v>
      </c>
      <c r="Z88" s="11">
        <f t="shared" si="97"/>
        <v>250.25710390128009</v>
      </c>
      <c r="AA88" s="11">
        <f t="shared" si="97"/>
        <v>248.64785503155784</v>
      </c>
      <c r="AB88" s="11">
        <f t="shared" si="97"/>
        <v>249.87438924615637</v>
      </c>
      <c r="AD88" s="39">
        <f t="shared" si="98"/>
        <v>-1.0444116837250328</v>
      </c>
      <c r="AE88" s="39">
        <f t="shared" si="99"/>
        <v>-1.0202522375546419E-2</v>
      </c>
    </row>
    <row r="89" spans="1:31" x14ac:dyDescent="0.2">
      <c r="B89" s="11"/>
      <c r="C89" s="11"/>
      <c r="D89" s="11"/>
      <c r="E89" s="11"/>
      <c r="F89" s="11"/>
      <c r="H89" s="39"/>
      <c r="I89" s="39"/>
      <c r="M89" s="11"/>
      <c r="N89" s="11"/>
      <c r="O89" s="11"/>
      <c r="P89" s="11"/>
      <c r="Q89" s="11"/>
      <c r="S89" s="39"/>
      <c r="T89" s="39"/>
      <c r="X89" s="11"/>
      <c r="Y89" s="11"/>
      <c r="Z89" s="11"/>
      <c r="AA89" s="11"/>
      <c r="AB89" s="11"/>
      <c r="AD89" s="39"/>
      <c r="AE89" s="39"/>
    </row>
    <row r="90" spans="1:31" x14ac:dyDescent="0.2">
      <c r="A90" s="23" t="str">
        <f t="shared" ref="A90:F90" si="101">A18</f>
        <v>All occupations</v>
      </c>
      <c r="B90" s="33">
        <f t="shared" si="101"/>
        <v>5573.5560000041069</v>
      </c>
      <c r="C90" s="33">
        <f t="shared" si="101"/>
        <v>5970.116999998264</v>
      </c>
      <c r="D90" s="33">
        <f t="shared" si="101"/>
        <v>5937.3810000053281</v>
      </c>
      <c r="E90" s="33">
        <f t="shared" si="101"/>
        <v>6179.2980000106991</v>
      </c>
      <c r="F90" s="33">
        <f t="shared" si="101"/>
        <v>6480.7350000074621</v>
      </c>
      <c r="H90" s="42">
        <f>IF(D$6-B$6 &lt;&gt; 0,(EXP(LN(D18/B18)/(D$6-B$6))-1)*100,0)</f>
        <v>1.2727282491479697</v>
      </c>
      <c r="I90" s="42">
        <f>F56</f>
        <v>0.58547928810914751</v>
      </c>
      <c r="L90" s="23" t="str">
        <f t="shared" ref="L90:Q90" si="102">L18</f>
        <v>All occupations</v>
      </c>
      <c r="M90" s="33">
        <f t="shared" si="102"/>
        <v>2948.9900000042376</v>
      </c>
      <c r="N90" s="33">
        <f t="shared" si="102"/>
        <v>3162.1329999996051</v>
      </c>
      <c r="O90" s="33">
        <f t="shared" si="102"/>
        <v>3113.2300000080058</v>
      </c>
      <c r="P90" s="33">
        <f t="shared" si="102"/>
        <v>3248.7290000113176</v>
      </c>
      <c r="Q90" s="33">
        <f t="shared" si="102"/>
        <v>3406.6080000084894</v>
      </c>
      <c r="S90" s="42">
        <f>IF(O$6-M$6 &lt;&gt; 0,(EXP(LN(O18/M18)/(O$6-M$6))-1)*100,0)</f>
        <v>1.0898568103222983</v>
      </c>
      <c r="T90" s="42">
        <f>Q56</f>
        <v>0.60218121418280646</v>
      </c>
      <c r="W90" s="23" t="str">
        <f t="shared" ref="W90:AB90" si="103">W18</f>
        <v>All occupations</v>
      </c>
      <c r="X90" s="33">
        <f t="shared" si="103"/>
        <v>2624.5659999998697</v>
      </c>
      <c r="Y90" s="33">
        <f t="shared" si="103"/>
        <v>2807.9839999986584</v>
      </c>
      <c r="Z90" s="33">
        <f t="shared" si="103"/>
        <v>2824.1509999973246</v>
      </c>
      <c r="AA90" s="33">
        <f t="shared" si="103"/>
        <v>2930.568999999382</v>
      </c>
      <c r="AB90" s="33">
        <f t="shared" si="103"/>
        <v>3074.126999998974</v>
      </c>
      <c r="AD90" s="42">
        <f>IF(Z$6-X$6 &lt;&gt; 0,(EXP(LN(Z18/X18)/(Z$6-X$6))-1)*100,0)</f>
        <v>1.4766409803091962</v>
      </c>
      <c r="AE90" s="42">
        <f>AB56</f>
        <v>0.56702265602246449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1" max="11" width="9.85546875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8" t="str">
        <f>CONCATENATE("Occupation Table 2  Employment Change by Occupation (SOC 2020) and Replacement Demand, ",B$6,"-",F$6,", ",Info!B5)</f>
        <v>Occupation Table 2  Employment Change by Occupation (SOC 2020) and Replacement Demand, 2015-2035, London</v>
      </c>
      <c r="L1" s="18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London</v>
      </c>
      <c r="W1" s="18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London</v>
      </c>
    </row>
    <row r="2" spans="1:32" ht="12.75" customHeight="1" x14ac:dyDescent="0.2">
      <c r="A2" s="181" t="s">
        <v>537</v>
      </c>
      <c r="D2" s="339"/>
      <c r="G2" s="85"/>
      <c r="J2" s="85"/>
      <c r="M2" s="85"/>
      <c r="P2" s="85"/>
      <c r="S2" s="85"/>
      <c r="V2" s="85"/>
    </row>
    <row r="3" spans="1:32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2">
      <c r="A4" s="35"/>
      <c r="B4" s="35"/>
      <c r="C4" s="35"/>
      <c r="D4" s="35"/>
      <c r="E4" s="35"/>
      <c r="F4" s="35"/>
      <c r="H4" s="98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98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98" t="str">
        <f>CONCATENATE(Z6,"-",AB6)</f>
        <v>2020-2035</v>
      </c>
      <c r="AE4" s="35"/>
      <c r="AF4" s="35"/>
    </row>
    <row r="5" spans="1:32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2">
      <c r="A6" s="40" t="s">
        <v>13</v>
      </c>
      <c r="B6" s="41">
        <v>2015</v>
      </c>
      <c r="C6" s="41">
        <v>2019</v>
      </c>
      <c r="D6" s="41">
        <v>2020</v>
      </c>
      <c r="E6" s="41">
        <v>2025</v>
      </c>
      <c r="F6" s="41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41">
        <f>B6</f>
        <v>2015</v>
      </c>
      <c r="N6" s="41">
        <f t="shared" ref="N6:Q6" si="0">C6</f>
        <v>2019</v>
      </c>
      <c r="O6" s="41">
        <f t="shared" si="0"/>
        <v>2020</v>
      </c>
      <c r="P6" s="41">
        <f t="shared" si="0"/>
        <v>2025</v>
      </c>
      <c r="Q6" s="41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41">
        <f>B6</f>
        <v>2015</v>
      </c>
      <c r="Y6" s="41">
        <f t="shared" ref="Y6:AB6" si="1">C6</f>
        <v>2019</v>
      </c>
      <c r="Z6" s="41">
        <f t="shared" si="1"/>
        <v>2020</v>
      </c>
      <c r="AA6" s="41">
        <f t="shared" si="1"/>
        <v>2025</v>
      </c>
      <c r="AB6" s="41">
        <f t="shared" si="1"/>
        <v>2035</v>
      </c>
      <c r="AD6" s="62" t="s">
        <v>18</v>
      </c>
      <c r="AE6" s="62" t="s">
        <v>31</v>
      </c>
      <c r="AF6" s="62" t="s">
        <v>33</v>
      </c>
    </row>
    <row r="8" spans="1:32" x14ac:dyDescent="0.2">
      <c r="A8" s="10" t="str">
        <f>name!D4</f>
        <v>11 Corporate managers and directors</v>
      </c>
      <c r="B8" s="11">
        <v>439.61936541253647</v>
      </c>
      <c r="C8" s="11">
        <v>523.51058807019922</v>
      </c>
      <c r="D8" s="11">
        <v>526.87103828580155</v>
      </c>
      <c r="E8" s="11">
        <v>503.60123376081771</v>
      </c>
      <c r="F8" s="11">
        <v>543.51331220374857</v>
      </c>
      <c r="G8" s="10"/>
      <c r="H8" s="11">
        <f>F8-D8</f>
        <v>16.642273917947023</v>
      </c>
      <c r="I8" s="11">
        <f>'RD T1'!E7</f>
        <v>268.66631386344022</v>
      </c>
      <c r="J8" s="11">
        <f>SUM(H8:I8)</f>
        <v>285.30858778138725</v>
      </c>
      <c r="L8" s="10" t="str">
        <f>name!D4</f>
        <v>11 Corporate managers and directors</v>
      </c>
      <c r="M8" s="11">
        <v>289.72428530659084</v>
      </c>
      <c r="N8" s="11">
        <v>335.14190112111891</v>
      </c>
      <c r="O8" s="11">
        <v>333.65978022366335</v>
      </c>
      <c r="P8" s="11">
        <v>308.0565371100588</v>
      </c>
      <c r="Q8" s="11">
        <v>322.50349407045547</v>
      </c>
      <c r="R8" s="10"/>
      <c r="S8" s="11">
        <f>Q8-O8</f>
        <v>-11.156286153207873</v>
      </c>
      <c r="T8" s="11">
        <f>'RD T1'!T7</f>
        <v>149.91666496934022</v>
      </c>
      <c r="U8" s="11">
        <f>SUM(S8:T8)</f>
        <v>138.76037881613235</v>
      </c>
      <c r="W8" s="10" t="str">
        <f>name!D4</f>
        <v>11 Corporate managers and directors</v>
      </c>
      <c r="X8" s="11">
        <v>149.89508010594568</v>
      </c>
      <c r="Y8" s="11">
        <v>188.36868694907997</v>
      </c>
      <c r="Z8" s="11">
        <v>193.2112580621386</v>
      </c>
      <c r="AA8" s="11">
        <v>195.54469665076041</v>
      </c>
      <c r="AB8" s="11">
        <v>221.00981813329261</v>
      </c>
      <c r="AC8" s="10"/>
      <c r="AD8" s="11">
        <f>AB8-Z8</f>
        <v>27.798560071154014</v>
      </c>
      <c r="AE8" s="11">
        <f>'RD T1'!T36</f>
        <v>118.74964889410003</v>
      </c>
      <c r="AF8" s="11">
        <f>SUM(AD8:AE8)</f>
        <v>146.54820896525405</v>
      </c>
    </row>
    <row r="9" spans="1:32" x14ac:dyDescent="0.2">
      <c r="A9" s="10" t="str">
        <f>name!D5</f>
        <v>12 Other managers and proprietors</v>
      </c>
      <c r="B9" s="11">
        <v>186.84262660144509</v>
      </c>
      <c r="C9" s="11">
        <v>201.36033731346231</v>
      </c>
      <c r="D9" s="11">
        <v>198.20219409915316</v>
      </c>
      <c r="E9" s="11">
        <v>250.48939255217397</v>
      </c>
      <c r="F9" s="11">
        <v>281.91344778289721</v>
      </c>
      <c r="H9" s="11">
        <f t="shared" ref="H9:H32" si="2">F9-D9</f>
        <v>83.711253683744047</v>
      </c>
      <c r="I9" s="11">
        <f>'RD T1'!E8</f>
        <v>145.00819083321394</v>
      </c>
      <c r="J9" s="11">
        <f>SUM(H9:I9)</f>
        <v>228.71944451695799</v>
      </c>
      <c r="L9" s="10" t="str">
        <f>name!D5</f>
        <v>12 Other managers and proprietors</v>
      </c>
      <c r="M9" s="11">
        <v>117.11055659265449</v>
      </c>
      <c r="N9" s="11">
        <v>126.92296972666769</v>
      </c>
      <c r="O9" s="11">
        <v>122.29071568774309</v>
      </c>
      <c r="P9" s="11">
        <v>157.65268425532173</v>
      </c>
      <c r="Q9" s="11">
        <v>176.2733630917875</v>
      </c>
      <c r="S9" s="11">
        <f t="shared" ref="S9:S32" si="3">Q9-O9</f>
        <v>53.982647404044414</v>
      </c>
      <c r="T9" s="11">
        <f>'RD T1'!T8</f>
        <v>83.374123602424831</v>
      </c>
      <c r="U9" s="11">
        <f>SUM(S9:T9)</f>
        <v>137.35677100646924</v>
      </c>
      <c r="W9" s="10" t="str">
        <f>name!D5</f>
        <v>12 Other managers and proprietors</v>
      </c>
      <c r="X9" s="11">
        <v>69.732070008791112</v>
      </c>
      <c r="Y9" s="11">
        <v>74.437367586795247</v>
      </c>
      <c r="Z9" s="11">
        <v>75.911478411410002</v>
      </c>
      <c r="AA9" s="11">
        <v>92.836708296852862</v>
      </c>
      <c r="AB9" s="11">
        <v>105.64008469111016</v>
      </c>
      <c r="AD9" s="11">
        <f t="shared" ref="AD9:AD32" si="4">AB9-Z9</f>
        <v>29.728606279700159</v>
      </c>
      <c r="AE9" s="11">
        <f>'RD T1'!T37</f>
        <v>61.634067230789107</v>
      </c>
      <c r="AF9" s="11">
        <f>SUM(AD9:AE9)</f>
        <v>91.362673510489259</v>
      </c>
    </row>
    <row r="10" spans="1:32" x14ac:dyDescent="0.2">
      <c r="A10" s="10" t="str">
        <f>name!D6</f>
        <v>21 Science, research, engineering and technology professionals</v>
      </c>
      <c r="B10" s="11">
        <v>341.5971984313648</v>
      </c>
      <c r="C10" s="11">
        <v>405.77951277913274</v>
      </c>
      <c r="D10" s="11">
        <v>423.83885764393955</v>
      </c>
      <c r="E10" s="11">
        <v>461.74616557018186</v>
      </c>
      <c r="F10" s="11">
        <v>511.56986191940257</v>
      </c>
      <c r="G10" s="11"/>
      <c r="H10" s="11">
        <f t="shared" si="2"/>
        <v>87.731004275463022</v>
      </c>
      <c r="I10" s="11">
        <f>'RD T1'!E9</f>
        <v>185.81458921263385</v>
      </c>
      <c r="J10" s="11">
        <f t="shared" ref="J10:J32" si="5">SUM(H10:I10)</f>
        <v>273.54559348809687</v>
      </c>
      <c r="L10" s="10" t="str">
        <f>name!D6</f>
        <v>21 Science, research, engineering and technology professionals</v>
      </c>
      <c r="M10" s="11">
        <v>250.16438166963553</v>
      </c>
      <c r="N10" s="11">
        <v>302.41853979156429</v>
      </c>
      <c r="O10" s="11">
        <v>298.12697471901004</v>
      </c>
      <c r="P10" s="11">
        <v>313.03748999057257</v>
      </c>
      <c r="Q10" s="11">
        <v>340.13344152877369</v>
      </c>
      <c r="R10" s="11"/>
      <c r="S10" s="11">
        <f t="shared" si="3"/>
        <v>42.006466809763651</v>
      </c>
      <c r="T10" s="11">
        <f>'RD T1'!T9</f>
        <v>106.83000130797932</v>
      </c>
      <c r="U10" s="11">
        <f t="shared" ref="U10:U32" si="6">SUM(S10:T10)</f>
        <v>148.83646811774298</v>
      </c>
      <c r="W10" s="10" t="str">
        <f>name!D6</f>
        <v>21 Science, research, engineering and technology professionals</v>
      </c>
      <c r="X10" s="11">
        <v>91.432816761728361</v>
      </c>
      <c r="Y10" s="11">
        <v>103.36097298756994</v>
      </c>
      <c r="Z10" s="11">
        <v>125.71188292492882</v>
      </c>
      <c r="AA10" s="11">
        <v>148.70867557960983</v>
      </c>
      <c r="AB10" s="11">
        <v>171.43642039063005</v>
      </c>
      <c r="AC10" s="11"/>
      <c r="AD10" s="11">
        <f t="shared" si="4"/>
        <v>45.724537465701232</v>
      </c>
      <c r="AE10" s="11">
        <f>'RD T1'!T38</f>
        <v>78.984587904654518</v>
      </c>
      <c r="AF10" s="11">
        <f t="shared" ref="AF10:AF32" si="7">SUM(AD10:AE10)</f>
        <v>124.70912537035575</v>
      </c>
    </row>
    <row r="11" spans="1:32" x14ac:dyDescent="0.2">
      <c r="A11" s="10" t="str">
        <f>name!D7</f>
        <v>22 Health professionals</v>
      </c>
      <c r="B11" s="11">
        <v>253.3802593272118</v>
      </c>
      <c r="C11" s="11">
        <v>292.86266274936236</v>
      </c>
      <c r="D11" s="11">
        <v>289.86377178651531</v>
      </c>
      <c r="E11" s="11">
        <v>306.86800344284825</v>
      </c>
      <c r="F11" s="11">
        <v>314.63253825255418</v>
      </c>
      <c r="G11" s="11"/>
      <c r="H11" s="11">
        <f t="shared" si="2"/>
        <v>24.768766466038869</v>
      </c>
      <c r="I11" s="11">
        <f>'RD T1'!E10</f>
        <v>161.88074780209197</v>
      </c>
      <c r="J11" s="11">
        <f t="shared" si="5"/>
        <v>186.64951426813084</v>
      </c>
      <c r="L11" s="10" t="str">
        <f>name!D7</f>
        <v>22 Health professionals</v>
      </c>
      <c r="M11" s="11">
        <v>58.337248749641851</v>
      </c>
      <c r="N11" s="11">
        <v>72.44115491487959</v>
      </c>
      <c r="O11" s="11">
        <v>80.940671499860514</v>
      </c>
      <c r="P11" s="11">
        <v>85.345250381515783</v>
      </c>
      <c r="Q11" s="11">
        <v>88.354003956826389</v>
      </c>
      <c r="R11" s="11"/>
      <c r="S11" s="11">
        <f t="shared" si="3"/>
        <v>7.4133324569658754</v>
      </c>
      <c r="T11" s="11">
        <f>'RD T1'!T10</f>
        <v>32.361394280594048</v>
      </c>
      <c r="U11" s="11">
        <f t="shared" si="6"/>
        <v>39.774726737559924</v>
      </c>
      <c r="W11" s="10" t="str">
        <f>name!D7</f>
        <v>22 Health professionals</v>
      </c>
      <c r="X11" s="11">
        <v>195.04301057756976</v>
      </c>
      <c r="Y11" s="11">
        <v>220.42150783448261</v>
      </c>
      <c r="Z11" s="11">
        <v>208.92310028665494</v>
      </c>
      <c r="AA11" s="11">
        <v>221.52275306133285</v>
      </c>
      <c r="AB11" s="11">
        <v>226.27853429572789</v>
      </c>
      <c r="AC11" s="11"/>
      <c r="AD11" s="11">
        <f t="shared" si="4"/>
        <v>17.355434009072951</v>
      </c>
      <c r="AE11" s="11">
        <f>'RD T1'!T39</f>
        <v>129.51935352149795</v>
      </c>
      <c r="AF11" s="11">
        <f t="shared" si="7"/>
        <v>146.8747875305709</v>
      </c>
    </row>
    <row r="12" spans="1:32" x14ac:dyDescent="0.2">
      <c r="A12" s="10" t="str">
        <f>name!D8</f>
        <v>23 Teaching and other educational professionals</v>
      </c>
      <c r="B12" s="11">
        <v>342.63322989670951</v>
      </c>
      <c r="C12" s="11">
        <v>347.72429910691096</v>
      </c>
      <c r="D12" s="11">
        <v>370.65753423648943</v>
      </c>
      <c r="E12" s="11">
        <v>378.16676625518454</v>
      </c>
      <c r="F12" s="11">
        <v>405.31749165504783</v>
      </c>
      <c r="G12" s="11"/>
      <c r="H12" s="11">
        <f t="shared" si="2"/>
        <v>34.659957418558406</v>
      </c>
      <c r="I12" s="11">
        <f>'RD T1'!E11</f>
        <v>198.32586236624979</v>
      </c>
      <c r="J12" s="11">
        <f t="shared" si="5"/>
        <v>232.9858197848082</v>
      </c>
      <c r="L12" s="10" t="str">
        <f>name!D8</f>
        <v>23 Teaching and other educational professionals</v>
      </c>
      <c r="M12" s="11">
        <v>114.00588280294517</v>
      </c>
      <c r="N12" s="11">
        <v>109.87636583213524</v>
      </c>
      <c r="O12" s="11">
        <v>122.13950125489181</v>
      </c>
      <c r="P12" s="11">
        <v>131.35482706536166</v>
      </c>
      <c r="Q12" s="11">
        <v>141.5460582348768</v>
      </c>
      <c r="R12" s="11"/>
      <c r="S12" s="11">
        <f t="shared" si="3"/>
        <v>19.406556979984984</v>
      </c>
      <c r="T12" s="11">
        <f>'RD T1'!T11</f>
        <v>57.250733653280506</v>
      </c>
      <c r="U12" s="11">
        <f t="shared" si="6"/>
        <v>76.65729063326549</v>
      </c>
      <c r="W12" s="10" t="str">
        <f>name!D8</f>
        <v>23 Teaching and other educational professionals</v>
      </c>
      <c r="X12" s="11">
        <v>228.62734709376494</v>
      </c>
      <c r="Y12" s="11">
        <v>237.84793327477652</v>
      </c>
      <c r="Z12" s="11">
        <v>248.51803298159714</v>
      </c>
      <c r="AA12" s="11">
        <v>246.81193918982282</v>
      </c>
      <c r="AB12" s="11">
        <v>263.77143342017195</v>
      </c>
      <c r="AC12" s="11"/>
      <c r="AD12" s="11">
        <f t="shared" si="4"/>
        <v>15.253400438574801</v>
      </c>
      <c r="AE12" s="11">
        <f>'RD T1'!T40</f>
        <v>141.07512871296933</v>
      </c>
      <c r="AF12" s="11">
        <f t="shared" si="7"/>
        <v>156.32852915154413</v>
      </c>
    </row>
    <row r="13" spans="1:32" x14ac:dyDescent="0.2">
      <c r="A13" s="10" t="str">
        <f>name!D9</f>
        <v>24 Business, media and public service professionals</v>
      </c>
      <c r="B13" s="11">
        <v>578.85510824114158</v>
      </c>
      <c r="C13" s="11">
        <v>694.78884008845557</v>
      </c>
      <c r="D13" s="11">
        <v>729.85312521326705</v>
      </c>
      <c r="E13" s="11">
        <v>830.41431555582767</v>
      </c>
      <c r="F13" s="11">
        <v>910.8448054975928</v>
      </c>
      <c r="G13" s="11"/>
      <c r="H13" s="11">
        <f t="shared" si="2"/>
        <v>180.99168028432575</v>
      </c>
      <c r="I13" s="11">
        <f>'RD T1'!E12</f>
        <v>406.00045791006767</v>
      </c>
      <c r="J13" s="11">
        <f t="shared" si="5"/>
        <v>586.99213819439342</v>
      </c>
      <c r="L13" s="10" t="str">
        <f>name!D9</f>
        <v>24 Business, media and public service professionals</v>
      </c>
      <c r="M13" s="11">
        <v>333.68171080825311</v>
      </c>
      <c r="N13" s="11">
        <v>393.24333210720715</v>
      </c>
      <c r="O13" s="11">
        <v>402.21555271141125</v>
      </c>
      <c r="P13" s="11">
        <v>459.41522410582292</v>
      </c>
      <c r="Q13" s="11">
        <v>497.4584241383788</v>
      </c>
      <c r="R13" s="11"/>
      <c r="S13" s="11">
        <f t="shared" si="3"/>
        <v>95.242871426967554</v>
      </c>
      <c r="T13" s="11">
        <f>'RD T1'!T12</f>
        <v>198.22668961617123</v>
      </c>
      <c r="U13" s="11">
        <f t="shared" si="6"/>
        <v>293.46956104313881</v>
      </c>
      <c r="W13" s="10" t="str">
        <f>name!D9</f>
        <v>24 Business, media and public service professionals</v>
      </c>
      <c r="X13" s="11">
        <v>245.17339743288704</v>
      </c>
      <c r="Y13" s="11">
        <v>301.54550798124671</v>
      </c>
      <c r="Z13" s="11">
        <v>327.6375725018558</v>
      </c>
      <c r="AA13" s="11">
        <v>370.99909145000174</v>
      </c>
      <c r="AB13" s="11">
        <v>413.38638135921474</v>
      </c>
      <c r="AC13" s="11"/>
      <c r="AD13" s="11">
        <f t="shared" si="4"/>
        <v>85.748808857358938</v>
      </c>
      <c r="AE13" s="11">
        <f>'RD T1'!T41</f>
        <v>207.77376829389652</v>
      </c>
      <c r="AF13" s="11">
        <f t="shared" si="7"/>
        <v>293.52257715125546</v>
      </c>
    </row>
    <row r="14" spans="1:32" x14ac:dyDescent="0.2">
      <c r="A14" s="10" t="str">
        <f>name!D10</f>
        <v>31 Science, engineering and technology associate professionals</v>
      </c>
      <c r="B14" s="11">
        <v>81.903763878624659</v>
      </c>
      <c r="C14" s="11">
        <v>99.312809298538895</v>
      </c>
      <c r="D14" s="11">
        <v>105.44228217606674</v>
      </c>
      <c r="E14" s="11">
        <v>96.372111679440593</v>
      </c>
      <c r="F14" s="11">
        <v>103.72464919203004</v>
      </c>
      <c r="G14" s="11"/>
      <c r="H14" s="11">
        <f t="shared" si="2"/>
        <v>-1.7176329840366975</v>
      </c>
      <c r="I14" s="11">
        <f>'RD T1'!E13</f>
        <v>42.247311577116719</v>
      </c>
      <c r="J14" s="11">
        <f t="shared" si="5"/>
        <v>40.529678593080021</v>
      </c>
      <c r="L14" s="10" t="str">
        <f>name!D10</f>
        <v>31 Science, engineering and technology associate professionals</v>
      </c>
      <c r="M14" s="11">
        <v>54.165515823230848</v>
      </c>
      <c r="N14" s="11">
        <v>68.582734931079401</v>
      </c>
      <c r="O14" s="11">
        <v>68.964557167788442</v>
      </c>
      <c r="P14" s="11">
        <v>57.908391680998086</v>
      </c>
      <c r="Q14" s="11">
        <v>59.048593336498342</v>
      </c>
      <c r="R14" s="11"/>
      <c r="S14" s="11">
        <f t="shared" si="3"/>
        <v>-9.9159638312900995</v>
      </c>
      <c r="T14" s="11">
        <f>'RD T1'!T13</f>
        <v>21.760613362567778</v>
      </c>
      <c r="U14" s="11">
        <f t="shared" si="6"/>
        <v>11.844649531277678</v>
      </c>
      <c r="W14" s="10" t="str">
        <f>name!D10</f>
        <v>31 Science, engineering and technology associate professionals</v>
      </c>
      <c r="X14" s="11">
        <v>27.73824805539364</v>
      </c>
      <c r="Y14" s="11">
        <v>30.730074367459455</v>
      </c>
      <c r="Z14" s="11">
        <v>36.477725008278355</v>
      </c>
      <c r="AA14" s="11">
        <v>38.463719998442549</v>
      </c>
      <c r="AB14" s="11">
        <v>44.6760558555317</v>
      </c>
      <c r="AC14" s="11"/>
      <c r="AD14" s="11">
        <f t="shared" si="4"/>
        <v>8.1983308472533452</v>
      </c>
      <c r="AE14" s="11">
        <f>'RD T1'!T42</f>
        <v>20.486698214548937</v>
      </c>
      <c r="AF14" s="11">
        <f t="shared" si="7"/>
        <v>28.685029061802283</v>
      </c>
    </row>
    <row r="15" spans="1:32" x14ac:dyDescent="0.2">
      <c r="A15" s="10" t="str">
        <f>name!D11</f>
        <v>32 Health and social care associate professionals</v>
      </c>
      <c r="B15" s="11">
        <v>96.617057225558284</v>
      </c>
      <c r="C15" s="11">
        <v>108.31678735553254</v>
      </c>
      <c r="D15" s="11">
        <v>109.6581082081135</v>
      </c>
      <c r="E15" s="11">
        <v>109.13228559280523</v>
      </c>
      <c r="F15" s="11">
        <v>113.02119267279436</v>
      </c>
      <c r="G15" s="11"/>
      <c r="H15" s="11">
        <f t="shared" si="2"/>
        <v>3.3630844646808526</v>
      </c>
      <c r="I15" s="11">
        <f>'RD T1'!E14</f>
        <v>62.342375222123572</v>
      </c>
      <c r="J15" s="11">
        <f t="shared" si="5"/>
        <v>65.705459686804431</v>
      </c>
      <c r="L15" s="10" t="str">
        <f>name!D11</f>
        <v>32 Health and social care associate professionals</v>
      </c>
      <c r="M15" s="11">
        <v>24.771426591613032</v>
      </c>
      <c r="N15" s="11">
        <v>27.31439462486799</v>
      </c>
      <c r="O15" s="11">
        <v>30.002280110064834</v>
      </c>
      <c r="P15" s="11">
        <v>27.052661620097183</v>
      </c>
      <c r="Q15" s="11">
        <v>27.377706367130934</v>
      </c>
      <c r="R15" s="11"/>
      <c r="S15" s="11">
        <f t="shared" si="3"/>
        <v>-2.6245737429339009</v>
      </c>
      <c r="T15" s="11">
        <f>'RD T1'!T14</f>
        <v>12.94672887003232</v>
      </c>
      <c r="U15" s="11">
        <f t="shared" si="6"/>
        <v>10.322155127098419</v>
      </c>
      <c r="W15" s="10" t="str">
        <f>name!D11</f>
        <v>32 Health and social care associate professionals</v>
      </c>
      <c r="X15" s="11">
        <v>71.845630633945149</v>
      </c>
      <c r="Y15" s="11">
        <v>81.002392730664596</v>
      </c>
      <c r="Z15" s="11">
        <v>79.65582809804873</v>
      </c>
      <c r="AA15" s="11">
        <v>82.079623972708134</v>
      </c>
      <c r="AB15" s="11">
        <v>85.643486305663671</v>
      </c>
      <c r="AC15" s="11"/>
      <c r="AD15" s="11">
        <f t="shared" si="4"/>
        <v>5.9876582076149418</v>
      </c>
      <c r="AE15" s="11">
        <f>'RD T1'!T43</f>
        <v>49.395646352091241</v>
      </c>
      <c r="AF15" s="11">
        <f t="shared" si="7"/>
        <v>55.383304559706183</v>
      </c>
    </row>
    <row r="16" spans="1:32" x14ac:dyDescent="0.2">
      <c r="A16" s="10" t="str">
        <f>name!D12</f>
        <v>33 Protective service occupations</v>
      </c>
      <c r="B16" s="11">
        <v>66.411785193429807</v>
      </c>
      <c r="C16" s="11">
        <v>70.733380140054265</v>
      </c>
      <c r="D16" s="11">
        <v>75.80441572551301</v>
      </c>
      <c r="E16" s="11">
        <v>89.043035973525392</v>
      </c>
      <c r="F16" s="11">
        <v>101.60369334487039</v>
      </c>
      <c r="G16" s="11"/>
      <c r="H16" s="11">
        <f t="shared" si="2"/>
        <v>25.799277619357383</v>
      </c>
      <c r="I16" s="11">
        <f>'RD T1'!E15</f>
        <v>32.26822999840379</v>
      </c>
      <c r="J16" s="11">
        <f t="shared" si="5"/>
        <v>58.067507617761173</v>
      </c>
      <c r="L16" s="10" t="str">
        <f>name!D12</f>
        <v>33 Protective service occupations</v>
      </c>
      <c r="M16" s="11">
        <v>50.698588031641854</v>
      </c>
      <c r="N16" s="11">
        <v>52.940670919960795</v>
      </c>
      <c r="O16" s="11">
        <v>55.580806419607413</v>
      </c>
      <c r="P16" s="11">
        <v>62.159158077735768</v>
      </c>
      <c r="Q16" s="11">
        <v>66.699556927755125</v>
      </c>
      <c r="R16" s="11"/>
      <c r="S16" s="11">
        <f t="shared" si="3"/>
        <v>11.118750508147713</v>
      </c>
      <c r="T16" s="11">
        <f>'RD T1'!T15</f>
        <v>18.335595162526136</v>
      </c>
      <c r="U16" s="11">
        <f t="shared" si="6"/>
        <v>29.454345670673849</v>
      </c>
      <c r="W16" s="10" t="str">
        <f>name!D12</f>
        <v>33 Protective service occupations</v>
      </c>
      <c r="X16" s="11">
        <v>15.713197161787875</v>
      </c>
      <c r="Y16" s="11">
        <v>17.792709220093588</v>
      </c>
      <c r="Z16" s="11">
        <v>20.223609305905573</v>
      </c>
      <c r="AA16" s="11">
        <v>26.883877895789595</v>
      </c>
      <c r="AB16" s="11">
        <v>34.904136417115133</v>
      </c>
      <c r="AC16" s="11"/>
      <c r="AD16" s="11">
        <f t="shared" si="4"/>
        <v>14.68052711120956</v>
      </c>
      <c r="AE16" s="11">
        <f>'RD T1'!T44</f>
        <v>13.932634835877648</v>
      </c>
      <c r="AF16" s="11">
        <f t="shared" si="7"/>
        <v>28.613161947087207</v>
      </c>
    </row>
    <row r="17" spans="1:32" x14ac:dyDescent="0.2">
      <c r="A17" s="10" t="str">
        <f>name!D13</f>
        <v>34 Culture, media and sports occupations</v>
      </c>
      <c r="B17" s="11">
        <v>223.52526281482929</v>
      </c>
      <c r="C17" s="11">
        <v>212.5920837650911</v>
      </c>
      <c r="D17" s="11">
        <v>244.51539437746447</v>
      </c>
      <c r="E17" s="11">
        <v>253.06686198212074</v>
      </c>
      <c r="F17" s="11">
        <v>278.61027449263656</v>
      </c>
      <c r="G17" s="11"/>
      <c r="H17" s="11">
        <f t="shared" si="2"/>
        <v>34.094880115172089</v>
      </c>
      <c r="I17" s="11">
        <f>'RD T1'!E16</f>
        <v>121.81049802991046</v>
      </c>
      <c r="J17" s="11">
        <f t="shared" si="5"/>
        <v>155.90537814508255</v>
      </c>
      <c r="L17" s="10" t="str">
        <f>name!D13</f>
        <v>34 Culture, media and sports occupations</v>
      </c>
      <c r="M17" s="11">
        <v>128.30939833447187</v>
      </c>
      <c r="N17" s="11">
        <v>118.16285258306588</v>
      </c>
      <c r="O17" s="11">
        <v>130.61780057528276</v>
      </c>
      <c r="P17" s="11">
        <v>137.22968924855383</v>
      </c>
      <c r="Q17" s="11">
        <v>150.97562132658246</v>
      </c>
      <c r="R17" s="11"/>
      <c r="S17" s="11">
        <f t="shared" si="3"/>
        <v>20.357820751299698</v>
      </c>
      <c r="T17" s="11">
        <f>'RD T1'!T16</f>
        <v>57.073561371852968</v>
      </c>
      <c r="U17" s="11">
        <f t="shared" si="6"/>
        <v>77.431382123152673</v>
      </c>
      <c r="W17" s="10" t="str">
        <f>name!D13</f>
        <v>34 Culture, media and sports occupations</v>
      </c>
      <c r="X17" s="11">
        <v>95.215864480357538</v>
      </c>
      <c r="Y17" s="11">
        <v>94.429231182025219</v>
      </c>
      <c r="Z17" s="11">
        <v>113.8975938021821</v>
      </c>
      <c r="AA17" s="11">
        <v>115.83717273356697</v>
      </c>
      <c r="AB17" s="11">
        <v>127.63465316605442</v>
      </c>
      <c r="AC17" s="11"/>
      <c r="AD17" s="11">
        <f t="shared" si="4"/>
        <v>13.737059363872319</v>
      </c>
      <c r="AE17" s="11">
        <f>'RD T1'!T45</f>
        <v>64.736936658057473</v>
      </c>
      <c r="AF17" s="11">
        <f t="shared" si="7"/>
        <v>78.473996021929793</v>
      </c>
    </row>
    <row r="18" spans="1:32" x14ac:dyDescent="0.2">
      <c r="A18" s="10" t="str">
        <f>name!D14</f>
        <v>35 Business and public service associate professionals</v>
      </c>
      <c r="B18" s="11">
        <v>503.40328903988308</v>
      </c>
      <c r="C18" s="11">
        <v>543.9625841820249</v>
      </c>
      <c r="D18" s="11">
        <v>550.05772654184398</v>
      </c>
      <c r="E18" s="11">
        <v>535.63233621079291</v>
      </c>
      <c r="F18" s="11">
        <v>553.90888183733466</v>
      </c>
      <c r="G18" s="11"/>
      <c r="H18" s="11">
        <f t="shared" si="2"/>
        <v>3.8511552954906847</v>
      </c>
      <c r="I18" s="11">
        <f>'RD T1'!E17</f>
        <v>252.54076295848176</v>
      </c>
      <c r="J18" s="11">
        <f t="shared" si="5"/>
        <v>256.39191825397245</v>
      </c>
      <c r="L18" s="10" t="str">
        <f>name!D14</f>
        <v>35 Business and public service associate professionals</v>
      </c>
      <c r="M18" s="11">
        <v>271.68777631983016</v>
      </c>
      <c r="N18" s="11">
        <v>289.40712410713661</v>
      </c>
      <c r="O18" s="11">
        <v>293.50924945781031</v>
      </c>
      <c r="P18" s="11">
        <v>278.93595869665137</v>
      </c>
      <c r="Q18" s="11">
        <v>281.61475364127654</v>
      </c>
      <c r="R18" s="11"/>
      <c r="S18" s="11">
        <f t="shared" si="3"/>
        <v>-11.894495816533777</v>
      </c>
      <c r="T18" s="11">
        <f>'RD T1'!T17</f>
        <v>111.60983627670167</v>
      </c>
      <c r="U18" s="11">
        <f t="shared" si="6"/>
        <v>99.715340460167894</v>
      </c>
      <c r="W18" s="10" t="str">
        <f>name!D14</f>
        <v>35 Business and public service associate professionals</v>
      </c>
      <c r="X18" s="11">
        <v>231.71551272005343</v>
      </c>
      <c r="Y18" s="11">
        <v>254.55546007488897</v>
      </c>
      <c r="Z18" s="11">
        <v>256.54847708403497</v>
      </c>
      <c r="AA18" s="11">
        <v>256.69637751414189</v>
      </c>
      <c r="AB18" s="11">
        <v>272.29412819605756</v>
      </c>
      <c r="AC18" s="11"/>
      <c r="AD18" s="11">
        <f t="shared" si="4"/>
        <v>15.745651112022585</v>
      </c>
      <c r="AE18" s="11">
        <f>'RD T1'!T46</f>
        <v>140.93092668178008</v>
      </c>
      <c r="AF18" s="11">
        <f t="shared" si="7"/>
        <v>156.67657779380266</v>
      </c>
    </row>
    <row r="19" spans="1:32" x14ac:dyDescent="0.2">
      <c r="A19" s="10" t="str">
        <f>name!D15</f>
        <v>41 Administrative occupations</v>
      </c>
      <c r="B19" s="11">
        <v>399.8387719269964</v>
      </c>
      <c r="C19" s="11">
        <v>391.7440117542651</v>
      </c>
      <c r="D19" s="11">
        <v>403.63982178925511</v>
      </c>
      <c r="E19" s="11">
        <v>365.71005326916145</v>
      </c>
      <c r="F19" s="11">
        <v>335.62418452466846</v>
      </c>
      <c r="G19" s="11"/>
      <c r="H19" s="11">
        <f t="shared" si="2"/>
        <v>-68.015637264586644</v>
      </c>
      <c r="I19" s="11">
        <f>'RD T1'!E18</f>
        <v>182.78137512645262</v>
      </c>
      <c r="J19" s="11">
        <f t="shared" si="5"/>
        <v>114.76573786186597</v>
      </c>
      <c r="L19" s="10" t="str">
        <f>name!D15</f>
        <v>41 Administrative occupations</v>
      </c>
      <c r="M19" s="11">
        <v>105.14087780194761</v>
      </c>
      <c r="N19" s="11">
        <v>102.35667620243181</v>
      </c>
      <c r="O19" s="11">
        <v>118.68398253897189</v>
      </c>
      <c r="P19" s="11">
        <v>108.6491867802799</v>
      </c>
      <c r="Q19" s="11">
        <v>110.2056502923174</v>
      </c>
      <c r="R19" s="11"/>
      <c r="S19" s="11">
        <f t="shared" si="3"/>
        <v>-8.4783322466544888</v>
      </c>
      <c r="T19" s="11">
        <f>'RD T1'!T18</f>
        <v>41.107247842523435</v>
      </c>
      <c r="U19" s="11">
        <f t="shared" si="6"/>
        <v>32.628915595868946</v>
      </c>
      <c r="W19" s="10" t="str">
        <f>name!D15</f>
        <v>41 Administrative occupations</v>
      </c>
      <c r="X19" s="11">
        <v>294.69789412504809</v>
      </c>
      <c r="Y19" s="11">
        <v>289.38733555183313</v>
      </c>
      <c r="Z19" s="11">
        <v>284.95583925028347</v>
      </c>
      <c r="AA19" s="11">
        <v>257.06086648888191</v>
      </c>
      <c r="AB19" s="11">
        <v>225.41853423235102</v>
      </c>
      <c r="AC19" s="11"/>
      <c r="AD19" s="11">
        <f t="shared" si="4"/>
        <v>-59.537305017932454</v>
      </c>
      <c r="AE19" s="11">
        <f>'RD T1'!T47</f>
        <v>141.67412728392915</v>
      </c>
      <c r="AF19" s="11">
        <f t="shared" si="7"/>
        <v>82.136822265996699</v>
      </c>
    </row>
    <row r="20" spans="1:32" x14ac:dyDescent="0.2">
      <c r="A20" s="10" t="str">
        <f>name!D16</f>
        <v>42 Secretarial and related occupations</v>
      </c>
      <c r="B20" s="11">
        <v>101.86485631189477</v>
      </c>
      <c r="C20" s="11">
        <v>93.185877623986343</v>
      </c>
      <c r="D20" s="11">
        <v>88.717808960952368</v>
      </c>
      <c r="E20" s="11">
        <v>88.145303660138566</v>
      </c>
      <c r="F20" s="11">
        <v>78.527613837520136</v>
      </c>
      <c r="G20" s="11"/>
      <c r="H20" s="11">
        <f t="shared" si="2"/>
        <v>-10.190195123432233</v>
      </c>
      <c r="I20" s="11">
        <f>'RD T1'!E19</f>
        <v>47.461690978143906</v>
      </c>
      <c r="J20" s="11">
        <f t="shared" si="5"/>
        <v>37.271495854711674</v>
      </c>
      <c r="L20" s="10" t="str">
        <f>name!D16</f>
        <v>42 Secretarial and related occupations</v>
      </c>
      <c r="M20" s="11">
        <v>5.4011333891717932</v>
      </c>
      <c r="N20" s="11">
        <v>4.4364009890266232</v>
      </c>
      <c r="O20" s="11">
        <v>4.026794647486736</v>
      </c>
      <c r="P20" s="11">
        <v>5.0351534154545625</v>
      </c>
      <c r="Q20" s="11">
        <v>5.6265027235204599</v>
      </c>
      <c r="R20" s="11"/>
      <c r="S20" s="11">
        <f t="shared" si="3"/>
        <v>1.5997080760337239</v>
      </c>
      <c r="T20" s="11">
        <f>'RD T1'!T19</f>
        <v>1.6476333486691246</v>
      </c>
      <c r="U20" s="11">
        <f t="shared" si="6"/>
        <v>3.2473414247028485</v>
      </c>
      <c r="W20" s="10" t="str">
        <f>name!D16</f>
        <v>42 Secretarial and related occupations</v>
      </c>
      <c r="X20" s="11">
        <v>96.463722922722908</v>
      </c>
      <c r="Y20" s="11">
        <v>88.749476634959692</v>
      </c>
      <c r="Z20" s="11">
        <v>84.691014313465615</v>
      </c>
      <c r="AA20" s="11">
        <v>83.110150244683979</v>
      </c>
      <c r="AB20" s="11">
        <v>72.901111113999704</v>
      </c>
      <c r="AC20" s="11"/>
      <c r="AD20" s="11">
        <f t="shared" si="4"/>
        <v>-11.789903199465911</v>
      </c>
      <c r="AE20" s="11">
        <f>'RD T1'!T48</f>
        <v>45.814057629474789</v>
      </c>
      <c r="AF20" s="11">
        <f t="shared" si="7"/>
        <v>34.024154430008878</v>
      </c>
    </row>
    <row r="21" spans="1:32" x14ac:dyDescent="0.2">
      <c r="A21" s="10" t="str">
        <f>name!D17</f>
        <v>51 Skilled agricultural and related trades</v>
      </c>
      <c r="B21" s="11">
        <v>26.294453584726924</v>
      </c>
      <c r="C21" s="11">
        <v>26.463703517996674</v>
      </c>
      <c r="D21" s="11">
        <v>25.224786294385733</v>
      </c>
      <c r="E21" s="11">
        <v>27.211602776942538</v>
      </c>
      <c r="F21" s="11">
        <v>32.47501086648176</v>
      </c>
      <c r="G21" s="11"/>
      <c r="H21" s="11">
        <f t="shared" si="2"/>
        <v>7.2502245720960268</v>
      </c>
      <c r="I21" s="11">
        <f>'RD T1'!E20</f>
        <v>18.75687115385314</v>
      </c>
      <c r="J21" s="11">
        <f t="shared" si="5"/>
        <v>26.007095725949167</v>
      </c>
      <c r="L21" s="10" t="str">
        <f>name!D17</f>
        <v>51 Skilled agricultural and related trades</v>
      </c>
      <c r="M21" s="11">
        <v>22.352981876434843</v>
      </c>
      <c r="N21" s="11">
        <v>23.060402758659535</v>
      </c>
      <c r="O21" s="11">
        <v>19.621410132068203</v>
      </c>
      <c r="P21" s="11">
        <v>20.105524709302543</v>
      </c>
      <c r="Q21" s="11">
        <v>22.633046040719844</v>
      </c>
      <c r="R21" s="11"/>
      <c r="S21" s="11">
        <f t="shared" si="3"/>
        <v>3.0116359086516411</v>
      </c>
      <c r="T21" s="11">
        <f>'RD T1'!T20</f>
        <v>12.877619679042169</v>
      </c>
      <c r="U21" s="11">
        <f t="shared" si="6"/>
        <v>15.88925558769381</v>
      </c>
      <c r="W21" s="10" t="str">
        <f>name!D17</f>
        <v>51 Skilled agricultural and related trades</v>
      </c>
      <c r="X21" s="11">
        <v>3.9414717082920316</v>
      </c>
      <c r="Y21" s="11">
        <v>3.4033007593371782</v>
      </c>
      <c r="Z21" s="11">
        <v>5.6033761623175016</v>
      </c>
      <c r="AA21" s="11">
        <v>7.1060780676400137</v>
      </c>
      <c r="AB21" s="11">
        <v>9.8419648257619183</v>
      </c>
      <c r="AC21" s="11"/>
      <c r="AD21" s="11">
        <f t="shared" si="4"/>
        <v>4.2385886634444168</v>
      </c>
      <c r="AE21" s="11">
        <f>'RD T1'!T49</f>
        <v>5.8792514748109701</v>
      </c>
      <c r="AF21" s="11">
        <f t="shared" si="7"/>
        <v>10.117840138255387</v>
      </c>
    </row>
    <row r="22" spans="1:32" x14ac:dyDescent="0.2">
      <c r="A22" s="10" t="str">
        <f>name!D18</f>
        <v>52 Skilled metal, electrical and electronic trades</v>
      </c>
      <c r="B22" s="11">
        <v>119.88160092800702</v>
      </c>
      <c r="C22" s="11">
        <v>126.32773853817437</v>
      </c>
      <c r="D22" s="11">
        <v>111.14071561048978</v>
      </c>
      <c r="E22" s="11">
        <v>115.71265313915445</v>
      </c>
      <c r="F22" s="11">
        <v>111.9329693226548</v>
      </c>
      <c r="G22" s="11"/>
      <c r="H22" s="11">
        <f t="shared" si="2"/>
        <v>0.79225371216502083</v>
      </c>
      <c r="I22" s="11">
        <f>'RD T1'!E21</f>
        <v>45.327988436555081</v>
      </c>
      <c r="J22" s="11">
        <f t="shared" si="5"/>
        <v>46.120242148720102</v>
      </c>
      <c r="L22" s="10" t="str">
        <f>name!D18</f>
        <v>52 Skilled metal, electrical and electronic trades</v>
      </c>
      <c r="M22" s="11">
        <v>116.88286262513803</v>
      </c>
      <c r="N22" s="11">
        <v>121.24451379788731</v>
      </c>
      <c r="O22" s="11">
        <v>107.20776660792261</v>
      </c>
      <c r="P22" s="11">
        <v>106.81571439829497</v>
      </c>
      <c r="Q22" s="11">
        <v>101.91120735305469</v>
      </c>
      <c r="R22" s="11"/>
      <c r="S22" s="11">
        <f t="shared" si="3"/>
        <v>-5.2965592548679155</v>
      </c>
      <c r="T22" s="11">
        <f>'RD T1'!T21</f>
        <v>40.155241464413763</v>
      </c>
      <c r="U22" s="11">
        <f t="shared" si="6"/>
        <v>34.858682209545847</v>
      </c>
      <c r="W22" s="10" t="str">
        <f>name!D18</f>
        <v>52 Skilled metal, electrical and electronic trades</v>
      </c>
      <c r="X22" s="11">
        <v>2.9987383028687251</v>
      </c>
      <c r="Y22" s="11">
        <v>5.083224740287247</v>
      </c>
      <c r="Z22" s="11">
        <v>3.9329490025669611</v>
      </c>
      <c r="AA22" s="11">
        <v>8.8969387408594258</v>
      </c>
      <c r="AB22" s="11">
        <v>10.021761969600169</v>
      </c>
      <c r="AC22" s="11"/>
      <c r="AD22" s="11">
        <f t="shared" si="4"/>
        <v>6.0888129670332081</v>
      </c>
      <c r="AE22" s="11">
        <f>'RD T1'!T50</f>
        <v>5.1727469721413204</v>
      </c>
      <c r="AF22" s="11">
        <f t="shared" si="7"/>
        <v>11.261559939174528</v>
      </c>
    </row>
    <row r="23" spans="1:32" x14ac:dyDescent="0.2">
      <c r="A23" s="10" t="str">
        <f>name!D19</f>
        <v>53 Skilled construction and building trades</v>
      </c>
      <c r="B23" s="11">
        <v>163.13365486178674</v>
      </c>
      <c r="C23" s="11">
        <v>142.64094798695422</v>
      </c>
      <c r="D23" s="11">
        <v>112.25935423674792</v>
      </c>
      <c r="E23" s="11">
        <v>128.77074902427728</v>
      </c>
      <c r="F23" s="11">
        <v>137.47363645308153</v>
      </c>
      <c r="G23" s="11"/>
      <c r="H23" s="11">
        <f t="shared" si="2"/>
        <v>25.214282216333601</v>
      </c>
      <c r="I23" s="11">
        <f>'RD T1'!E22</f>
        <v>56.327656659657791</v>
      </c>
      <c r="J23" s="11">
        <f t="shared" si="5"/>
        <v>81.541938875991391</v>
      </c>
      <c r="L23" s="10" t="str">
        <f>name!D19</f>
        <v>53 Skilled construction and building trades</v>
      </c>
      <c r="M23" s="11">
        <v>158.59780417392574</v>
      </c>
      <c r="N23" s="11">
        <v>135.66700928258993</v>
      </c>
      <c r="O23" s="11">
        <v>106.85939606771495</v>
      </c>
      <c r="P23" s="11">
        <v>122.06133812689266</v>
      </c>
      <c r="Q23" s="11">
        <v>128.84409482063219</v>
      </c>
      <c r="R23" s="11"/>
      <c r="S23" s="11">
        <f t="shared" si="3"/>
        <v>21.98469875291724</v>
      </c>
      <c r="T23" s="11">
        <f>'RD T1'!T22</f>
        <v>52.295543122800325</v>
      </c>
      <c r="U23" s="11">
        <f t="shared" si="6"/>
        <v>74.280241875717564</v>
      </c>
      <c r="W23" s="10" t="str">
        <f>name!D19</f>
        <v>53 Skilled construction and building trades</v>
      </c>
      <c r="X23" s="11">
        <v>4.5358506878609983</v>
      </c>
      <c r="Y23" s="11">
        <v>6.9739387043644019</v>
      </c>
      <c r="Z23" s="11">
        <v>5.3999581690327689</v>
      </c>
      <c r="AA23" s="11">
        <v>6.7094108973846591</v>
      </c>
      <c r="AB23" s="11">
        <v>8.629541632449321</v>
      </c>
      <c r="AC23" s="11"/>
      <c r="AD23" s="11">
        <f t="shared" si="4"/>
        <v>3.2295834634165521</v>
      </c>
      <c r="AE23" s="11">
        <f>'RD T1'!T51</f>
        <v>4.0321135368574534</v>
      </c>
      <c r="AF23" s="11">
        <f t="shared" si="7"/>
        <v>7.2616970002740056</v>
      </c>
    </row>
    <row r="24" spans="1:32" x14ac:dyDescent="0.2">
      <c r="A24" s="10" t="str">
        <f>name!D20</f>
        <v>54 Textiles, printing and other skilled trades</v>
      </c>
      <c r="B24" s="11">
        <v>128.98513495746371</v>
      </c>
      <c r="C24" s="11">
        <v>128.94983620933522</v>
      </c>
      <c r="D24" s="11">
        <v>113.17858727747519</v>
      </c>
      <c r="E24" s="11">
        <v>117.63642990996956</v>
      </c>
      <c r="F24" s="11">
        <v>126.68335451496061</v>
      </c>
      <c r="G24" s="11"/>
      <c r="H24" s="11">
        <f t="shared" si="2"/>
        <v>13.504767237485424</v>
      </c>
      <c r="I24" s="11">
        <f>'RD T1'!E23</f>
        <v>51.161348686743963</v>
      </c>
      <c r="J24" s="11">
        <f t="shared" si="5"/>
        <v>64.666115924229388</v>
      </c>
      <c r="L24" s="10" t="str">
        <f>name!D20</f>
        <v>54 Textiles, printing and other skilled trades</v>
      </c>
      <c r="M24" s="11">
        <v>92.570900007369474</v>
      </c>
      <c r="N24" s="11">
        <v>93.739007688619537</v>
      </c>
      <c r="O24" s="11">
        <v>76.255766185162841</v>
      </c>
      <c r="P24" s="11">
        <v>79.811057850360996</v>
      </c>
      <c r="Q24" s="11">
        <v>87.919138383207695</v>
      </c>
      <c r="R24" s="11"/>
      <c r="S24" s="11">
        <f t="shared" si="3"/>
        <v>11.663372198044854</v>
      </c>
      <c r="T24" s="11">
        <f>'RD T1'!T23</f>
        <v>28.736586782318483</v>
      </c>
      <c r="U24" s="11">
        <f t="shared" si="6"/>
        <v>40.399958980363337</v>
      </c>
      <c r="W24" s="10" t="str">
        <f>name!D20</f>
        <v>54 Textiles, printing and other skilled trades</v>
      </c>
      <c r="X24" s="11">
        <v>36.414234950094183</v>
      </c>
      <c r="Y24" s="11">
        <v>35.210828520715609</v>
      </c>
      <c r="Z24" s="11">
        <v>36.922821092312574</v>
      </c>
      <c r="AA24" s="11">
        <v>37.825372059608497</v>
      </c>
      <c r="AB24" s="11">
        <v>38.764216131752939</v>
      </c>
      <c r="AC24" s="11"/>
      <c r="AD24" s="11">
        <f t="shared" si="4"/>
        <v>1.8413950394403642</v>
      </c>
      <c r="AE24" s="11">
        <f>'RD T1'!T52</f>
        <v>22.424761904425488</v>
      </c>
      <c r="AF24" s="11">
        <f t="shared" si="7"/>
        <v>24.266156943865852</v>
      </c>
    </row>
    <row r="25" spans="1:32" x14ac:dyDescent="0.2">
      <c r="A25" s="10" t="str">
        <f>name!D21</f>
        <v>61 Caring personal service occupations</v>
      </c>
      <c r="B25" s="11">
        <v>253.00446871969206</v>
      </c>
      <c r="C25" s="11">
        <v>264.85600780962892</v>
      </c>
      <c r="D25" s="11">
        <v>252.16320992365189</v>
      </c>
      <c r="E25" s="11">
        <v>273.32530178928874</v>
      </c>
      <c r="F25" s="11">
        <v>288.67846948308761</v>
      </c>
      <c r="G25" s="11"/>
      <c r="H25" s="11">
        <f t="shared" si="2"/>
        <v>36.515259559435719</v>
      </c>
      <c r="I25" s="11">
        <f>'RD T1'!E24</f>
        <v>150.10370821833649</v>
      </c>
      <c r="J25" s="11">
        <f t="shared" si="5"/>
        <v>186.61896777777221</v>
      </c>
      <c r="L25" s="10" t="str">
        <f>name!D21</f>
        <v>61 Caring personal service occupations</v>
      </c>
      <c r="M25" s="11">
        <v>58.287637311930169</v>
      </c>
      <c r="N25" s="11">
        <v>64.878520646717746</v>
      </c>
      <c r="O25" s="11">
        <v>62.045678665137338</v>
      </c>
      <c r="P25" s="11">
        <v>75.537931494611385</v>
      </c>
      <c r="Q25" s="11">
        <v>85.695145616288457</v>
      </c>
      <c r="R25" s="11"/>
      <c r="S25" s="11">
        <f t="shared" si="3"/>
        <v>23.649466951151119</v>
      </c>
      <c r="T25" s="11">
        <f>'RD T1'!T24</f>
        <v>36.103934336270157</v>
      </c>
      <c r="U25" s="11">
        <f t="shared" si="6"/>
        <v>59.753401287421276</v>
      </c>
      <c r="W25" s="10" t="str">
        <f>name!D21</f>
        <v>61 Caring personal service occupations</v>
      </c>
      <c r="X25" s="11">
        <v>194.71683140776176</v>
      </c>
      <c r="Y25" s="11">
        <v>199.97748716291073</v>
      </c>
      <c r="Z25" s="11">
        <v>190.1175312585149</v>
      </c>
      <c r="AA25" s="11">
        <v>197.78737029467729</v>
      </c>
      <c r="AB25" s="11">
        <v>202.98332386679903</v>
      </c>
      <c r="AC25" s="11"/>
      <c r="AD25" s="11">
        <f t="shared" si="4"/>
        <v>12.865792608284124</v>
      </c>
      <c r="AE25" s="11">
        <f>'RD T1'!T53</f>
        <v>113.99977388206639</v>
      </c>
      <c r="AF25" s="11">
        <f t="shared" si="7"/>
        <v>126.86556649035052</v>
      </c>
    </row>
    <row r="26" spans="1:32" x14ac:dyDescent="0.2">
      <c r="A26" s="10" t="str">
        <f>name!D22</f>
        <v>62 Leisure, travel and related personal service occupations</v>
      </c>
      <c r="B26" s="11">
        <v>100.18519998138873</v>
      </c>
      <c r="C26" s="11">
        <v>109.97039787264633</v>
      </c>
      <c r="D26" s="11">
        <v>99.491973158038263</v>
      </c>
      <c r="E26" s="11">
        <v>105.88555330328265</v>
      </c>
      <c r="F26" s="11">
        <v>113.77979691516451</v>
      </c>
      <c r="G26" s="11"/>
      <c r="H26" s="11">
        <f t="shared" si="2"/>
        <v>14.287823757126247</v>
      </c>
      <c r="I26" s="11">
        <f>'RD T1'!E25</f>
        <v>55.612097611531183</v>
      </c>
      <c r="J26" s="11">
        <f t="shared" si="5"/>
        <v>69.899921368657431</v>
      </c>
      <c r="L26" s="10" t="str">
        <f>name!D22</f>
        <v>62 Leisure, travel and related personal service occupations</v>
      </c>
      <c r="M26" s="11">
        <v>33.616432888697418</v>
      </c>
      <c r="N26" s="11">
        <v>39.280157780352098</v>
      </c>
      <c r="O26" s="11">
        <v>37.611078628047764</v>
      </c>
      <c r="P26" s="11">
        <v>40.128931788317701</v>
      </c>
      <c r="Q26" s="11">
        <v>44.288517087656423</v>
      </c>
      <c r="R26" s="11"/>
      <c r="S26" s="11">
        <f t="shared" si="3"/>
        <v>6.6774384596086591</v>
      </c>
      <c r="T26" s="11">
        <f>'RD T1'!T25</f>
        <v>18.207262653577317</v>
      </c>
      <c r="U26" s="11">
        <f t="shared" si="6"/>
        <v>24.884701113185976</v>
      </c>
      <c r="W26" s="10" t="str">
        <f>name!D22</f>
        <v>62 Leisure, travel and related personal service occupations</v>
      </c>
      <c r="X26" s="11">
        <v>66.568767092691232</v>
      </c>
      <c r="Y26" s="11">
        <v>70.690240092294204</v>
      </c>
      <c r="Z26" s="11">
        <v>61.880894529990613</v>
      </c>
      <c r="AA26" s="11">
        <v>65.756621514964962</v>
      </c>
      <c r="AB26" s="11">
        <v>69.491279827508109</v>
      </c>
      <c r="AC26" s="11"/>
      <c r="AD26" s="11">
        <f t="shared" si="4"/>
        <v>7.6103852975174959</v>
      </c>
      <c r="AE26" s="11">
        <f>'RD T1'!T54</f>
        <v>37.404834957953859</v>
      </c>
      <c r="AF26" s="11">
        <f t="shared" si="7"/>
        <v>45.015220255471355</v>
      </c>
    </row>
    <row r="27" spans="1:32" x14ac:dyDescent="0.2">
      <c r="A27" s="10" t="str">
        <f>name!D23</f>
        <v>63 Community and civil enforcement occupations</v>
      </c>
      <c r="B27" s="11">
        <v>5.9382957218516932</v>
      </c>
      <c r="C27" s="11">
        <v>5.3706312747090736</v>
      </c>
      <c r="D27" s="11">
        <v>6.7390265142800718</v>
      </c>
      <c r="E27" s="11">
        <v>5.6357642637695298</v>
      </c>
      <c r="F27" s="11">
        <v>5.9898441030475</v>
      </c>
      <c r="G27" s="11"/>
      <c r="H27" s="11">
        <f t="shared" si="2"/>
        <v>-0.74918241123257179</v>
      </c>
      <c r="I27" s="11">
        <f>'RD T1'!E26</f>
        <v>3.0839041831390457</v>
      </c>
      <c r="J27" s="11">
        <f t="shared" si="5"/>
        <v>2.3347217719064739</v>
      </c>
      <c r="L27" s="10" t="str">
        <f>name!D23</f>
        <v>63 Community and civil enforcement occupations</v>
      </c>
      <c r="M27" s="11">
        <v>4.4040554952449291</v>
      </c>
      <c r="N27" s="11">
        <v>3.4502787724579989</v>
      </c>
      <c r="O27" s="11">
        <v>5.1158248933133859</v>
      </c>
      <c r="P27" s="11">
        <v>3.3843465971241322</v>
      </c>
      <c r="Q27" s="11">
        <v>3.8232909092169653</v>
      </c>
      <c r="R27" s="11"/>
      <c r="S27" s="11">
        <f t="shared" si="3"/>
        <v>-1.2925339840964205</v>
      </c>
      <c r="T27" s="11">
        <f>'RD T1'!T26</f>
        <v>1.6367804951991669</v>
      </c>
      <c r="U27" s="11">
        <f t="shared" si="6"/>
        <v>0.3442465111027464</v>
      </c>
      <c r="W27" s="10" t="str">
        <f>name!D23</f>
        <v>63 Community and civil enforcement occupations</v>
      </c>
      <c r="X27" s="11">
        <v>1.5342402266067612</v>
      </c>
      <c r="Y27" s="11">
        <v>1.9203525022510708</v>
      </c>
      <c r="Z27" s="11">
        <v>1.6232016209666802</v>
      </c>
      <c r="AA27" s="11">
        <v>2.2514176666454029</v>
      </c>
      <c r="AB27" s="11">
        <v>2.1665531938305342</v>
      </c>
      <c r="AC27" s="11"/>
      <c r="AD27" s="11">
        <f t="shared" si="4"/>
        <v>0.54335157286385405</v>
      </c>
      <c r="AE27" s="11">
        <f>'RD T1'!T55</f>
        <v>1.4471236879398794</v>
      </c>
      <c r="AF27" s="11">
        <f t="shared" si="7"/>
        <v>1.9904752608037335</v>
      </c>
    </row>
    <row r="28" spans="1:32" x14ac:dyDescent="0.2">
      <c r="A28" s="10" t="str">
        <f>name!D24</f>
        <v>71 Sales occupations</v>
      </c>
      <c r="B28" s="11">
        <v>317.65918909274848</v>
      </c>
      <c r="C28" s="11">
        <v>283.8396737163265</v>
      </c>
      <c r="D28" s="11">
        <v>277.11013700415418</v>
      </c>
      <c r="E28" s="11">
        <v>255.24893261424151</v>
      </c>
      <c r="F28" s="11">
        <v>243.68551158385674</v>
      </c>
      <c r="G28" s="11"/>
      <c r="H28" s="11">
        <f t="shared" si="2"/>
        <v>-33.424625420297446</v>
      </c>
      <c r="I28" s="11">
        <f>'RD T1'!E27</f>
        <v>114.9713135468898</v>
      </c>
      <c r="J28" s="11">
        <f t="shared" si="5"/>
        <v>81.546688126592358</v>
      </c>
      <c r="L28" s="10" t="str">
        <f>name!D24</f>
        <v>71 Sales occupations</v>
      </c>
      <c r="M28" s="11">
        <v>150.33066372150327</v>
      </c>
      <c r="N28" s="11">
        <v>142.21415331526094</v>
      </c>
      <c r="O28" s="11">
        <v>138.50049352932692</v>
      </c>
      <c r="P28" s="11">
        <v>130.02624647487264</v>
      </c>
      <c r="Q28" s="11">
        <v>128.92592396575583</v>
      </c>
      <c r="R28" s="11"/>
      <c r="S28" s="11">
        <f t="shared" si="3"/>
        <v>-9.5745695635710888</v>
      </c>
      <c r="T28" s="11">
        <f>'RD T1'!T27</f>
        <v>46.640052177624248</v>
      </c>
      <c r="U28" s="11">
        <f t="shared" si="6"/>
        <v>37.06548261405316</v>
      </c>
      <c r="W28" s="10" t="str">
        <f>name!D24</f>
        <v>71 Sales occupations</v>
      </c>
      <c r="X28" s="11">
        <v>167.32852537124563</v>
      </c>
      <c r="Y28" s="11">
        <v>141.62552040106536</v>
      </c>
      <c r="Z28" s="11">
        <v>138.60964347482704</v>
      </c>
      <c r="AA28" s="11">
        <v>125.22268613936845</v>
      </c>
      <c r="AB28" s="11">
        <v>114.75958761810087</v>
      </c>
      <c r="AC28" s="11"/>
      <c r="AD28" s="11">
        <f t="shared" si="4"/>
        <v>-23.850055856726172</v>
      </c>
      <c r="AE28" s="11">
        <f>'RD T1'!T56</f>
        <v>68.331261369265548</v>
      </c>
      <c r="AF28" s="11">
        <f t="shared" si="7"/>
        <v>44.481205512539375</v>
      </c>
    </row>
    <row r="29" spans="1:32" x14ac:dyDescent="0.2">
      <c r="A29" s="10" t="str">
        <f>name!D25</f>
        <v>72 Customer service occupations</v>
      </c>
      <c r="B29" s="11">
        <v>78.11547202864962</v>
      </c>
      <c r="C29" s="11">
        <v>84.434310067645598</v>
      </c>
      <c r="D29" s="11">
        <v>84.914331249932388</v>
      </c>
      <c r="E29" s="11">
        <v>108.00703895762425</v>
      </c>
      <c r="F29" s="11">
        <v>117.74614770212519</v>
      </c>
      <c r="G29" s="11"/>
      <c r="H29" s="11">
        <f t="shared" si="2"/>
        <v>32.831816452192797</v>
      </c>
      <c r="I29" s="11">
        <f>'RD T1'!E28</f>
        <v>50.095596469118021</v>
      </c>
      <c r="J29" s="11">
        <f t="shared" si="5"/>
        <v>82.927412921310818</v>
      </c>
      <c r="L29" s="10" t="str">
        <f>name!D25</f>
        <v>72 Customer service occupations</v>
      </c>
      <c r="M29" s="11">
        <v>29.008701792190312</v>
      </c>
      <c r="N29" s="11">
        <v>27.318269891363663</v>
      </c>
      <c r="O29" s="11">
        <v>31.270953409660962</v>
      </c>
      <c r="P29" s="11">
        <v>42.148485308442567</v>
      </c>
      <c r="Q29" s="11">
        <v>46.796495642558007</v>
      </c>
      <c r="R29" s="11"/>
      <c r="S29" s="11">
        <f t="shared" si="3"/>
        <v>15.525542232897045</v>
      </c>
      <c r="T29" s="11">
        <f>'RD T1'!T28</f>
        <v>14.645258464142723</v>
      </c>
      <c r="U29" s="11">
        <f t="shared" si="6"/>
        <v>30.170800697039766</v>
      </c>
      <c r="W29" s="10" t="str">
        <f>name!D25</f>
        <v>72 Customer service occupations</v>
      </c>
      <c r="X29" s="11">
        <v>49.106770236459312</v>
      </c>
      <c r="Y29" s="11">
        <v>57.116040176282119</v>
      </c>
      <c r="Z29" s="11">
        <v>53.643377840271313</v>
      </c>
      <c r="AA29" s="11">
        <v>65.858553649181459</v>
      </c>
      <c r="AB29" s="11">
        <v>70.949652059567171</v>
      </c>
      <c r="AC29" s="11"/>
      <c r="AD29" s="11">
        <f t="shared" si="4"/>
        <v>17.306274219295858</v>
      </c>
      <c r="AE29" s="11">
        <f>'RD T1'!T57</f>
        <v>35.450338004975308</v>
      </c>
      <c r="AF29" s="11">
        <f t="shared" si="7"/>
        <v>52.756612224271166</v>
      </c>
    </row>
    <row r="30" spans="1:32" x14ac:dyDescent="0.2">
      <c r="A30" s="10" t="str">
        <f>name!D26</f>
        <v>81 Process, plant and machine operatives</v>
      </c>
      <c r="B30" s="11">
        <v>35.434452802600624</v>
      </c>
      <c r="C30" s="11">
        <v>33.967749317353309</v>
      </c>
      <c r="D30" s="11">
        <v>31.105873118691047</v>
      </c>
      <c r="E30" s="11">
        <v>38.139195588077293</v>
      </c>
      <c r="F30" s="11">
        <v>40.998968578618566</v>
      </c>
      <c r="G30" s="11"/>
      <c r="H30" s="11">
        <f t="shared" si="2"/>
        <v>9.8930954599275189</v>
      </c>
      <c r="I30" s="11">
        <f>'RD T1'!E29</f>
        <v>15.85732839159877</v>
      </c>
      <c r="J30" s="11">
        <f t="shared" si="5"/>
        <v>25.750423851526289</v>
      </c>
      <c r="L30" s="10" t="str">
        <f>name!D26</f>
        <v>81 Process, plant and machine operatives</v>
      </c>
      <c r="M30" s="11">
        <v>27.051044524149052</v>
      </c>
      <c r="N30" s="11">
        <v>25.66385007520185</v>
      </c>
      <c r="O30" s="11">
        <v>22.838175173839751</v>
      </c>
      <c r="P30" s="11">
        <v>27.310079158791581</v>
      </c>
      <c r="Q30" s="11">
        <v>28.3007677417176</v>
      </c>
      <c r="R30" s="11"/>
      <c r="S30" s="11">
        <f t="shared" si="3"/>
        <v>5.4625925678778486</v>
      </c>
      <c r="T30" s="11">
        <f>'RD T1'!T29</f>
        <v>10.13191680363018</v>
      </c>
      <c r="U30" s="11">
        <f t="shared" si="6"/>
        <v>15.594509371508028</v>
      </c>
      <c r="W30" s="10" t="str">
        <f>name!D26</f>
        <v>81 Process, plant and machine operatives</v>
      </c>
      <c r="X30" s="11">
        <v>8.3834082784517214</v>
      </c>
      <c r="Y30" s="11">
        <v>8.3038992421513829</v>
      </c>
      <c r="Z30" s="11">
        <v>8.2676979448513812</v>
      </c>
      <c r="AA30" s="11">
        <v>10.829116429285744</v>
      </c>
      <c r="AB30" s="11">
        <v>12.698200836900941</v>
      </c>
      <c r="AC30" s="11"/>
      <c r="AD30" s="11">
        <f t="shared" si="4"/>
        <v>4.4305028920495602</v>
      </c>
      <c r="AE30" s="11">
        <f>'RD T1'!T58</f>
        <v>5.7254115879685985</v>
      </c>
      <c r="AF30" s="11">
        <f t="shared" si="7"/>
        <v>10.155914480018158</v>
      </c>
    </row>
    <row r="31" spans="1:32" x14ac:dyDescent="0.2">
      <c r="A31" s="10" t="str">
        <f>name!D27</f>
        <v>82 Transport and mobile machine drivers and operatives</v>
      </c>
      <c r="B31" s="11">
        <v>182.23681734593583</v>
      </c>
      <c r="C31" s="11">
        <v>206.4045743008385</v>
      </c>
      <c r="D31" s="11">
        <v>183.44574594007335</v>
      </c>
      <c r="E31" s="11">
        <v>204.85349334338304</v>
      </c>
      <c r="F31" s="11">
        <v>201.77357034406313</v>
      </c>
      <c r="G31" s="11"/>
      <c r="H31" s="11">
        <f t="shared" si="2"/>
        <v>18.32782440398978</v>
      </c>
      <c r="I31" s="11">
        <f>'RD T1'!E30</f>
        <v>107.49187745386038</v>
      </c>
      <c r="J31" s="11">
        <f t="shared" si="5"/>
        <v>125.81970185785016</v>
      </c>
      <c r="L31" s="10" t="str">
        <f>name!D27</f>
        <v>82 Transport and mobile machine drivers and operatives</v>
      </c>
      <c r="M31" s="11">
        <v>170.2387838592017</v>
      </c>
      <c r="N31" s="11">
        <v>195.76100076197565</v>
      </c>
      <c r="O31" s="11">
        <v>171.91671297046491</v>
      </c>
      <c r="P31" s="11">
        <v>187.73156691177013</v>
      </c>
      <c r="Q31" s="11">
        <v>182.82181913043752</v>
      </c>
      <c r="R31" s="11"/>
      <c r="S31" s="11">
        <f t="shared" si="3"/>
        <v>10.905106159972604</v>
      </c>
      <c r="T31" s="11">
        <f>'RD T1'!T30</f>
        <v>97.237564073131651</v>
      </c>
      <c r="U31" s="11">
        <f t="shared" si="6"/>
        <v>108.14267023310425</v>
      </c>
      <c r="W31" s="10" t="str">
        <f>name!D27</f>
        <v>82 Transport and mobile machine drivers and operatives</v>
      </c>
      <c r="X31" s="11">
        <v>11.998033486734652</v>
      </c>
      <c r="Y31" s="11">
        <v>10.643573538862977</v>
      </c>
      <c r="Z31" s="11">
        <v>11.529032969608407</v>
      </c>
      <c r="AA31" s="11">
        <v>17.121926431612625</v>
      </c>
      <c r="AB31" s="11">
        <v>18.951751213626267</v>
      </c>
      <c r="AC31" s="11"/>
      <c r="AD31" s="11">
        <f t="shared" si="4"/>
        <v>7.4227182440178598</v>
      </c>
      <c r="AE31" s="11">
        <f>'RD T1'!T59</f>
        <v>10.254313380728719</v>
      </c>
      <c r="AF31" s="11">
        <f t="shared" si="7"/>
        <v>17.677031624746579</v>
      </c>
    </row>
    <row r="32" spans="1:32" x14ac:dyDescent="0.2">
      <c r="A32" s="10" t="str">
        <f>name!D28</f>
        <v>91 Elementary trades and related occupations</v>
      </c>
      <c r="B32" s="11">
        <v>44.118542088264775</v>
      </c>
      <c r="C32" s="11">
        <v>40.00309221645275</v>
      </c>
      <c r="D32" s="11">
        <v>35.852641009177191</v>
      </c>
      <c r="E32" s="11">
        <v>29.083326535737775</v>
      </c>
      <c r="F32" s="11">
        <v>27.25894477799643</v>
      </c>
      <c r="G32" s="11"/>
      <c r="H32" s="11">
        <f t="shared" si="2"/>
        <v>-8.5936962311807612</v>
      </c>
      <c r="I32" s="11">
        <f>'RD T1'!E31</f>
        <v>11.424926508535295</v>
      </c>
      <c r="J32" s="11">
        <f t="shared" si="5"/>
        <v>2.8312302773545337</v>
      </c>
      <c r="L32" s="10" t="str">
        <f>name!D28</f>
        <v>91 Elementary trades and related occupations</v>
      </c>
      <c r="M32" s="11">
        <v>35.561549669945471</v>
      </c>
      <c r="N32" s="11">
        <v>32.946025092848998</v>
      </c>
      <c r="O32" s="11">
        <v>29.578737470920093</v>
      </c>
      <c r="P32" s="11">
        <v>23.244579367034444</v>
      </c>
      <c r="Q32" s="11">
        <v>21.438359168958346</v>
      </c>
      <c r="R32" s="11"/>
      <c r="S32" s="11">
        <f t="shared" si="3"/>
        <v>-8.1403783019617464</v>
      </c>
      <c r="T32" s="11">
        <f>'RD T1'!T31</f>
        <v>7.8280435728063802</v>
      </c>
      <c r="U32" s="11">
        <f t="shared" si="6"/>
        <v>-0.3123347291553662</v>
      </c>
      <c r="W32" s="10" t="str">
        <f>name!D28</f>
        <v>91 Elementary trades and related occupations</v>
      </c>
      <c r="X32" s="11">
        <v>8.5569924183192541</v>
      </c>
      <c r="Y32" s="11">
        <v>7.0570671236037388</v>
      </c>
      <c r="Z32" s="11">
        <v>6.2739035382570671</v>
      </c>
      <c r="AA32" s="11">
        <v>5.8387471687033852</v>
      </c>
      <c r="AB32" s="11">
        <v>5.8205856090380488</v>
      </c>
      <c r="AC32" s="11"/>
      <c r="AD32" s="11">
        <f t="shared" si="4"/>
        <v>-0.45331792921901837</v>
      </c>
      <c r="AE32" s="11">
        <f>'RD T1'!T60</f>
        <v>3.5968829357289147</v>
      </c>
      <c r="AF32" s="11">
        <f t="shared" si="7"/>
        <v>3.1435650065098963</v>
      </c>
    </row>
    <row r="33" spans="1:32" x14ac:dyDescent="0.2">
      <c r="A33" s="10" t="str">
        <f>name!D29</f>
        <v>92 Elementary administration and service occupations</v>
      </c>
      <c r="B33" s="11">
        <v>502.07614358936502</v>
      </c>
      <c r="C33" s="11">
        <v>531.01456294318496</v>
      </c>
      <c r="D33" s="11">
        <v>487.63253962385613</v>
      </c>
      <c r="E33" s="11">
        <v>501.40009325993185</v>
      </c>
      <c r="F33" s="11">
        <v>499.44682814922436</v>
      </c>
      <c r="G33" s="11"/>
      <c r="H33" s="11">
        <f t="shared" ref="H33" si="8">F33-D33</f>
        <v>11.814288525368227</v>
      </c>
      <c r="I33" s="11">
        <f>'RD T1'!E32</f>
        <v>254.54143903024485</v>
      </c>
      <c r="J33" s="11">
        <f>SUM(H33:I33)</f>
        <v>266.35572755561304</v>
      </c>
      <c r="L33" s="10" t="str">
        <f>name!D29</f>
        <v>92 Elementary administration and service occupations</v>
      </c>
      <c r="M33" s="11">
        <v>246.88779983687851</v>
      </c>
      <c r="N33" s="11">
        <v>253.66469228452752</v>
      </c>
      <c r="O33" s="11">
        <v>243.6493392608335</v>
      </c>
      <c r="P33" s="11">
        <v>258.59098539707753</v>
      </c>
      <c r="Q33" s="11">
        <v>255.39302451210574</v>
      </c>
      <c r="R33" s="11"/>
      <c r="S33" s="11">
        <f t="shared" ref="S33" si="9">Q33-O33</f>
        <v>11.74368525127224</v>
      </c>
      <c r="T33" s="11">
        <f>'RD T1'!T32</f>
        <v>109.10448363798034</v>
      </c>
      <c r="U33" s="11">
        <f>SUM(S33:T33)</f>
        <v>120.84816888925258</v>
      </c>
      <c r="W33" s="10" t="str">
        <f>name!D29</f>
        <v>92 Elementary administration and service occupations</v>
      </c>
      <c r="X33" s="11">
        <v>255.18834375248764</v>
      </c>
      <c r="Y33" s="11">
        <v>277.34987065865658</v>
      </c>
      <c r="Z33" s="11">
        <v>243.98320036302303</v>
      </c>
      <c r="AA33" s="11">
        <v>242.80910786285446</v>
      </c>
      <c r="AB33" s="11">
        <v>244.05380363711831</v>
      </c>
      <c r="AC33" s="11"/>
      <c r="AD33" s="11">
        <f t="shared" ref="AD33" si="10">AB33-Z33</f>
        <v>7.0603274095276447E-2</v>
      </c>
      <c r="AE33" s="11">
        <f>'RD T1'!T61</f>
        <v>145.43695539226454</v>
      </c>
      <c r="AF33" s="11">
        <f>SUM(AD33:AE33)</f>
        <v>145.50755866635981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3">
        <f>SUM(B8:B33)</f>
        <v>5573.5560000041069</v>
      </c>
      <c r="C35" s="33">
        <f t="shared" ref="C35:F35" si="11">SUM(C8:C33)</f>
        <v>5970.1169999982631</v>
      </c>
      <c r="D35" s="33">
        <f t="shared" si="11"/>
        <v>5937.38100000533</v>
      </c>
      <c r="E35" s="33">
        <f t="shared" si="11"/>
        <v>6179.2980000106982</v>
      </c>
      <c r="F35" s="33">
        <f t="shared" si="11"/>
        <v>6480.7350000074612</v>
      </c>
      <c r="G35" s="11"/>
      <c r="H35" s="33">
        <f>F35-D35</f>
        <v>543.35400000213122</v>
      </c>
      <c r="I35" s="33">
        <f>SUM(I8:I33)</f>
        <v>3041.904462228395</v>
      </c>
      <c r="J35" s="33">
        <f>SUM(J8:J33)</f>
        <v>3585.2584622305267</v>
      </c>
      <c r="L35" s="231" t="str">
        <f>name!D3</f>
        <v>All occupations</v>
      </c>
      <c r="M35" s="33">
        <f>SUM(M8:M33)</f>
        <v>2948.9900000042367</v>
      </c>
      <c r="N35" s="33">
        <f t="shared" ref="N35:P35" si="12">SUM(N8:N33)</f>
        <v>3162.1329999996055</v>
      </c>
      <c r="O35" s="33">
        <f t="shared" si="12"/>
        <v>3113.2300000080063</v>
      </c>
      <c r="P35" s="33">
        <f t="shared" si="12"/>
        <v>3248.729000011318</v>
      </c>
      <c r="Q35" s="33">
        <f>SUM(Q8:Q33)</f>
        <v>3406.6080000084894</v>
      </c>
      <c r="R35" s="11"/>
      <c r="S35" s="33">
        <f>Q35-O35</f>
        <v>293.3780000004831</v>
      </c>
      <c r="T35" s="33">
        <f>SUM(T8:T33)</f>
        <v>1368.0411109276006</v>
      </c>
      <c r="U35" s="33">
        <f>SUM(U8:U33)</f>
        <v>1661.4191109280841</v>
      </c>
      <c r="W35" s="231" t="str">
        <f>name!D3</f>
        <v>All occupations</v>
      </c>
      <c r="X35" s="33">
        <f>SUM(X8:X33)</f>
        <v>2624.5659999998693</v>
      </c>
      <c r="Y35" s="33">
        <f t="shared" ref="Y35:AB35" si="13">SUM(Y8:Y33)</f>
        <v>2807.9839999986584</v>
      </c>
      <c r="Z35" s="33">
        <f t="shared" si="13"/>
        <v>2824.1509999973246</v>
      </c>
      <c r="AA35" s="33">
        <f t="shared" si="13"/>
        <v>2930.568999999382</v>
      </c>
      <c r="AB35" s="33">
        <f t="shared" si="13"/>
        <v>3074.1269999989736</v>
      </c>
      <c r="AC35" s="11"/>
      <c r="AD35" s="33">
        <f>AB35-Z35</f>
        <v>249.97600000164903</v>
      </c>
      <c r="AE35" s="33">
        <f>SUM(AE8:AE33)</f>
        <v>1673.8633513007935</v>
      </c>
      <c r="AF35" s="33">
        <f>SUM(AF8:AF33)</f>
        <v>1923.8393513024434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8" t="str">
        <f>CONCATENATE(A$1," (Continued)")</f>
        <v>Occupation Table 2  Employment Change by Occupation (SOC 2020) and Replacement Demand, 2015-2035, London (Continued)</v>
      </c>
      <c r="L38" s="18" t="str">
        <f>CONCATENATE(L$1," (Continued)")</f>
        <v>Occupation Table 2.1  Males: Employment Change by Occupation (SOC 2020) and Replacement Demand, 2015-2035, London (Continued)</v>
      </c>
      <c r="W38" s="18" t="str">
        <f>CONCATENATE(W$1," (Continued)")</f>
        <v>Occupation Table 2.2  Females: Employment Change by Occupation (SOC 2020) and Replacement Demand, 2015-2035, London (Continued)</v>
      </c>
    </row>
    <row r="40" spans="1:32" x14ac:dyDescent="0.2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</row>
    <row r="41" spans="1:32" x14ac:dyDescent="0.2">
      <c r="A41" s="35"/>
      <c r="B41" s="35"/>
      <c r="C41" s="35"/>
      <c r="D41" s="35"/>
      <c r="E41" s="35"/>
      <c r="F41" s="35"/>
      <c r="H41" s="98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98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98" t="str">
        <f>$H$4</f>
        <v>2020-2035</v>
      </c>
      <c r="AE41" s="35"/>
      <c r="AF41" s="35"/>
    </row>
    <row r="42" spans="1:32" x14ac:dyDescent="0.2">
      <c r="H42" s="15" t="str">
        <f t="shared" ref="H42:J43" si="14">H5</f>
        <v>Net</v>
      </c>
      <c r="I42" s="15" t="str">
        <f t="shared" si="14"/>
        <v>Replacement</v>
      </c>
      <c r="J42" s="15" t="str">
        <f t="shared" si="14"/>
        <v>Total</v>
      </c>
      <c r="S42" s="15" t="str">
        <f t="shared" ref="S42:U42" si="15">S5</f>
        <v>Net</v>
      </c>
      <c r="T42" s="15" t="str">
        <f t="shared" si="15"/>
        <v>Replacement</v>
      </c>
      <c r="U42" s="15" t="str">
        <f t="shared" si="15"/>
        <v>Total</v>
      </c>
      <c r="AD42" s="15" t="str">
        <f t="shared" ref="AD42:AF42" si="16">AD5</f>
        <v>Net</v>
      </c>
      <c r="AE42" s="15" t="str">
        <f t="shared" si="16"/>
        <v>Replacement</v>
      </c>
      <c r="AF42" s="15" t="str">
        <f t="shared" si="16"/>
        <v>Total</v>
      </c>
    </row>
    <row r="43" spans="1:32" x14ac:dyDescent="0.2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14"/>
        <v>Change</v>
      </c>
      <c r="I43" s="62" t="str">
        <f t="shared" si="14"/>
        <v>Demand</v>
      </c>
      <c r="J43" s="62" t="str">
        <f t="shared" si="14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ref="S43:U43" si="17">S6</f>
        <v>Change</v>
      </c>
      <c r="T43" s="62" t="str">
        <f t="shared" si="17"/>
        <v>Demand</v>
      </c>
      <c r="U43" s="62" t="str">
        <f t="shared" si="1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ref="AD43:AF43" si="18">AD6</f>
        <v>Change</v>
      </c>
      <c r="AE43" s="62" t="str">
        <f t="shared" si="18"/>
        <v>Demand</v>
      </c>
      <c r="AF43" s="62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2">
        <f t="shared" ref="B45:F54" si="20">B8/B$35*100</f>
        <v>7.8875921478534092</v>
      </c>
      <c r="C45" s="172">
        <f t="shared" si="20"/>
        <v>8.7688497238890211</v>
      </c>
      <c r="D45" s="172">
        <f t="shared" si="20"/>
        <v>8.873795336451014</v>
      </c>
      <c r="E45" s="172">
        <f t="shared" si="20"/>
        <v>8.1498130331300711</v>
      </c>
      <c r="F45" s="172">
        <f t="shared" si="20"/>
        <v>8.3865998563916406</v>
      </c>
      <c r="H45" s="67">
        <f t="shared" ref="H45:H70" si="21">IF(D8&gt;0,(H8/D8)*100,0)</f>
        <v>3.1586997023205914</v>
      </c>
      <c r="I45" s="68">
        <f t="shared" ref="I45:I70" si="22">IF(D8&gt;0,I8/D8*100,0)</f>
        <v>50.992803616148286</v>
      </c>
      <c r="J45" s="68">
        <f t="shared" ref="J45:J70" si="23">IF(D8&gt;0,(J8/D8)*100,0)</f>
        <v>54.151503318468876</v>
      </c>
      <c r="L45" t="str">
        <f t="shared" ref="L45:L70" si="24">L8</f>
        <v>11 Corporate managers and directors</v>
      </c>
      <c r="M45" s="172">
        <f t="shared" ref="M45:Q45" si="25">M8/M$35*100</f>
        <v>9.8245258649969855</v>
      </c>
      <c r="N45" s="172">
        <f t="shared" si="25"/>
        <v>10.598602308035769</v>
      </c>
      <c r="O45" s="172">
        <f t="shared" si="25"/>
        <v>10.717479281094082</v>
      </c>
      <c r="P45" s="172">
        <f t="shared" si="25"/>
        <v>9.4823710167571864</v>
      </c>
      <c r="Q45" s="172">
        <f t="shared" si="25"/>
        <v>9.466997496326309</v>
      </c>
      <c r="S45" s="67">
        <f t="shared" ref="S45:S70" si="26">IF(O8&gt;0,(S8/O8)*100,0)</f>
        <v>-3.3436113114171087</v>
      </c>
      <c r="T45" s="68">
        <f t="shared" ref="T45:T70" si="27">IF(O8&gt;0,T8/O8*100,0)</f>
        <v>44.930996738308124</v>
      </c>
      <c r="U45" s="68">
        <f t="shared" ref="U45:U70" si="28">IF(O8&gt;0,(U8/O8)*100,0)</f>
        <v>41.587385426891011</v>
      </c>
      <c r="W45" t="str">
        <f t="shared" ref="W45:W70" si="29">W8</f>
        <v>11 Corporate managers and directors</v>
      </c>
      <c r="X45" s="172">
        <f t="shared" ref="X45:AB45" si="30">X8/X$35*100</f>
        <v>5.7112330231342305</v>
      </c>
      <c r="Y45" s="172">
        <f t="shared" si="30"/>
        <v>6.7083247963368011</v>
      </c>
      <c r="Z45" s="172">
        <f t="shared" si="30"/>
        <v>6.8413926189612964</v>
      </c>
      <c r="AA45" s="172">
        <f t="shared" si="30"/>
        <v>6.6725846294969218</v>
      </c>
      <c r="AB45" s="172">
        <f t="shared" si="30"/>
        <v>7.1893522334427429</v>
      </c>
      <c r="AD45" s="67">
        <f t="shared" ref="AD45:AD70" si="31">IF(Z8&gt;0,(AD8/Z8)*100,0)</f>
        <v>14.387650259082591</v>
      </c>
      <c r="AE45" s="68">
        <f t="shared" ref="AE45:AE70" si="32">IF(Z8&gt;0,AE8/Z8*100,0)</f>
        <v>61.461040151143266</v>
      </c>
      <c r="AF45" s="68">
        <f t="shared" ref="AF45:AF70" si="33">IF(Z8&gt;0,(AF8/Z8)*100,0)</f>
        <v>75.848690410225856</v>
      </c>
    </row>
    <row r="46" spans="1:32" x14ac:dyDescent="0.2">
      <c r="A46" t="str">
        <f t="shared" si="19"/>
        <v>12 Other managers and proprietors</v>
      </c>
      <c r="B46" s="172">
        <f t="shared" si="20"/>
        <v>3.3523055406872637</v>
      </c>
      <c r="C46" s="172">
        <f t="shared" si="20"/>
        <v>3.3728038715743911</v>
      </c>
      <c r="D46" s="172">
        <f t="shared" si="20"/>
        <v>3.3382091211423894</v>
      </c>
      <c r="E46" s="172">
        <f t="shared" si="20"/>
        <v>4.053686884039907</v>
      </c>
      <c r="F46" s="172">
        <f t="shared" si="20"/>
        <v>4.3500227641243265</v>
      </c>
      <c r="H46" s="67">
        <f t="shared" si="21"/>
        <v>42.235281029162792</v>
      </c>
      <c r="I46" s="68">
        <f t="shared" si="22"/>
        <v>73.161748532749215</v>
      </c>
      <c r="J46" s="68">
        <f t="shared" si="23"/>
        <v>115.39702956191201</v>
      </c>
      <c r="L46" t="str">
        <f t="shared" si="24"/>
        <v>12 Other managers and proprietors</v>
      </c>
      <c r="M46" s="172">
        <f t="shared" ref="M46:Q46" si="34">M9/M$35*100</f>
        <v>3.9712090102878017</v>
      </c>
      <c r="N46" s="172">
        <f t="shared" si="34"/>
        <v>4.0138403326704957</v>
      </c>
      <c r="O46" s="172">
        <f t="shared" si="34"/>
        <v>3.92809768913407</v>
      </c>
      <c r="P46" s="172">
        <f t="shared" si="34"/>
        <v>4.8527496216142527</v>
      </c>
      <c r="Q46" s="172">
        <f t="shared" si="34"/>
        <v>5.1744539756657719</v>
      </c>
      <c r="S46" s="67">
        <f t="shared" si="26"/>
        <v>44.14288288399883</v>
      </c>
      <c r="T46" s="68">
        <f t="shared" si="27"/>
        <v>68.176985581891742</v>
      </c>
      <c r="U46" s="68">
        <f t="shared" si="28"/>
        <v>112.31986846589056</v>
      </c>
      <c r="W46" t="str">
        <f t="shared" si="29"/>
        <v>12 Other managers and proprietors</v>
      </c>
      <c r="X46" s="172">
        <f t="shared" ref="X46:AB46" si="35">X9/X$35*100</f>
        <v>2.6568990838407029</v>
      </c>
      <c r="Y46" s="172">
        <f t="shared" si="35"/>
        <v>2.6509185090381857</v>
      </c>
      <c r="Z46" s="172">
        <f t="shared" si="35"/>
        <v>2.6879397883286664</v>
      </c>
      <c r="AA46" s="172">
        <f t="shared" si="35"/>
        <v>3.1678731432999001</v>
      </c>
      <c r="AB46" s="172">
        <f t="shared" si="35"/>
        <v>3.4364255182412902</v>
      </c>
      <c r="AD46" s="67">
        <f t="shared" si="31"/>
        <v>39.162201687843492</v>
      </c>
      <c r="AE46" s="68">
        <f t="shared" si="32"/>
        <v>81.192025923611965</v>
      </c>
      <c r="AF46" s="68">
        <f t="shared" si="33"/>
        <v>120.35422761145544</v>
      </c>
    </row>
    <row r="47" spans="1:32" x14ac:dyDescent="0.2">
      <c r="A47" t="str">
        <f t="shared" si="19"/>
        <v>21 Science, research, engineering and technology professionals</v>
      </c>
      <c r="B47" s="172">
        <f t="shared" si="20"/>
        <v>6.1288914730759512</v>
      </c>
      <c r="C47" s="172">
        <f t="shared" si="20"/>
        <v>6.796843558999778</v>
      </c>
      <c r="D47" s="172">
        <f t="shared" si="20"/>
        <v>7.1384817252515722</v>
      </c>
      <c r="E47" s="172">
        <f t="shared" si="20"/>
        <v>7.4724696166034139</v>
      </c>
      <c r="F47" s="172">
        <f t="shared" si="20"/>
        <v>7.8937012841724528</v>
      </c>
      <c r="H47" s="67">
        <f t="shared" si="21"/>
        <v>20.699141358380235</v>
      </c>
      <c r="I47" s="68">
        <f t="shared" si="22"/>
        <v>43.840857406409349</v>
      </c>
      <c r="J47" s="68">
        <f t="shared" si="23"/>
        <v>64.539998764789587</v>
      </c>
      <c r="L47" t="str">
        <f t="shared" si="24"/>
        <v>21 Science, research, engineering and technology professionals</v>
      </c>
      <c r="M47" s="172">
        <f t="shared" ref="M47:Q47" si="36">M10/M$35*100</f>
        <v>8.4830528984254325</v>
      </c>
      <c r="N47" s="172">
        <f t="shared" si="36"/>
        <v>9.5637514232197702</v>
      </c>
      <c r="O47" s="172">
        <f t="shared" si="36"/>
        <v>9.5761307297643725</v>
      </c>
      <c r="P47" s="172">
        <f t="shared" si="36"/>
        <v>9.6356910653206835</v>
      </c>
      <c r="Q47" s="172">
        <f t="shared" si="36"/>
        <v>9.9845195434263658</v>
      </c>
      <c r="S47" s="67">
        <f t="shared" si="26"/>
        <v>14.090126144860085</v>
      </c>
      <c r="T47" s="68">
        <f t="shared" si="27"/>
        <v>35.833725347620252</v>
      </c>
      <c r="U47" s="68">
        <f t="shared" si="28"/>
        <v>49.923851492480345</v>
      </c>
      <c r="W47" t="str">
        <f t="shared" si="29"/>
        <v>21 Science, research, engineering and technology professionals</v>
      </c>
      <c r="X47" s="172">
        <f t="shared" ref="X47:AB47" si="37">X10/X$35*100</f>
        <v>3.4837309010988067</v>
      </c>
      <c r="Y47" s="172">
        <f t="shared" si="37"/>
        <v>3.680967305640606</v>
      </c>
      <c r="Z47" s="172">
        <f t="shared" si="37"/>
        <v>4.4513159149439216</v>
      </c>
      <c r="AA47" s="172">
        <f t="shared" si="37"/>
        <v>5.0743959817919722</v>
      </c>
      <c r="AB47" s="172">
        <f t="shared" si="37"/>
        <v>5.5767513961097661</v>
      </c>
      <c r="AD47" s="67">
        <f t="shared" si="31"/>
        <v>36.372486356764291</v>
      </c>
      <c r="AE47" s="68">
        <f t="shared" si="32"/>
        <v>62.829850342645521</v>
      </c>
      <c r="AF47" s="68">
        <f t="shared" si="33"/>
        <v>99.202336699409813</v>
      </c>
    </row>
    <row r="48" spans="1:32" x14ac:dyDescent="0.2">
      <c r="A48" t="str">
        <f t="shared" si="19"/>
        <v>22 Health professionals</v>
      </c>
      <c r="B48" s="172">
        <f t="shared" si="20"/>
        <v>4.5461148919473509</v>
      </c>
      <c r="C48" s="172">
        <f t="shared" si="20"/>
        <v>4.9054761028878922</v>
      </c>
      <c r="D48" s="172">
        <f t="shared" si="20"/>
        <v>4.8820140022386154</v>
      </c>
      <c r="E48" s="172">
        <f t="shared" si="20"/>
        <v>4.9660657803251596</v>
      </c>
      <c r="F48" s="172">
        <f t="shared" si="20"/>
        <v>4.8548897347629856</v>
      </c>
      <c r="H48" s="67">
        <f t="shared" si="21"/>
        <v>8.5449679735351918</v>
      </c>
      <c r="I48" s="68">
        <f t="shared" si="22"/>
        <v>55.847181869046111</v>
      </c>
      <c r="J48" s="68">
        <f t="shared" si="23"/>
        <v>64.392149842581304</v>
      </c>
      <c r="L48" t="str">
        <f t="shared" si="24"/>
        <v>22 Health professionals</v>
      </c>
      <c r="M48" s="172">
        <f t="shared" ref="M48:Q48" si="38">M11/M$35*100</f>
        <v>1.9782111417657584</v>
      </c>
      <c r="N48" s="172">
        <f t="shared" si="38"/>
        <v>2.2908952569322234</v>
      </c>
      <c r="O48" s="172">
        <f t="shared" si="38"/>
        <v>2.5998937277249787</v>
      </c>
      <c r="P48" s="172">
        <f t="shared" si="38"/>
        <v>2.6270350768321538</v>
      </c>
      <c r="Q48" s="172">
        <f t="shared" si="38"/>
        <v>2.5936064248251109</v>
      </c>
      <c r="S48" s="67">
        <f t="shared" si="26"/>
        <v>9.1589707863724001</v>
      </c>
      <c r="T48" s="68">
        <f t="shared" si="27"/>
        <v>39.981623182666354</v>
      </c>
      <c r="U48" s="68">
        <f t="shared" si="28"/>
        <v>49.140593969038754</v>
      </c>
      <c r="W48" t="str">
        <f t="shared" si="29"/>
        <v>22 Health professionals</v>
      </c>
      <c r="X48" s="172">
        <f t="shared" ref="X48:AB48" si="39">X11/X$35*100</f>
        <v>7.43143859127869</v>
      </c>
      <c r="Y48" s="172">
        <f t="shared" si="39"/>
        <v>7.8498135258102577</v>
      </c>
      <c r="Z48" s="172">
        <f t="shared" si="39"/>
        <v>7.3977312221213687</v>
      </c>
      <c r="AA48" s="172">
        <f t="shared" si="39"/>
        <v>7.5590355682251325</v>
      </c>
      <c r="AB48" s="172">
        <f t="shared" si="39"/>
        <v>7.3607412542098434</v>
      </c>
      <c r="AD48" s="67">
        <f t="shared" si="31"/>
        <v>8.3070919325150072</v>
      </c>
      <c r="AE48" s="68">
        <f t="shared" si="32"/>
        <v>61.993792617374375</v>
      </c>
      <c r="AF48" s="68">
        <f t="shared" si="33"/>
        <v>70.300884549889375</v>
      </c>
    </row>
    <row r="49" spans="1:32" x14ac:dyDescent="0.2">
      <c r="A49" t="str">
        <f t="shared" si="19"/>
        <v>23 Teaching and other educational professionals</v>
      </c>
      <c r="B49" s="172">
        <f t="shared" si="20"/>
        <v>6.1474798117477789</v>
      </c>
      <c r="C49" s="172">
        <f t="shared" si="20"/>
        <v>5.8244134764362601</v>
      </c>
      <c r="D49" s="172">
        <f t="shared" si="20"/>
        <v>6.242778326608259</v>
      </c>
      <c r="E49" s="172">
        <f t="shared" si="20"/>
        <v>6.1198985103895271</v>
      </c>
      <c r="F49" s="172">
        <f t="shared" si="20"/>
        <v>6.2541901752591516</v>
      </c>
      <c r="H49" s="67">
        <f t="shared" si="21"/>
        <v>9.3509383236884176</v>
      </c>
      <c r="I49" s="68">
        <f t="shared" si="22"/>
        <v>53.506496981041415</v>
      </c>
      <c r="J49" s="68">
        <f t="shared" si="23"/>
        <v>62.857435304729833</v>
      </c>
      <c r="L49" t="str">
        <f t="shared" si="24"/>
        <v>23 Teaching and other educational professionals</v>
      </c>
      <c r="M49" s="172">
        <f t="shared" ref="M49:Q49" si="40">M12/M$35*100</f>
        <v>3.8659297862244828</v>
      </c>
      <c r="N49" s="172">
        <f t="shared" si="40"/>
        <v>3.4747547251222177</v>
      </c>
      <c r="O49" s="172">
        <f t="shared" si="40"/>
        <v>3.9232405332910738</v>
      </c>
      <c r="P49" s="172">
        <f t="shared" si="40"/>
        <v>4.0432682155053268</v>
      </c>
      <c r="Q49" s="172">
        <f t="shared" si="40"/>
        <v>4.1550439097930862</v>
      </c>
      <c r="S49" s="67">
        <f t="shared" si="26"/>
        <v>15.888845771103663</v>
      </c>
      <c r="T49" s="68">
        <f t="shared" si="27"/>
        <v>46.873233528115094</v>
      </c>
      <c r="U49" s="68">
        <f t="shared" si="28"/>
        <v>62.762079299218755</v>
      </c>
      <c r="W49" t="str">
        <f t="shared" si="29"/>
        <v>23 Teaching and other educational professionals</v>
      </c>
      <c r="X49" s="172">
        <f t="shared" ref="X49:AB49" si="41">X12/X$35*100</f>
        <v>8.7110534501238046</v>
      </c>
      <c r="Y49" s="172">
        <f t="shared" si="41"/>
        <v>8.4704162586001264</v>
      </c>
      <c r="Z49" s="172">
        <f t="shared" si="41"/>
        <v>8.7997431079936081</v>
      </c>
      <c r="AA49" s="172">
        <f t="shared" si="41"/>
        <v>8.4219801407124297</v>
      </c>
      <c r="AB49" s="172">
        <f t="shared" si="41"/>
        <v>8.5803687817796739</v>
      </c>
      <c r="AD49" s="67">
        <f t="shared" si="31"/>
        <v>6.137743911607541</v>
      </c>
      <c r="AE49" s="68">
        <f t="shared" si="32"/>
        <v>56.766556140984747</v>
      </c>
      <c r="AF49" s="68">
        <f t="shared" si="33"/>
        <v>62.904300052592291</v>
      </c>
    </row>
    <row r="50" spans="1:32" x14ac:dyDescent="0.2">
      <c r="A50" t="str">
        <f t="shared" si="19"/>
        <v>24 Business, media and public service professionals</v>
      </c>
      <c r="B50" s="172">
        <f t="shared" si="20"/>
        <v>10.385741315610986</v>
      </c>
      <c r="C50" s="172">
        <f t="shared" si="20"/>
        <v>11.637775944569558</v>
      </c>
      <c r="D50" s="172">
        <f t="shared" si="20"/>
        <v>12.292509529245502</v>
      </c>
      <c r="E50" s="172">
        <f t="shared" si="20"/>
        <v>13.438651373576576</v>
      </c>
      <c r="F50" s="172">
        <f t="shared" si="20"/>
        <v>14.054652836391924</v>
      </c>
      <c r="H50" s="67">
        <f t="shared" si="21"/>
        <v>24.798370251746064</v>
      </c>
      <c r="I50" s="68">
        <f t="shared" si="22"/>
        <v>55.627693283005684</v>
      </c>
      <c r="J50" s="68">
        <f t="shared" si="23"/>
        <v>80.426063534751762</v>
      </c>
      <c r="L50" t="str">
        <f t="shared" si="24"/>
        <v>24 Business, media and public service professionals</v>
      </c>
      <c r="M50" s="172">
        <f t="shared" ref="M50:Q50" si="42">M13/M$35*100</f>
        <v>11.315118423859481</v>
      </c>
      <c r="N50" s="172">
        <f t="shared" si="42"/>
        <v>12.436014933820184</v>
      </c>
      <c r="O50" s="172">
        <f t="shared" si="42"/>
        <v>12.91955790964294</v>
      </c>
      <c r="P50" s="172">
        <f t="shared" si="42"/>
        <v>14.141383418075881</v>
      </c>
      <c r="Q50" s="172">
        <f t="shared" si="42"/>
        <v>14.602749249022462</v>
      </c>
      <c r="S50" s="67">
        <f t="shared" si="26"/>
        <v>23.679559575684557</v>
      </c>
      <c r="T50" s="68">
        <f t="shared" si="27"/>
        <v>49.283695839180645</v>
      </c>
      <c r="U50" s="68">
        <f t="shared" si="28"/>
        <v>72.963255414865216</v>
      </c>
      <c r="W50" t="str">
        <f t="shared" si="29"/>
        <v>24 Business, media and public service professionals</v>
      </c>
      <c r="X50" s="172">
        <f t="shared" ref="X50:AB50" si="43">X13/X$35*100</f>
        <v>9.3414834084149252</v>
      </c>
      <c r="Y50" s="172">
        <f t="shared" si="43"/>
        <v>10.73886133188048</v>
      </c>
      <c r="Z50" s="172">
        <f t="shared" si="43"/>
        <v>11.601276720053786</v>
      </c>
      <c r="AA50" s="172">
        <f t="shared" si="43"/>
        <v>12.659626558872356</v>
      </c>
      <c r="AB50" s="172">
        <f t="shared" si="43"/>
        <v>13.447277271217251</v>
      </c>
      <c r="AD50" s="67">
        <f t="shared" si="31"/>
        <v>26.171848424640991</v>
      </c>
      <c r="AE50" s="68">
        <f t="shared" si="32"/>
        <v>63.415733033097013</v>
      </c>
      <c r="AF50" s="68">
        <f t="shared" si="33"/>
        <v>89.587581457737997</v>
      </c>
    </row>
    <row r="51" spans="1:32" x14ac:dyDescent="0.2">
      <c r="A51" t="str">
        <f t="shared" si="19"/>
        <v>31 Science, engineering and technology associate professionals</v>
      </c>
      <c r="B51" s="172">
        <f t="shared" si="20"/>
        <v>1.4695064314158557</v>
      </c>
      <c r="C51" s="172">
        <f t="shared" si="20"/>
        <v>1.6634985428018878</v>
      </c>
      <c r="D51" s="172">
        <f t="shared" si="20"/>
        <v>1.7759056084824618</v>
      </c>
      <c r="E51" s="172">
        <f t="shared" si="20"/>
        <v>1.5595964408784582</v>
      </c>
      <c r="F51" s="172">
        <f t="shared" si="20"/>
        <v>1.6005074916951647</v>
      </c>
      <c r="H51" s="67">
        <f t="shared" si="21"/>
        <v>-1.6289793321891559</v>
      </c>
      <c r="I51" s="68">
        <f t="shared" si="22"/>
        <v>40.066765158375908</v>
      </c>
      <c r="J51" s="68">
        <f t="shared" si="23"/>
        <v>38.437785826186754</v>
      </c>
      <c r="L51" t="str">
        <f t="shared" si="24"/>
        <v>31 Science, engineering and technology associate professionals</v>
      </c>
      <c r="M51" s="172">
        <f t="shared" ref="M51:Q51" si="44">M14/M$35*100</f>
        <v>1.8367480331623041</v>
      </c>
      <c r="N51" s="172">
        <f t="shared" si="44"/>
        <v>2.1688757218968324</v>
      </c>
      <c r="O51" s="172">
        <f t="shared" si="44"/>
        <v>2.2152091932690832</v>
      </c>
      <c r="P51" s="172">
        <f t="shared" si="44"/>
        <v>1.7824937592762073</v>
      </c>
      <c r="Q51" s="172">
        <f t="shared" si="44"/>
        <v>1.7333545079548687</v>
      </c>
      <c r="S51" s="67">
        <f t="shared" si="26"/>
        <v>-14.378347717313538</v>
      </c>
      <c r="T51" s="68">
        <f t="shared" si="27"/>
        <v>31.553328631727368</v>
      </c>
      <c r="U51" s="68">
        <f t="shared" si="28"/>
        <v>17.17498091441383</v>
      </c>
      <c r="W51" t="str">
        <f t="shared" si="29"/>
        <v>31 Science, engineering and technology associate professionals</v>
      </c>
      <c r="X51" s="172">
        <f t="shared" ref="X51:AB51" si="45">X14/X$35*100</f>
        <v>1.0568698998384884</v>
      </c>
      <c r="Y51" s="172">
        <f t="shared" si="45"/>
        <v>1.0943821035830026</v>
      </c>
      <c r="Z51" s="172">
        <f t="shared" si="45"/>
        <v>1.2916350792968547</v>
      </c>
      <c r="AA51" s="172">
        <f t="shared" si="45"/>
        <v>1.312500063927881</v>
      </c>
      <c r="AB51" s="172">
        <f t="shared" si="45"/>
        <v>1.4532924584946105</v>
      </c>
      <c r="AD51" s="67">
        <f t="shared" si="31"/>
        <v>22.474896242550198</v>
      </c>
      <c r="AE51" s="68">
        <f t="shared" si="32"/>
        <v>56.162214638932753</v>
      </c>
      <c r="AF51" s="68">
        <f t="shared" si="33"/>
        <v>78.63711088148294</v>
      </c>
    </row>
    <row r="52" spans="1:32" x14ac:dyDescent="0.2">
      <c r="A52" t="str">
        <f t="shared" si="19"/>
        <v>32 Health and social care associate professionals</v>
      </c>
      <c r="B52" s="172">
        <f t="shared" si="20"/>
        <v>1.7334903825401073</v>
      </c>
      <c r="C52" s="172">
        <f t="shared" si="20"/>
        <v>1.8143159900478341</v>
      </c>
      <c r="D52" s="172">
        <f t="shared" si="20"/>
        <v>1.8469104173711453</v>
      </c>
      <c r="E52" s="172">
        <f t="shared" si="20"/>
        <v>1.766095203575168</v>
      </c>
      <c r="F52" s="172">
        <f t="shared" si="20"/>
        <v>1.7439563980422628</v>
      </c>
      <c r="H52" s="67">
        <f t="shared" si="21"/>
        <v>3.0668817104689219</v>
      </c>
      <c r="I52" s="68">
        <f t="shared" si="22"/>
        <v>56.851587393617756</v>
      </c>
      <c r="J52" s="68">
        <f t="shared" si="23"/>
        <v>59.918469104086682</v>
      </c>
      <c r="L52" t="str">
        <f t="shared" si="24"/>
        <v>32 Health and social care associate professionals</v>
      </c>
      <c r="M52" s="172">
        <f t="shared" ref="M52:Q52" si="46">M15/M$35*100</f>
        <v>0.83999696816799796</v>
      </c>
      <c r="N52" s="172">
        <f t="shared" si="46"/>
        <v>0.86379651408942626</v>
      </c>
      <c r="O52" s="172">
        <f t="shared" si="46"/>
        <v>0.9637026531925903</v>
      </c>
      <c r="P52" s="172">
        <f t="shared" si="46"/>
        <v>0.83271524402321451</v>
      </c>
      <c r="Q52" s="172">
        <f t="shared" si="46"/>
        <v>0.80366471185010746</v>
      </c>
      <c r="S52" s="67">
        <f t="shared" si="26"/>
        <v>-8.7479142695339274</v>
      </c>
      <c r="T52" s="68">
        <f t="shared" si="27"/>
        <v>43.15248315306907</v>
      </c>
      <c r="U52" s="68">
        <f t="shared" si="28"/>
        <v>34.404568883535141</v>
      </c>
      <c r="W52" t="str">
        <f t="shared" si="29"/>
        <v>32 Health and social care associate professionals</v>
      </c>
      <c r="X52" s="172">
        <f t="shared" ref="X52:AB52" si="47">X15/X$35*100</f>
        <v>2.7374289933630447</v>
      </c>
      <c r="Y52" s="172">
        <f t="shared" si="47"/>
        <v>2.8847170329568579</v>
      </c>
      <c r="Z52" s="172">
        <f t="shared" si="47"/>
        <v>2.8205229854255025</v>
      </c>
      <c r="AA52" s="172">
        <f t="shared" si="47"/>
        <v>2.8008084427537945</v>
      </c>
      <c r="AB52" s="172">
        <f t="shared" si="47"/>
        <v>2.7859449627712931</v>
      </c>
      <c r="AD52" s="67">
        <f t="shared" si="31"/>
        <v>7.516911631682123</v>
      </c>
      <c r="AE52" s="68">
        <f t="shared" si="32"/>
        <v>62.011339950279485</v>
      </c>
      <c r="AF52" s="68">
        <f t="shared" si="33"/>
        <v>69.528251581961612</v>
      </c>
    </row>
    <row r="53" spans="1:32" x14ac:dyDescent="0.2">
      <c r="A53" t="str">
        <f t="shared" si="19"/>
        <v>33 Protective service occupations</v>
      </c>
      <c r="B53" s="172">
        <f t="shared" si="20"/>
        <v>1.1915514115832133</v>
      </c>
      <c r="C53" s="172">
        <f t="shared" si="20"/>
        <v>1.1847905181770282</v>
      </c>
      <c r="D53" s="172">
        <f t="shared" si="20"/>
        <v>1.2767315374479922</v>
      </c>
      <c r="E53" s="172">
        <f t="shared" si="20"/>
        <v>1.4409895100280199</v>
      </c>
      <c r="F53" s="172">
        <f t="shared" si="20"/>
        <v>1.5677804036849743</v>
      </c>
      <c r="H53" s="67">
        <f t="shared" si="21"/>
        <v>34.034003655903497</v>
      </c>
      <c r="I53" s="68">
        <f t="shared" si="22"/>
        <v>42.567744490303454</v>
      </c>
      <c r="J53" s="68">
        <f t="shared" si="23"/>
        <v>76.601748146206944</v>
      </c>
      <c r="L53" t="str">
        <f t="shared" si="24"/>
        <v>33 Protective service occupations</v>
      </c>
      <c r="M53" s="172">
        <f t="shared" ref="M53:Q53" si="48">M16/M$35*100</f>
        <v>1.7191848067158253</v>
      </c>
      <c r="N53" s="172">
        <f t="shared" si="48"/>
        <v>1.6742075972126218</v>
      </c>
      <c r="O53" s="172">
        <f t="shared" si="48"/>
        <v>1.785309996995547</v>
      </c>
      <c r="P53" s="172">
        <f t="shared" si="48"/>
        <v>1.9133377415450539</v>
      </c>
      <c r="Q53" s="172">
        <f t="shared" si="48"/>
        <v>1.9579463480268029</v>
      </c>
      <c r="S53" s="67">
        <f t="shared" si="26"/>
        <v>20.004658486252762</v>
      </c>
      <c r="T53" s="68">
        <f t="shared" si="27"/>
        <v>32.989077243862788</v>
      </c>
      <c r="U53" s="68">
        <f t="shared" si="28"/>
        <v>52.993735730115546</v>
      </c>
      <c r="W53" t="str">
        <f t="shared" si="29"/>
        <v>33 Protective service occupations</v>
      </c>
      <c r="X53" s="172">
        <f t="shared" ref="X53:AB53" si="49">X16/X$35*100</f>
        <v>0.59869697168174307</v>
      </c>
      <c r="Y53" s="172">
        <f t="shared" si="49"/>
        <v>0.63364710126917001</v>
      </c>
      <c r="Z53" s="172">
        <f t="shared" si="49"/>
        <v>0.71609518421375951</v>
      </c>
      <c r="AA53" s="172">
        <f t="shared" si="49"/>
        <v>0.91736034523654841</v>
      </c>
      <c r="AB53" s="172">
        <f t="shared" si="49"/>
        <v>1.1354162146562841</v>
      </c>
      <c r="AD53" s="67">
        <f t="shared" si="31"/>
        <v>72.591034019445004</v>
      </c>
      <c r="AE53" s="68">
        <f t="shared" si="32"/>
        <v>68.892919286218245</v>
      </c>
      <c r="AF53" s="68">
        <f t="shared" si="33"/>
        <v>141.48395330566325</v>
      </c>
    </row>
    <row r="54" spans="1:32" x14ac:dyDescent="0.2">
      <c r="A54" t="str">
        <f t="shared" si="19"/>
        <v>34 Culture, media and sports occupations</v>
      </c>
      <c r="B54" s="172">
        <f t="shared" si="20"/>
        <v>4.0104605177496122</v>
      </c>
      <c r="C54" s="172">
        <f t="shared" si="20"/>
        <v>3.5609366410265153</v>
      </c>
      <c r="D54" s="172">
        <f t="shared" si="20"/>
        <v>4.1182365486945338</v>
      </c>
      <c r="E54" s="172">
        <f t="shared" si="20"/>
        <v>4.0953982472067638</v>
      </c>
      <c r="F54" s="172">
        <f t="shared" si="20"/>
        <v>4.299053648888834</v>
      </c>
      <c r="H54" s="67">
        <f t="shared" si="21"/>
        <v>13.943858300610298</v>
      </c>
      <c r="I54" s="68">
        <f t="shared" si="22"/>
        <v>49.817107973933361</v>
      </c>
      <c r="J54" s="68">
        <f t="shared" si="23"/>
        <v>63.760966274543662</v>
      </c>
      <c r="L54" t="str">
        <f t="shared" si="24"/>
        <v>34 Culture, media and sports occupations</v>
      </c>
      <c r="M54" s="172">
        <f t="shared" ref="M54:Q54" si="50">M17/M$35*100</f>
        <v>4.3509607809550905</v>
      </c>
      <c r="N54" s="172">
        <f t="shared" si="50"/>
        <v>3.736808432253818</v>
      </c>
      <c r="O54" s="172">
        <f t="shared" si="50"/>
        <v>4.19557182010153</v>
      </c>
      <c r="P54" s="172">
        <f t="shared" si="50"/>
        <v>4.2241039264301738</v>
      </c>
      <c r="Q54" s="172">
        <f t="shared" si="50"/>
        <v>4.4318460276675866</v>
      </c>
      <c r="S54" s="67">
        <f t="shared" si="26"/>
        <v>15.585793560783687</v>
      </c>
      <c r="T54" s="68">
        <f t="shared" si="27"/>
        <v>43.695086826207962</v>
      </c>
      <c r="U54" s="68">
        <f t="shared" si="28"/>
        <v>59.280880386991662</v>
      </c>
      <c r="W54" t="str">
        <f t="shared" si="29"/>
        <v>34 Culture, media and sports occupations</v>
      </c>
      <c r="X54" s="172">
        <f t="shared" ref="X54:AB54" si="51">X17/X$35*100</f>
        <v>3.6278708358015113</v>
      </c>
      <c r="Y54" s="172">
        <f t="shared" si="51"/>
        <v>3.3628835200652971</v>
      </c>
      <c r="Z54" s="172">
        <f t="shared" si="51"/>
        <v>4.0329852689282548</v>
      </c>
      <c r="AA54" s="172">
        <f t="shared" si="51"/>
        <v>3.95271951397805</v>
      </c>
      <c r="AB54" s="172">
        <f t="shared" si="51"/>
        <v>4.1518991624645647</v>
      </c>
      <c r="AD54" s="67">
        <f t="shared" si="31"/>
        <v>12.060886367565333</v>
      </c>
      <c r="AE54" s="68">
        <f t="shared" si="32"/>
        <v>56.837843976311653</v>
      </c>
      <c r="AF54" s="68">
        <f t="shared" si="33"/>
        <v>68.898730343876991</v>
      </c>
    </row>
    <row r="55" spans="1:32" x14ac:dyDescent="0.2">
      <c r="A55" t="str">
        <f t="shared" si="19"/>
        <v>35 Business and public service associate professionals</v>
      </c>
      <c r="B55" s="172">
        <f t="shared" ref="B55:F64" si="52">B18/B$35*100</f>
        <v>9.0319948169447333</v>
      </c>
      <c r="C55" s="172">
        <f t="shared" si="52"/>
        <v>9.1114225095116748</v>
      </c>
      <c r="D55" s="172">
        <f t="shared" si="52"/>
        <v>9.2643158076153469</v>
      </c>
      <c r="E55" s="172">
        <f t="shared" si="52"/>
        <v>8.6681745436110305</v>
      </c>
      <c r="F55" s="172">
        <f t="shared" si="52"/>
        <v>8.5470071193575574</v>
      </c>
      <c r="H55" s="67">
        <f t="shared" si="21"/>
        <v>0.70013656924746781</v>
      </c>
      <c r="I55" s="68">
        <f t="shared" si="22"/>
        <v>45.911683587498977</v>
      </c>
      <c r="J55" s="68">
        <f t="shared" si="23"/>
        <v>46.61182015674644</v>
      </c>
      <c r="L55" t="str">
        <f t="shared" si="24"/>
        <v>35 Business and public service associate professionals</v>
      </c>
      <c r="M55" s="172">
        <f t="shared" ref="M55:Q55" si="53">M18/M$35*100</f>
        <v>9.2129093798025714</v>
      </c>
      <c r="N55" s="172">
        <f t="shared" si="53"/>
        <v>9.1522755085625018</v>
      </c>
      <c r="O55" s="172">
        <f t="shared" si="53"/>
        <v>9.4278048668763788</v>
      </c>
      <c r="P55" s="172">
        <f t="shared" si="53"/>
        <v>8.5860026704498775</v>
      </c>
      <c r="Q55" s="172">
        <f t="shared" si="53"/>
        <v>8.2667202578217029</v>
      </c>
      <c r="S55" s="67">
        <f t="shared" si="26"/>
        <v>-4.0525114075641824</v>
      </c>
      <c r="T55" s="68">
        <f t="shared" si="27"/>
        <v>38.026003092875179</v>
      </c>
      <c r="U55" s="68">
        <f t="shared" si="28"/>
        <v>33.973491685310997</v>
      </c>
      <c r="W55" t="str">
        <f t="shared" si="29"/>
        <v>35 Business and public service associate professionals</v>
      </c>
      <c r="X55" s="172">
        <f t="shared" ref="X55:AB55" si="54">X18/X$35*100</f>
        <v>8.8287173086927506</v>
      </c>
      <c r="Y55" s="172">
        <f t="shared" si="54"/>
        <v>9.0654170420846629</v>
      </c>
      <c r="Z55" s="172">
        <f t="shared" si="54"/>
        <v>9.0840920717156415</v>
      </c>
      <c r="AA55" s="172">
        <f t="shared" si="54"/>
        <v>8.7592674840345346</v>
      </c>
      <c r="AB55" s="172">
        <f t="shared" si="54"/>
        <v>8.857608296474039</v>
      </c>
      <c r="AD55" s="67">
        <f t="shared" si="31"/>
        <v>6.1374954515379727</v>
      </c>
      <c r="AE55" s="68">
        <f t="shared" si="32"/>
        <v>54.93344894642145</v>
      </c>
      <c r="AF55" s="68">
        <f t="shared" si="33"/>
        <v>61.070944397959423</v>
      </c>
    </row>
    <row r="56" spans="1:32" x14ac:dyDescent="0.2">
      <c r="A56" t="str">
        <f t="shared" si="19"/>
        <v>41 Administrative occupations</v>
      </c>
      <c r="B56" s="172">
        <f t="shared" si="52"/>
        <v>7.1738540337031118</v>
      </c>
      <c r="C56" s="172">
        <f t="shared" si="52"/>
        <v>6.5617476467275111</v>
      </c>
      <c r="D56" s="172">
        <f t="shared" si="52"/>
        <v>6.7982806188265963</v>
      </c>
      <c r="E56" s="172">
        <f t="shared" si="52"/>
        <v>5.9183106765287627</v>
      </c>
      <c r="F56" s="172">
        <f t="shared" si="52"/>
        <v>5.1787981536705647</v>
      </c>
      <c r="H56" s="67">
        <f t="shared" si="21"/>
        <v>-16.850576576683352</v>
      </c>
      <c r="I56" s="68">
        <f t="shared" si="22"/>
        <v>45.283286053447128</v>
      </c>
      <c r="J56" s="68">
        <f t="shared" si="23"/>
        <v>28.43270947676378</v>
      </c>
      <c r="L56" t="str">
        <f t="shared" si="24"/>
        <v>41 Administrative occupations</v>
      </c>
      <c r="M56" s="172">
        <f t="shared" ref="M56:Q56" si="55">M19/M$35*100</f>
        <v>3.5653182208755054</v>
      </c>
      <c r="N56" s="172">
        <f t="shared" si="55"/>
        <v>3.2369503813547555</v>
      </c>
      <c r="O56" s="172">
        <f t="shared" si="55"/>
        <v>3.8122458841353408</v>
      </c>
      <c r="P56" s="172">
        <f t="shared" si="55"/>
        <v>3.3443598028614083</v>
      </c>
      <c r="Q56" s="172">
        <f t="shared" si="55"/>
        <v>3.235055230658848</v>
      </c>
      <c r="S56" s="67">
        <f t="shared" si="26"/>
        <v>-7.1436196066899633</v>
      </c>
      <c r="T56" s="68">
        <f t="shared" si="27"/>
        <v>34.635885115352593</v>
      </c>
      <c r="U56" s="68">
        <f t="shared" si="28"/>
        <v>27.492265508662626</v>
      </c>
      <c r="W56" t="str">
        <f t="shared" si="29"/>
        <v>41 Administrative occupations</v>
      </c>
      <c r="X56" s="172">
        <f t="shared" ref="X56:AB56" si="56">X19/X$35*100</f>
        <v>11.228442878748821</v>
      </c>
      <c r="Y56" s="172">
        <f t="shared" si="56"/>
        <v>10.305875516098787</v>
      </c>
      <c r="Z56" s="172">
        <f t="shared" si="56"/>
        <v>10.089964709767765</v>
      </c>
      <c r="AA56" s="172">
        <f t="shared" si="56"/>
        <v>8.7717049654499224</v>
      </c>
      <c r="AB56" s="172">
        <f t="shared" si="56"/>
        <v>7.3327658301828871</v>
      </c>
      <c r="AD56" s="67">
        <f t="shared" si="31"/>
        <v>-20.89351991332223</v>
      </c>
      <c r="AE56" s="68">
        <f t="shared" si="32"/>
        <v>49.71792389188186</v>
      </c>
      <c r="AF56" s="68">
        <f t="shared" si="33"/>
        <v>28.82440397855963</v>
      </c>
    </row>
    <row r="57" spans="1:32" x14ac:dyDescent="0.2">
      <c r="A57" t="str">
        <f t="shared" si="19"/>
        <v>42 Secretarial and related occupations</v>
      </c>
      <c r="B57" s="172">
        <f t="shared" si="52"/>
        <v>1.827645695348171</v>
      </c>
      <c r="C57" s="172">
        <f t="shared" si="52"/>
        <v>1.5608718828125723</v>
      </c>
      <c r="D57" s="172">
        <f t="shared" si="52"/>
        <v>1.4942246246429651</v>
      </c>
      <c r="E57" s="172">
        <f t="shared" si="52"/>
        <v>1.4264614469149401</v>
      </c>
      <c r="F57" s="172">
        <f t="shared" si="52"/>
        <v>1.2117084533996487</v>
      </c>
      <c r="H57" s="67">
        <f t="shared" si="21"/>
        <v>-11.486076181071237</v>
      </c>
      <c r="I57" s="68">
        <f t="shared" si="22"/>
        <v>53.497366012536851</v>
      </c>
      <c r="J57" s="68">
        <f t="shared" si="23"/>
        <v>42.011289831465618</v>
      </c>
      <c r="L57" t="str">
        <f t="shared" si="24"/>
        <v>42 Secretarial and related occupations</v>
      </c>
      <c r="M57" s="172">
        <f t="shared" ref="M57:Q57" si="57">M20/M$35*100</f>
        <v>0.18315197369825037</v>
      </c>
      <c r="N57" s="172">
        <f t="shared" si="57"/>
        <v>0.1402977353902311</v>
      </c>
      <c r="O57" s="172">
        <f t="shared" si="57"/>
        <v>0.12934459219127337</v>
      </c>
      <c r="P57" s="172">
        <f t="shared" si="57"/>
        <v>0.15498840978847483</v>
      </c>
      <c r="Q57" s="172">
        <f t="shared" si="57"/>
        <v>0.16516437240523238</v>
      </c>
      <c r="S57" s="67">
        <f t="shared" si="26"/>
        <v>39.726586927698385</v>
      </c>
      <c r="T57" s="68">
        <f t="shared" si="27"/>
        <v>40.916746268585378</v>
      </c>
      <c r="U57" s="68">
        <f t="shared" si="28"/>
        <v>80.643333196283763</v>
      </c>
      <c r="W57" t="str">
        <f t="shared" si="29"/>
        <v>42 Secretarial and related occupations</v>
      </c>
      <c r="X57" s="172">
        <f t="shared" ref="X57:AB57" si="58">X20/X$35*100</f>
        <v>3.6754161610996907</v>
      </c>
      <c r="Y57" s="172">
        <f t="shared" si="58"/>
        <v>3.1606119064425613</v>
      </c>
      <c r="Z57" s="172">
        <f t="shared" si="58"/>
        <v>2.998813247363397</v>
      </c>
      <c r="AA57" s="172">
        <f t="shared" si="58"/>
        <v>2.8359731589565547</v>
      </c>
      <c r="AB57" s="172">
        <f t="shared" si="58"/>
        <v>2.3714410990184871</v>
      </c>
      <c r="AD57" s="67">
        <f t="shared" si="31"/>
        <v>-13.921079225510413</v>
      </c>
      <c r="AE57" s="68">
        <f t="shared" si="32"/>
        <v>54.095535401080319</v>
      </c>
      <c r="AF57" s="68">
        <f t="shared" si="33"/>
        <v>40.174456175569908</v>
      </c>
    </row>
    <row r="58" spans="1:32" x14ac:dyDescent="0.2">
      <c r="A58" t="str">
        <f t="shared" si="19"/>
        <v>51 Skilled agricultural and related trades</v>
      </c>
      <c r="B58" s="172">
        <f t="shared" si="52"/>
        <v>0.47177158684164205</v>
      </c>
      <c r="C58" s="172">
        <f t="shared" si="52"/>
        <v>0.44326942868966174</v>
      </c>
      <c r="D58" s="172">
        <f t="shared" si="52"/>
        <v>0.42484702083903814</v>
      </c>
      <c r="E58" s="172">
        <f t="shared" si="52"/>
        <v>0.44036721933293116</v>
      </c>
      <c r="F58" s="172">
        <f t="shared" si="52"/>
        <v>0.50110073728434157</v>
      </c>
      <c r="H58" s="67">
        <f t="shared" si="21"/>
        <v>28.742461828942055</v>
      </c>
      <c r="I58" s="68">
        <f t="shared" si="22"/>
        <v>74.358890239747438</v>
      </c>
      <c r="J58" s="68">
        <f t="shared" si="23"/>
        <v>103.10135206868949</v>
      </c>
      <c r="L58" t="str">
        <f t="shared" si="24"/>
        <v>51 Skilled agricultural and related trades</v>
      </c>
      <c r="M58" s="172">
        <f t="shared" ref="M58:Q58" si="59">M21/M$35*100</f>
        <v>0.75798771363764306</v>
      </c>
      <c r="N58" s="172">
        <f t="shared" si="59"/>
        <v>0.7292673255255997</v>
      </c>
      <c r="O58" s="172">
        <f t="shared" si="59"/>
        <v>0.63025893146403389</v>
      </c>
      <c r="P58" s="172">
        <f t="shared" si="59"/>
        <v>0.61887355668116673</v>
      </c>
      <c r="Q58" s="172">
        <f t="shared" si="59"/>
        <v>0.66438656988604028</v>
      </c>
      <c r="S58" s="67">
        <f t="shared" si="26"/>
        <v>15.348723095745202</v>
      </c>
      <c r="T58" s="68">
        <f t="shared" si="27"/>
        <v>65.63044955670982</v>
      </c>
      <c r="U58" s="68">
        <f t="shared" si="28"/>
        <v>80.979172652455006</v>
      </c>
      <c r="W58" t="str">
        <f t="shared" si="29"/>
        <v>51 Skilled agricultural and related trades</v>
      </c>
      <c r="X58" s="172">
        <f t="shared" ref="X58:AB58" si="60">X21/X$35*100</f>
        <v>0.15017613229357646</v>
      </c>
      <c r="Y58" s="172">
        <f t="shared" si="60"/>
        <v>0.12120086009531408</v>
      </c>
      <c r="Z58" s="172">
        <f t="shared" si="60"/>
        <v>0.19840922678436138</v>
      </c>
      <c r="AA58" s="172">
        <f t="shared" si="60"/>
        <v>0.24248117234712824</v>
      </c>
      <c r="AB58" s="172">
        <f t="shared" si="60"/>
        <v>0.3201547894984561</v>
      </c>
      <c r="AD58" s="67">
        <f t="shared" si="31"/>
        <v>75.643478871698264</v>
      </c>
      <c r="AE58" s="68">
        <f t="shared" si="32"/>
        <v>104.92337663048075</v>
      </c>
      <c r="AF58" s="68">
        <f t="shared" si="33"/>
        <v>180.56685550217901</v>
      </c>
    </row>
    <row r="59" spans="1:32" x14ac:dyDescent="0.2">
      <c r="A59" t="str">
        <f t="shared" si="19"/>
        <v>52 Skilled metal, electrical and electronic trades</v>
      </c>
      <c r="B59" s="172">
        <f t="shared" si="52"/>
        <v>2.1508997295069552</v>
      </c>
      <c r="C59" s="172">
        <f t="shared" si="52"/>
        <v>2.1160010522107209</v>
      </c>
      <c r="D59" s="172">
        <f t="shared" si="52"/>
        <v>1.871881147771888</v>
      </c>
      <c r="E59" s="172">
        <f t="shared" si="52"/>
        <v>1.8725857393340495</v>
      </c>
      <c r="F59" s="172">
        <f t="shared" si="52"/>
        <v>1.7271647324342985</v>
      </c>
      <c r="H59" s="67">
        <f t="shared" si="21"/>
        <v>0.71283841192961117</v>
      </c>
      <c r="I59" s="68">
        <f t="shared" si="22"/>
        <v>40.784322997715968</v>
      </c>
      <c r="J59" s="68">
        <f t="shared" si="23"/>
        <v>41.497161409645578</v>
      </c>
      <c r="L59" t="str">
        <f t="shared" si="24"/>
        <v>52 Skilled metal, electrical and electronic trades</v>
      </c>
      <c r="M59" s="172">
        <f t="shared" ref="M59:Q59" si="61">M22/M$35*100</f>
        <v>3.9634879272215269</v>
      </c>
      <c r="N59" s="172">
        <f t="shared" si="61"/>
        <v>3.8342635745524443</v>
      </c>
      <c r="O59" s="172">
        <f t="shared" si="61"/>
        <v>3.4436185764510463</v>
      </c>
      <c r="P59" s="172">
        <f t="shared" si="61"/>
        <v>3.287923196977121</v>
      </c>
      <c r="Q59" s="172">
        <f t="shared" si="61"/>
        <v>2.9915742390319267</v>
      </c>
      <c r="S59" s="67">
        <f t="shared" si="26"/>
        <v>-4.9404622654236894</v>
      </c>
      <c r="T59" s="68">
        <f t="shared" si="27"/>
        <v>37.455533992484376</v>
      </c>
      <c r="U59" s="68">
        <f t="shared" si="28"/>
        <v>32.515071727060686</v>
      </c>
      <c r="W59" t="str">
        <f t="shared" si="29"/>
        <v>52 Skilled metal, electrical and electronic trades</v>
      </c>
      <c r="X59" s="172">
        <f t="shared" ref="X59:AB59" si="62">X22/X$35*100</f>
        <v>0.11425654004772121</v>
      </c>
      <c r="Y59" s="172">
        <f t="shared" si="62"/>
        <v>0.18102755358611999</v>
      </c>
      <c r="Z59" s="172">
        <f t="shared" si="62"/>
        <v>0.13926128604917681</v>
      </c>
      <c r="AA59" s="172">
        <f t="shared" si="62"/>
        <v>0.30359082966008655</v>
      </c>
      <c r="AB59" s="172">
        <f t="shared" si="62"/>
        <v>0.32600351155315038</v>
      </c>
      <c r="AD59" s="67">
        <f t="shared" si="31"/>
        <v>154.81545687623094</v>
      </c>
      <c r="AE59" s="68">
        <f t="shared" si="32"/>
        <v>131.52336754850282</v>
      </c>
      <c r="AF59" s="68">
        <f t="shared" si="33"/>
        <v>286.33882442473373</v>
      </c>
    </row>
    <row r="60" spans="1:32" x14ac:dyDescent="0.2">
      <c r="A60" t="str">
        <f t="shared" si="19"/>
        <v>53 Skilled construction and building trades</v>
      </c>
      <c r="B60" s="172">
        <f t="shared" si="52"/>
        <v>2.9269223250231367</v>
      </c>
      <c r="C60" s="172">
        <f t="shared" si="52"/>
        <v>2.3892487866987482</v>
      </c>
      <c r="D60" s="172">
        <f t="shared" si="52"/>
        <v>1.890721754872176</v>
      </c>
      <c r="E60" s="172">
        <f t="shared" si="52"/>
        <v>2.0839057935716054</v>
      </c>
      <c r="F60" s="172">
        <f t="shared" si="52"/>
        <v>2.1212661288098227</v>
      </c>
      <c r="H60" s="67">
        <f t="shared" si="21"/>
        <v>22.460740477054824</v>
      </c>
      <c r="I60" s="68">
        <f t="shared" si="22"/>
        <v>50.176359059456466</v>
      </c>
      <c r="J60" s="68">
        <f t="shared" si="23"/>
        <v>72.637099536511286</v>
      </c>
      <c r="L60" t="str">
        <f t="shared" si="24"/>
        <v>53 Skilled construction and building trades</v>
      </c>
      <c r="M60" s="172">
        <f t="shared" ref="M60:Q60" si="63">M23/M$35*100</f>
        <v>5.3780380460326374</v>
      </c>
      <c r="N60" s="172">
        <f t="shared" si="63"/>
        <v>4.2903637918647588</v>
      </c>
      <c r="O60" s="172">
        <f t="shared" si="63"/>
        <v>3.4324285731359443</v>
      </c>
      <c r="P60" s="172">
        <f t="shared" si="63"/>
        <v>3.7572028361389154</v>
      </c>
      <c r="Q60" s="172">
        <f t="shared" si="63"/>
        <v>3.7821814197674373</v>
      </c>
      <c r="S60" s="67">
        <f t="shared" si="26"/>
        <v>20.573482128783429</v>
      </c>
      <c r="T60" s="68">
        <f t="shared" si="27"/>
        <v>48.938647463122045</v>
      </c>
      <c r="U60" s="68">
        <f t="shared" si="28"/>
        <v>69.512129591905477</v>
      </c>
      <c r="W60" t="str">
        <f t="shared" si="29"/>
        <v>53 Skilled construction and building trades</v>
      </c>
      <c r="X60" s="172">
        <f t="shared" ref="X60:AB60" si="64">X23/X$35*100</f>
        <v>0.17282288530222614</v>
      </c>
      <c r="Y60" s="172">
        <f t="shared" si="64"/>
        <v>0.24836105563164654</v>
      </c>
      <c r="Z60" s="172">
        <f t="shared" si="64"/>
        <v>0.19120642518894651</v>
      </c>
      <c r="AA60" s="172">
        <f t="shared" si="64"/>
        <v>0.22894567223587206</v>
      </c>
      <c r="AB60" s="172">
        <f t="shared" si="64"/>
        <v>0.28071519597115546</v>
      </c>
      <c r="AD60" s="67">
        <f t="shared" si="31"/>
        <v>59.807564472208298</v>
      </c>
      <c r="AE60" s="68">
        <f t="shared" si="32"/>
        <v>74.669347625329451</v>
      </c>
      <c r="AF60" s="68">
        <f t="shared" si="33"/>
        <v>134.47691209753776</v>
      </c>
    </row>
    <row r="61" spans="1:32" x14ac:dyDescent="0.2">
      <c r="A61" t="str">
        <f t="shared" si="19"/>
        <v>54 Textiles, printing and other skilled trades</v>
      </c>
      <c r="B61" s="172">
        <f t="shared" si="52"/>
        <v>2.3142341255271983</v>
      </c>
      <c r="C61" s="172">
        <f t="shared" si="52"/>
        <v>2.1599214254824943</v>
      </c>
      <c r="D61" s="172">
        <f t="shared" si="52"/>
        <v>1.906203884799941</v>
      </c>
      <c r="E61" s="172">
        <f t="shared" si="52"/>
        <v>1.9037183497181378</v>
      </c>
      <c r="F61" s="172">
        <f t="shared" si="52"/>
        <v>1.9547683174024979</v>
      </c>
      <c r="H61" s="67">
        <f t="shared" si="21"/>
        <v>11.932263480526007</v>
      </c>
      <c r="I61" s="68">
        <f t="shared" si="22"/>
        <v>45.204088438843854</v>
      </c>
      <c r="J61" s="68">
        <f t="shared" si="23"/>
        <v>57.136351919369865</v>
      </c>
      <c r="L61" t="str">
        <f t="shared" si="24"/>
        <v>54 Textiles, printing and other skilled trades</v>
      </c>
      <c r="M61" s="172">
        <f t="shared" ref="M61:Q61" si="65">M24/M$35*100</f>
        <v>3.139071343315389</v>
      </c>
      <c r="N61" s="172">
        <f t="shared" si="65"/>
        <v>2.9644233082109839</v>
      </c>
      <c r="O61" s="172">
        <f t="shared" si="65"/>
        <v>2.449409975651228</v>
      </c>
      <c r="P61" s="172">
        <f t="shared" si="65"/>
        <v>2.4566856099749455</v>
      </c>
      <c r="Q61" s="172">
        <f t="shared" si="65"/>
        <v>2.5808410707363043</v>
      </c>
      <c r="S61" s="67">
        <f t="shared" si="26"/>
        <v>15.295069188242197</v>
      </c>
      <c r="T61" s="68">
        <f t="shared" si="27"/>
        <v>37.684477148312737</v>
      </c>
      <c r="U61" s="68">
        <f t="shared" si="28"/>
        <v>52.97954633655494</v>
      </c>
      <c r="W61" t="str">
        <f t="shared" si="29"/>
        <v>54 Textiles, printing and other skilled trades</v>
      </c>
      <c r="X61" s="172">
        <f t="shared" ref="X61:AB61" si="66">X24/X$35*100</f>
        <v>1.3874383402854413</v>
      </c>
      <c r="Y61" s="172">
        <f t="shared" si="66"/>
        <v>1.2539540296786744</v>
      </c>
      <c r="Z61" s="172">
        <f t="shared" si="66"/>
        <v>1.3073954293643488</v>
      </c>
      <c r="AA61" s="172">
        <f t="shared" si="66"/>
        <v>1.2907176749503757</v>
      </c>
      <c r="AB61" s="172">
        <f t="shared" si="66"/>
        <v>1.2609829109781696</v>
      </c>
      <c r="AD61" s="67">
        <f t="shared" si="31"/>
        <v>4.9871461198390046</v>
      </c>
      <c r="AE61" s="68">
        <f t="shared" si="32"/>
        <v>60.734150969559529</v>
      </c>
      <c r="AF61" s="68">
        <f t="shared" si="33"/>
        <v>65.721297089398533</v>
      </c>
    </row>
    <row r="62" spans="1:32" x14ac:dyDescent="0.2">
      <c r="A62" t="str">
        <f t="shared" si="19"/>
        <v>61 Caring personal service occupations</v>
      </c>
      <c r="B62" s="172">
        <f t="shared" si="52"/>
        <v>4.5393725068790127</v>
      </c>
      <c r="C62" s="172">
        <f t="shared" si="52"/>
        <v>4.4363620982588108</v>
      </c>
      <c r="D62" s="172">
        <f t="shared" si="52"/>
        <v>4.2470444447379334</v>
      </c>
      <c r="E62" s="172">
        <f t="shared" si="52"/>
        <v>4.4232419570769288</v>
      </c>
      <c r="F62" s="172">
        <f t="shared" si="52"/>
        <v>4.4544094070002132</v>
      </c>
      <c r="H62" s="67">
        <f t="shared" si="21"/>
        <v>14.480803750274093</v>
      </c>
      <c r="I62" s="68">
        <f t="shared" si="22"/>
        <v>59.526410797111829</v>
      </c>
      <c r="J62" s="68">
        <f t="shared" si="23"/>
        <v>74.007214547385928</v>
      </c>
      <c r="L62" t="str">
        <f t="shared" si="24"/>
        <v>61 Caring personal service occupations</v>
      </c>
      <c r="M62" s="172">
        <f t="shared" ref="M62:Q62" si="67">M25/M$35*100</f>
        <v>1.9765288221338977</v>
      </c>
      <c r="N62" s="172">
        <f t="shared" si="67"/>
        <v>2.0517328223299223</v>
      </c>
      <c r="O62" s="172">
        <f t="shared" si="67"/>
        <v>1.9929680320752972</v>
      </c>
      <c r="P62" s="172">
        <f t="shared" si="67"/>
        <v>2.3251533598015786</v>
      </c>
      <c r="Q62" s="172">
        <f t="shared" si="67"/>
        <v>2.5155564014431628</v>
      </c>
      <c r="S62" s="67">
        <f t="shared" si="26"/>
        <v>38.116219308016767</v>
      </c>
      <c r="T62" s="68">
        <f t="shared" si="27"/>
        <v>58.189281047475248</v>
      </c>
      <c r="U62" s="68">
        <f t="shared" si="28"/>
        <v>96.305500355492029</v>
      </c>
      <c r="W62" t="str">
        <f t="shared" si="29"/>
        <v>61 Caring personal service occupations</v>
      </c>
      <c r="X62" s="172">
        <f t="shared" ref="X62:AB62" si="68">X25/X$35*100</f>
        <v>7.4190106633924033</v>
      </c>
      <c r="Y62" s="172">
        <f t="shared" si="68"/>
        <v>7.1217459630470215</v>
      </c>
      <c r="Z62" s="172">
        <f t="shared" si="68"/>
        <v>6.7318472439573878</v>
      </c>
      <c r="AA62" s="172">
        <f t="shared" si="68"/>
        <v>6.7491115307204499</v>
      </c>
      <c r="AB62" s="172">
        <f t="shared" si="68"/>
        <v>6.6029582989533875</v>
      </c>
      <c r="AD62" s="67">
        <f t="shared" si="31"/>
        <v>6.7672836498122253</v>
      </c>
      <c r="AE62" s="68">
        <f t="shared" si="32"/>
        <v>59.962788874558683</v>
      </c>
      <c r="AF62" s="68">
        <f t="shared" si="33"/>
        <v>66.730072524370911</v>
      </c>
    </row>
    <row r="63" spans="1:32" x14ac:dyDescent="0.2">
      <c r="A63" t="str">
        <f t="shared" si="19"/>
        <v>62 Leisure, travel and related personal service occupations</v>
      </c>
      <c r="B63" s="172">
        <f t="shared" si="52"/>
        <v>1.7975095250019002</v>
      </c>
      <c r="C63" s="172">
        <f t="shared" si="52"/>
        <v>1.842014115848623</v>
      </c>
      <c r="D63" s="172">
        <f t="shared" si="52"/>
        <v>1.6756878690781165</v>
      </c>
      <c r="E63" s="172">
        <f t="shared" si="52"/>
        <v>1.713553114012293</v>
      </c>
      <c r="F63" s="172">
        <f t="shared" si="52"/>
        <v>1.7556619259240427</v>
      </c>
      <c r="H63" s="67">
        <f t="shared" si="21"/>
        <v>14.360780376152274</v>
      </c>
      <c r="I63" s="68">
        <f t="shared" si="22"/>
        <v>55.896064623418425</v>
      </c>
      <c r="J63" s="68">
        <f t="shared" si="23"/>
        <v>70.256844999570703</v>
      </c>
      <c r="L63" t="str">
        <f t="shared" si="24"/>
        <v>62 Leisure, travel and related personal service occupations</v>
      </c>
      <c r="M63" s="172">
        <f t="shared" ref="M63:Q63" si="69">M26/M$35*100</f>
        <v>1.1399303791687705</v>
      </c>
      <c r="N63" s="172">
        <f t="shared" si="69"/>
        <v>1.2422044797090128</v>
      </c>
      <c r="O63" s="172">
        <f t="shared" si="69"/>
        <v>1.2081047217183132</v>
      </c>
      <c r="P63" s="172">
        <f t="shared" si="69"/>
        <v>1.2352194285265992</v>
      </c>
      <c r="Q63" s="172">
        <f t="shared" si="69"/>
        <v>1.3000767064348484</v>
      </c>
      <c r="S63" s="67">
        <f t="shared" si="26"/>
        <v>17.753913748777954</v>
      </c>
      <c r="T63" s="68">
        <f t="shared" si="27"/>
        <v>48.409307357645382</v>
      </c>
      <c r="U63" s="68">
        <f t="shared" si="28"/>
        <v>66.163221106423336</v>
      </c>
      <c r="W63" t="str">
        <f t="shared" si="29"/>
        <v>62 Leisure, travel and related personal service occupations</v>
      </c>
      <c r="X63" s="172">
        <f t="shared" ref="X63:AB63" si="70">X26/X$35*100</f>
        <v>2.5363723790026445</v>
      </c>
      <c r="Y63" s="172">
        <f t="shared" si="70"/>
        <v>2.5174730373224339</v>
      </c>
      <c r="Z63" s="172">
        <f t="shared" si="70"/>
        <v>2.1911326458836382</v>
      </c>
      <c r="AA63" s="172">
        <f t="shared" si="70"/>
        <v>2.2438175492533645</v>
      </c>
      <c r="AB63" s="172">
        <f t="shared" si="70"/>
        <v>2.260520786146158</v>
      </c>
      <c r="AD63" s="67">
        <f t="shared" si="31"/>
        <v>12.298440989454537</v>
      </c>
      <c r="AE63" s="68">
        <f t="shared" si="32"/>
        <v>60.446500074147416</v>
      </c>
      <c r="AF63" s="68">
        <f t="shared" si="33"/>
        <v>72.744941063601956</v>
      </c>
    </row>
    <row r="64" spans="1:32" x14ac:dyDescent="0.2">
      <c r="A64" t="str">
        <f t="shared" si="19"/>
        <v>63 Community and civil enforcement occupations</v>
      </c>
      <c r="B64" s="172">
        <f t="shared" si="52"/>
        <v>0.10654411154830629</v>
      </c>
      <c r="C64" s="172">
        <f t="shared" si="52"/>
        <v>8.9958559852522754E-2</v>
      </c>
      <c r="D64" s="172">
        <f t="shared" si="52"/>
        <v>0.11350166873700748</v>
      </c>
      <c r="E64" s="172">
        <f t="shared" si="52"/>
        <v>9.1203956562052393E-2</v>
      </c>
      <c r="F64" s="172">
        <f t="shared" si="52"/>
        <v>9.2425382353091182E-2</v>
      </c>
      <c r="H64" s="67">
        <f t="shared" si="21"/>
        <v>-11.117071726087529</v>
      </c>
      <c r="I64" s="68">
        <f t="shared" si="22"/>
        <v>45.761864515656953</v>
      </c>
      <c r="J64" s="68">
        <f t="shared" si="23"/>
        <v>34.644792789569422</v>
      </c>
      <c r="L64" t="str">
        <f t="shared" si="24"/>
        <v>63 Community and civil enforcement occupations</v>
      </c>
      <c r="M64" s="172">
        <f t="shared" ref="M64:Q64" si="71">M27/M$35*100</f>
        <v>0.14934114714660279</v>
      </c>
      <c r="N64" s="172">
        <f t="shared" si="71"/>
        <v>0.10911238624240123</v>
      </c>
      <c r="O64" s="172">
        <f t="shared" si="71"/>
        <v>0.16432531143860973</v>
      </c>
      <c r="P64" s="172">
        <f t="shared" si="71"/>
        <v>0.10417448168537116</v>
      </c>
      <c r="Q64" s="172">
        <f t="shared" si="71"/>
        <v>0.11223160719423654</v>
      </c>
      <c r="S64" s="67">
        <f t="shared" si="26"/>
        <v>-25.265407066332955</v>
      </c>
      <c r="T64" s="68">
        <f t="shared" si="27"/>
        <v>31.994458945194015</v>
      </c>
      <c r="U64" s="68">
        <f t="shared" si="28"/>
        <v>6.729051878861064</v>
      </c>
      <c r="W64" t="str">
        <f t="shared" si="29"/>
        <v>63 Community and civil enforcement occupations</v>
      </c>
      <c r="X64" s="172">
        <f t="shared" ref="X64:AB64" si="72">X27/X$35*100</f>
        <v>5.8456911603931377E-2</v>
      </c>
      <c r="Y64" s="172">
        <f t="shared" si="72"/>
        <v>6.8389011556048332E-2</v>
      </c>
      <c r="Z64" s="172">
        <f t="shared" si="72"/>
        <v>5.7475737698452309E-2</v>
      </c>
      <c r="AA64" s="172">
        <f t="shared" si="72"/>
        <v>7.6825274089976303E-2</v>
      </c>
      <c r="AB64" s="172">
        <f t="shared" si="72"/>
        <v>7.047702303227088E-2</v>
      </c>
      <c r="AD64" s="67">
        <f t="shared" si="31"/>
        <v>33.474065442361187</v>
      </c>
      <c r="AE64" s="68">
        <f t="shared" si="32"/>
        <v>89.152429941393265</v>
      </c>
      <c r="AF64" s="68">
        <f t="shared" si="33"/>
        <v>122.62649538375445</v>
      </c>
    </row>
    <row r="65" spans="1:32" x14ac:dyDescent="0.2">
      <c r="A65" t="str">
        <f t="shared" si="19"/>
        <v>71 Sales occupations</v>
      </c>
      <c r="B65" s="172">
        <f t="shared" ref="B65:F70" si="73">B28/B$35*100</f>
        <v>5.6993988952925996</v>
      </c>
      <c r="C65" s="172">
        <f t="shared" si="73"/>
        <v>4.7543402200728915</v>
      </c>
      <c r="D65" s="172">
        <f t="shared" si="73"/>
        <v>4.6672116376548081</v>
      </c>
      <c r="E65" s="172">
        <f t="shared" si="73"/>
        <v>4.1307108447237795</v>
      </c>
      <c r="F65" s="172">
        <f t="shared" si="73"/>
        <v>3.7601523836968518</v>
      </c>
      <c r="H65" s="67">
        <f t="shared" si="21"/>
        <v>-12.061855903812127</v>
      </c>
      <c r="I65" s="68">
        <f t="shared" si="22"/>
        <v>41.489392914257138</v>
      </c>
      <c r="J65" s="68">
        <f t="shared" si="23"/>
        <v>29.427537010445015</v>
      </c>
      <c r="L65" t="str">
        <f t="shared" si="24"/>
        <v>71 Sales occupations</v>
      </c>
      <c r="M65" s="172">
        <f t="shared" ref="M65:Q65" si="74">M28/M$35*100</f>
        <v>5.0977000166595108</v>
      </c>
      <c r="N65" s="172">
        <f t="shared" si="74"/>
        <v>4.4974121365318496</v>
      </c>
      <c r="O65" s="172">
        <f t="shared" si="74"/>
        <v>4.4487716464562768</v>
      </c>
      <c r="P65" s="172">
        <f t="shared" si="74"/>
        <v>4.0023728194755446</v>
      </c>
      <c r="Q65" s="172">
        <f t="shared" si="74"/>
        <v>3.7845834908341245</v>
      </c>
      <c r="S65" s="67">
        <f t="shared" si="26"/>
        <v>-6.9130219825127996</v>
      </c>
      <c r="T65" s="68">
        <f t="shared" si="27"/>
        <v>33.675007928941717</v>
      </c>
      <c r="U65" s="68">
        <f t="shared" si="28"/>
        <v>26.761985946428918</v>
      </c>
      <c r="W65" t="str">
        <f t="shared" si="29"/>
        <v>71 Sales occupations</v>
      </c>
      <c r="X65" s="172">
        <f t="shared" ref="X65:AB65" si="75">X28/X$35*100</f>
        <v>6.3754740925263063</v>
      </c>
      <c r="Y65" s="172">
        <f t="shared" si="75"/>
        <v>5.0436726278046109</v>
      </c>
      <c r="Z65" s="172">
        <f t="shared" si="75"/>
        <v>4.9080110615529531</v>
      </c>
      <c r="AA65" s="172">
        <f t="shared" si="75"/>
        <v>4.2729820092751565</v>
      </c>
      <c r="AB65" s="172">
        <f t="shared" si="75"/>
        <v>3.7330789397490469</v>
      </c>
      <c r="AD65" s="67">
        <f t="shared" si="31"/>
        <v>-17.206635309654768</v>
      </c>
      <c r="AE65" s="68">
        <f t="shared" si="32"/>
        <v>49.2976243616666</v>
      </c>
      <c r="AF65" s="68">
        <f t="shared" si="33"/>
        <v>32.090989052011828</v>
      </c>
    </row>
    <row r="66" spans="1:32" x14ac:dyDescent="0.2">
      <c r="A66" t="str">
        <f t="shared" si="19"/>
        <v>72 Customer service occupations</v>
      </c>
      <c r="B66" s="172">
        <f t="shared" si="73"/>
        <v>1.4015374032052796</v>
      </c>
      <c r="C66" s="172">
        <f t="shared" si="73"/>
        <v>1.4142823342937862</v>
      </c>
      <c r="D66" s="172">
        <f t="shared" si="73"/>
        <v>1.4301647687735748</v>
      </c>
      <c r="E66" s="172">
        <f t="shared" si="73"/>
        <v>1.7478852607114472</v>
      </c>
      <c r="F66" s="172">
        <f t="shared" si="73"/>
        <v>1.8168641010933115</v>
      </c>
      <c r="H66" s="67">
        <f t="shared" si="21"/>
        <v>38.664635249328349</v>
      </c>
      <c r="I66" s="68">
        <f t="shared" si="22"/>
        <v>58.995455456946686</v>
      </c>
      <c r="J66" s="68">
        <f t="shared" si="23"/>
        <v>97.660090706275042</v>
      </c>
      <c r="L66" t="str">
        <f t="shared" si="24"/>
        <v>72 Customer service occupations</v>
      </c>
      <c r="M66" s="172">
        <f t="shared" ref="M66:Q66" si="76">M29/M$35*100</f>
        <v>0.98368260971209254</v>
      </c>
      <c r="N66" s="172">
        <f t="shared" si="76"/>
        <v>0.86391906638231442</v>
      </c>
      <c r="O66" s="172">
        <f t="shared" si="76"/>
        <v>1.0044536834599609</v>
      </c>
      <c r="P66" s="172">
        <f t="shared" si="76"/>
        <v>1.2973838479077733</v>
      </c>
      <c r="Q66" s="172">
        <f t="shared" si="76"/>
        <v>1.3736976970183064</v>
      </c>
      <c r="S66" s="67">
        <f t="shared" si="26"/>
        <v>49.648445410367721</v>
      </c>
      <c r="T66" s="68">
        <f t="shared" si="27"/>
        <v>46.833424847283879</v>
      </c>
      <c r="U66" s="68">
        <f t="shared" si="28"/>
        <v>96.481870257651593</v>
      </c>
      <c r="W66" t="str">
        <f t="shared" si="29"/>
        <v>72 Customer service occupations</v>
      </c>
      <c r="X66" s="172">
        <f t="shared" ref="X66:AB66" si="77">X29/X$35*100</f>
        <v>1.871043450096578</v>
      </c>
      <c r="Y66" s="172">
        <f t="shared" si="77"/>
        <v>2.0340586049033544</v>
      </c>
      <c r="Z66" s="172">
        <f t="shared" si="77"/>
        <v>1.8994514755167884</v>
      </c>
      <c r="AA66" s="172">
        <f t="shared" si="77"/>
        <v>2.2472957862174665</v>
      </c>
      <c r="AB66" s="172">
        <f t="shared" si="77"/>
        <v>2.3079609937907857</v>
      </c>
      <c r="AD66" s="67">
        <f t="shared" si="31"/>
        <v>32.261716014280594</v>
      </c>
      <c r="AE66" s="68">
        <f t="shared" si="32"/>
        <v>66.085208337424888</v>
      </c>
      <c r="AF66" s="68">
        <f t="shared" si="33"/>
        <v>98.346924351705482</v>
      </c>
    </row>
    <row r="67" spans="1:32" x14ac:dyDescent="0.2">
      <c r="A67" t="str">
        <f t="shared" si="19"/>
        <v>81 Process, plant and machine operatives</v>
      </c>
      <c r="B67" s="172">
        <f t="shared" si="73"/>
        <v>0.63576023641952306</v>
      </c>
      <c r="C67" s="172">
        <f t="shared" si="73"/>
        <v>0.56896287488776509</v>
      </c>
      <c r="D67" s="172">
        <f t="shared" si="73"/>
        <v>0.52389888940364659</v>
      </c>
      <c r="E67" s="172">
        <f t="shared" si="73"/>
        <v>0.61720919735561008</v>
      </c>
      <c r="F67" s="172">
        <f t="shared" si="73"/>
        <v>0.63262837592605414</v>
      </c>
      <c r="H67" s="67">
        <f t="shared" si="21"/>
        <v>31.804590156265082</v>
      </c>
      <c r="I67" s="68">
        <f t="shared" si="22"/>
        <v>50.978567073464795</v>
      </c>
      <c r="J67" s="68">
        <f t="shared" si="23"/>
        <v>82.783157229729881</v>
      </c>
      <c r="L67" t="str">
        <f t="shared" si="24"/>
        <v>81 Process, plant and machine operatives</v>
      </c>
      <c r="M67" s="172">
        <f t="shared" ref="M67:Q67" si="78">M30/M$35*100</f>
        <v>0.91729861831034309</v>
      </c>
      <c r="N67" s="172">
        <f t="shared" si="78"/>
        <v>0.81159932473444507</v>
      </c>
      <c r="O67" s="172">
        <f t="shared" si="78"/>
        <v>0.73358457851752101</v>
      </c>
      <c r="P67" s="172">
        <f t="shared" si="78"/>
        <v>0.840638882427449</v>
      </c>
      <c r="Q67" s="172">
        <f t="shared" si="78"/>
        <v>0.83076091354353288</v>
      </c>
      <c r="S67" s="67">
        <f t="shared" si="26"/>
        <v>23.918691078852209</v>
      </c>
      <c r="T67" s="68">
        <f t="shared" si="27"/>
        <v>44.363950825790582</v>
      </c>
      <c r="U67" s="68">
        <f t="shared" si="28"/>
        <v>68.282641904642787</v>
      </c>
      <c r="W67" t="str">
        <f t="shared" si="29"/>
        <v>81 Process, plant and machine operatives</v>
      </c>
      <c r="X67" s="172">
        <f t="shared" ref="X67:AB67" si="79">X30/X$35*100</f>
        <v>0.31942074531378289</v>
      </c>
      <c r="Y67" s="172">
        <f t="shared" si="79"/>
        <v>0.29572459252457811</v>
      </c>
      <c r="Z67" s="172">
        <f t="shared" si="79"/>
        <v>0.29274985455307501</v>
      </c>
      <c r="AA67" s="172">
        <f t="shared" si="79"/>
        <v>0.36952265683858759</v>
      </c>
      <c r="AB67" s="172">
        <f t="shared" si="79"/>
        <v>0.41306689141031522</v>
      </c>
      <c r="AD67" s="67">
        <f t="shared" si="31"/>
        <v>53.588107857866376</v>
      </c>
      <c r="AE67" s="68">
        <f t="shared" si="32"/>
        <v>69.250372064379007</v>
      </c>
      <c r="AF67" s="68">
        <f t="shared" si="33"/>
        <v>122.83847992224537</v>
      </c>
    </row>
    <row r="68" spans="1:32" x14ac:dyDescent="0.2">
      <c r="A68" t="str">
        <f t="shared" si="19"/>
        <v>82 Transport and mobile machine drivers and operatives</v>
      </c>
      <c r="B68" s="172">
        <f t="shared" si="73"/>
        <v>3.2696687239852182</v>
      </c>
      <c r="C68" s="172">
        <f t="shared" si="73"/>
        <v>3.4572952975778963</v>
      </c>
      <c r="D68" s="172">
        <f t="shared" si="73"/>
        <v>3.0896744867797548</v>
      </c>
      <c r="E68" s="172">
        <f t="shared" si="73"/>
        <v>3.315158021882556</v>
      </c>
      <c r="F68" s="172">
        <f t="shared" si="73"/>
        <v>3.1134365213796098</v>
      </c>
      <c r="H68" s="67">
        <f t="shared" si="21"/>
        <v>9.9908691313981048</v>
      </c>
      <c r="I68" s="68">
        <f t="shared" si="22"/>
        <v>58.596004449716155</v>
      </c>
      <c r="J68" s="68">
        <f t="shared" si="23"/>
        <v>68.586873581114261</v>
      </c>
      <c r="L68" t="str">
        <f t="shared" si="24"/>
        <v>82 Transport and mobile machine drivers and operatives</v>
      </c>
      <c r="M68" s="172">
        <f t="shared" ref="M68:Q68" si="80">M31/M$35*100</f>
        <v>5.7727826767455008</v>
      </c>
      <c r="N68" s="172">
        <f t="shared" si="80"/>
        <v>6.1907895955672982</v>
      </c>
      <c r="O68" s="172">
        <f t="shared" si="80"/>
        <v>5.5221333781963686</v>
      </c>
      <c r="P68" s="172">
        <f t="shared" si="80"/>
        <v>5.7786157882395273</v>
      </c>
      <c r="Q68" s="172">
        <f t="shared" si="80"/>
        <v>5.366682022997125</v>
      </c>
      <c r="S68" s="67">
        <f t="shared" si="26"/>
        <v>6.3432495721611941</v>
      </c>
      <c r="T68" s="68">
        <f t="shared" si="27"/>
        <v>56.560855773130648</v>
      </c>
      <c r="U68" s="68">
        <f t="shared" si="28"/>
        <v>62.904105345291839</v>
      </c>
      <c r="W68" t="str">
        <f t="shared" si="29"/>
        <v>82 Transport and mobile machine drivers and operatives</v>
      </c>
      <c r="X68" s="172">
        <f t="shared" ref="X68:AB68" si="81">X31/X$35*100</f>
        <v>0.45714352341435688</v>
      </c>
      <c r="Y68" s="172">
        <f t="shared" si="81"/>
        <v>0.37904680150841541</v>
      </c>
      <c r="Z68" s="172">
        <f t="shared" si="81"/>
        <v>0.40823004753001269</v>
      </c>
      <c r="AA68" s="172">
        <f t="shared" si="81"/>
        <v>0.58425262915209419</v>
      </c>
      <c r="AB68" s="172">
        <f t="shared" si="81"/>
        <v>0.61649213625958188</v>
      </c>
      <c r="AD68" s="67">
        <f t="shared" si="31"/>
        <v>64.382834740648491</v>
      </c>
      <c r="AE68" s="68">
        <f t="shared" si="32"/>
        <v>88.943395406709598</v>
      </c>
      <c r="AF68" s="68">
        <f t="shared" si="33"/>
        <v>153.3262301473581</v>
      </c>
    </row>
    <row r="69" spans="1:32" x14ac:dyDescent="0.2">
      <c r="A69" t="str">
        <f t="shared" si="19"/>
        <v>91 Elementary trades and related occupations</v>
      </c>
      <c r="B69" s="172">
        <f t="shared" si="73"/>
        <v>0.79156901066809537</v>
      </c>
      <c r="C69" s="172">
        <f t="shared" si="73"/>
        <v>0.67005541460015594</v>
      </c>
      <c r="D69" s="172">
        <f t="shared" si="73"/>
        <v>0.60384605618445253</v>
      </c>
      <c r="E69" s="172">
        <f t="shared" si="73"/>
        <v>0.47065745228159295</v>
      </c>
      <c r="F69" s="172">
        <f t="shared" si="73"/>
        <v>0.42061501940698154</v>
      </c>
      <c r="H69" s="67">
        <f t="shared" si="21"/>
        <v>-23.969492872173724</v>
      </c>
      <c r="I69" s="68">
        <f t="shared" si="22"/>
        <v>31.866345649713391</v>
      </c>
      <c r="J69" s="68">
        <f t="shared" si="23"/>
        <v>7.8968527775396646</v>
      </c>
      <c r="L69" t="str">
        <f t="shared" si="24"/>
        <v>91 Elementary trades and related occupations</v>
      </c>
      <c r="M69" s="172">
        <f t="shared" ref="M69:Q70" si="82">M32/M$35*100</f>
        <v>1.2058891237303071</v>
      </c>
      <c r="N69" s="172">
        <f t="shared" si="82"/>
        <v>1.041892453380459</v>
      </c>
      <c r="O69" s="172">
        <f t="shared" si="82"/>
        <v>0.95009804835633815</v>
      </c>
      <c r="P69" s="172">
        <f t="shared" si="82"/>
        <v>0.71549764129151627</v>
      </c>
      <c r="Q69" s="172">
        <f t="shared" si="82"/>
        <v>0.62931687969102756</v>
      </c>
      <c r="S69" s="67">
        <f t="shared" si="26"/>
        <v>-27.521047204820153</v>
      </c>
      <c r="T69" s="68">
        <f t="shared" si="27"/>
        <v>26.465103794583548</v>
      </c>
      <c r="U69" s="68">
        <f t="shared" si="28"/>
        <v>-1.055943410236605</v>
      </c>
      <c r="W69" t="str">
        <f t="shared" si="29"/>
        <v>91 Elementary trades and related occupations</v>
      </c>
      <c r="X69" s="172">
        <f t="shared" ref="X69:AB70" si="83">X32/X$35*100</f>
        <v>0.32603456793693431</v>
      </c>
      <c r="Y69" s="172">
        <f t="shared" si="83"/>
        <v>0.25132148629077339</v>
      </c>
      <c r="Z69" s="172">
        <f t="shared" si="83"/>
        <v>0.22215184451054534</v>
      </c>
      <c r="AA69" s="172">
        <f t="shared" si="83"/>
        <v>0.19923595618136331</v>
      </c>
      <c r="AB69" s="172">
        <f t="shared" si="83"/>
        <v>0.18934109127697041</v>
      </c>
      <c r="AD69" s="67">
        <f t="shared" si="31"/>
        <v>-7.225452646104169</v>
      </c>
      <c r="AE69" s="68">
        <f t="shared" si="32"/>
        <v>57.3308613018324</v>
      </c>
      <c r="AF69" s="68">
        <f t="shared" si="33"/>
        <v>50.105408655728233</v>
      </c>
    </row>
    <row r="70" spans="1:32" x14ac:dyDescent="0.2">
      <c r="A70" t="str">
        <f t="shared" si="19"/>
        <v>92 Elementary administration and service occupations</v>
      </c>
      <c r="B70" s="172">
        <f t="shared" si="73"/>
        <v>9.0081833498935886</v>
      </c>
      <c r="C70" s="172">
        <f t="shared" si="73"/>
        <v>8.8945419820639948</v>
      </c>
      <c r="D70" s="172">
        <f t="shared" si="73"/>
        <v>8.2129231663492437</v>
      </c>
      <c r="E70" s="172">
        <f t="shared" si="73"/>
        <v>8.1141918266292343</v>
      </c>
      <c r="F70" s="172">
        <f t="shared" si="73"/>
        <v>7.7066386474473862</v>
      </c>
      <c r="H70" s="67">
        <f t="shared" si="21"/>
        <v>2.4227851025859315</v>
      </c>
      <c r="I70" s="68">
        <f t="shared" si="22"/>
        <v>52.199436737054064</v>
      </c>
      <c r="J70" s="68">
        <f t="shared" si="23"/>
        <v>54.622221839639984</v>
      </c>
      <c r="L70" t="str">
        <f t="shared" si="24"/>
        <v>92 Elementary administration and service occupations</v>
      </c>
      <c r="M70" s="172">
        <f t="shared" si="82"/>
        <v>8.3719442872483061</v>
      </c>
      <c r="N70" s="172">
        <f t="shared" si="82"/>
        <v>8.0219488644076389</v>
      </c>
      <c r="O70" s="172">
        <f t="shared" si="82"/>
        <v>7.8262556656657853</v>
      </c>
      <c r="P70" s="172">
        <f t="shared" si="82"/>
        <v>7.9597585823925803</v>
      </c>
      <c r="Q70" s="172">
        <f t="shared" si="82"/>
        <v>7.496988925977667</v>
      </c>
      <c r="S70" s="67">
        <f t="shared" si="26"/>
        <v>4.8199126198738806</v>
      </c>
      <c r="T70" s="68">
        <f t="shared" si="27"/>
        <v>44.779306181980203</v>
      </c>
      <c r="U70" s="68">
        <f t="shared" si="28"/>
        <v>49.599218801854086</v>
      </c>
      <c r="W70" t="str">
        <f t="shared" si="29"/>
        <v>92 Elementary administration and service occupations</v>
      </c>
      <c r="X70" s="172">
        <f t="shared" si="83"/>
        <v>9.7230682616668958</v>
      </c>
      <c r="Y70" s="172">
        <f t="shared" si="83"/>
        <v>9.8771884262442065</v>
      </c>
      <c r="Z70" s="172">
        <f t="shared" si="83"/>
        <v>8.6391698022964842</v>
      </c>
      <c r="AA70" s="172">
        <f t="shared" si="83"/>
        <v>8.2853912623420811</v>
      </c>
      <c r="AB70" s="172">
        <f t="shared" si="83"/>
        <v>7.938962952317838</v>
      </c>
      <c r="AD70" s="67">
        <f t="shared" si="31"/>
        <v>2.8937760464747456E-2</v>
      </c>
      <c r="AE70" s="68">
        <f t="shared" si="32"/>
        <v>59.609413753024242</v>
      </c>
      <c r="AF70" s="68">
        <f t="shared" si="33"/>
        <v>59.638351513488985</v>
      </c>
    </row>
    <row r="71" spans="1:32" x14ac:dyDescent="0.2">
      <c r="H71" s="67"/>
      <c r="I71" s="68"/>
      <c r="J71" s="68"/>
      <c r="S71" s="67"/>
      <c r="T71" s="68"/>
      <c r="U71" s="68"/>
      <c r="AD71" s="67"/>
      <c r="AE71" s="68"/>
      <c r="AF71" s="68"/>
    </row>
    <row r="72" spans="1:32" x14ac:dyDescent="0.2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9.1514086766815783</v>
      </c>
      <c r="I72" s="66">
        <f>IF(D35&gt;0,I35/D35*100,0)</f>
        <v>51.233101972497039</v>
      </c>
      <c r="J72" s="66">
        <f>IF(D35&gt;0,(J35/D35)*100,0)</f>
        <v>60.384510649178623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84">IF(O35&gt;0,(S35/O35)*100,0)</f>
        <v>9.423589005622091</v>
      </c>
      <c r="T72" s="66">
        <f t="shared" ref="T72" si="85">IF(O35&gt;0,T35/O35*100,0)</f>
        <v>43.942821793573955</v>
      </c>
      <c r="U72" s="66">
        <f t="shared" ref="U72" si="86">IF(O35&gt;0,(U35/O35)*100,0)</f>
        <v>53.366410799196061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87">IF(Z35&gt;0,(AD35/Z35)*100,0)</f>
        <v>8.851368074932461</v>
      </c>
      <c r="AE72" s="66">
        <f t="shared" ref="AE72" si="88">IF(Z35&gt;0,AE35/Z35*100,0)</f>
        <v>59.269612400412697</v>
      </c>
      <c r="AF72" s="66">
        <f t="shared" ref="AF72" si="89">IF(Z35&gt;0,(AF35/Z35)*100,0)</f>
        <v>68.120980475345192</v>
      </c>
    </row>
    <row r="73" spans="1:32" x14ac:dyDescent="0.2">
      <c r="B73" s="17"/>
      <c r="C73" s="17"/>
      <c r="D73" s="17"/>
      <c r="E73" s="17"/>
      <c r="F73" s="17"/>
      <c r="M73" s="17"/>
      <c r="N73" s="17"/>
      <c r="O73" s="17"/>
      <c r="P73" s="17"/>
      <c r="Q73" s="17"/>
      <c r="X73" s="17"/>
      <c r="Y73" s="17"/>
      <c r="Z73" s="17"/>
      <c r="AA73" s="17"/>
      <c r="AB73" s="17"/>
    </row>
    <row r="74" spans="1:32" x14ac:dyDescent="0.2">
      <c r="B74" s="17"/>
      <c r="C74" s="17"/>
      <c r="D74" s="17"/>
      <c r="E74" s="17"/>
      <c r="F74" s="17"/>
      <c r="M74" s="17"/>
      <c r="N74" s="17"/>
      <c r="O74" s="17"/>
      <c r="P74" s="17"/>
      <c r="Q74" s="17"/>
      <c r="X74" s="17"/>
      <c r="Y74" s="17"/>
      <c r="Z74" s="17"/>
      <c r="AA74" s="17"/>
      <c r="AB74" s="17"/>
    </row>
    <row r="75" spans="1:32" ht="15.75" x14ac:dyDescent="0.25">
      <c r="A75" s="18" t="str">
        <f>CONCATENATE(A$1," (Continued)")</f>
        <v>Occupation Table 2  Employment Change by Occupation (SOC 2020) and Replacement Demand, 2015-2035, London (Continued)</v>
      </c>
      <c r="B75" s="17"/>
      <c r="C75" s="17"/>
      <c r="D75" s="17"/>
      <c r="E75" s="17"/>
      <c r="F75" s="17"/>
      <c r="L75" s="18" t="str">
        <f>CONCATENATE(L$1," (Continued)")</f>
        <v>Occupation Table 2.1  Males: Employment Change by Occupation (SOC 2020) and Replacement Demand, 2015-2035, London (Continued)</v>
      </c>
      <c r="M75" s="17"/>
      <c r="N75" s="17"/>
      <c r="O75" s="17"/>
      <c r="P75" s="17"/>
      <c r="Q75" s="17"/>
      <c r="W75" s="18" t="str">
        <f>CONCATENATE(W$1," (Continued)")</f>
        <v>Occupation Table 2.2  Females: Employment Change by Occupation (SOC 2020) and Replacement Demand, 2015-2035, London (Continued)</v>
      </c>
      <c r="X75" s="17"/>
      <c r="Y75" s="17"/>
      <c r="Z75" s="17"/>
      <c r="AA75" s="17"/>
      <c r="AB75" s="17"/>
    </row>
    <row r="77" spans="1:32" x14ac:dyDescent="0.2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</row>
    <row r="78" spans="1:32" x14ac:dyDescent="0.2">
      <c r="A78" s="35"/>
      <c r="B78" s="35"/>
      <c r="C78" s="35"/>
      <c r="D78" s="35"/>
      <c r="E78" s="35"/>
      <c r="F78" s="35"/>
      <c r="H78" s="98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98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98" t="str">
        <f>$H$4</f>
        <v>2020-2035</v>
      </c>
      <c r="AE78" s="35"/>
      <c r="AF78" s="35"/>
    </row>
    <row r="79" spans="1:32" x14ac:dyDescent="0.2">
      <c r="H79" s="15" t="str">
        <f t="shared" ref="H79:J80" si="90">H42</f>
        <v>Net</v>
      </c>
      <c r="I79" s="15" t="str">
        <f t="shared" si="90"/>
        <v>Replacement</v>
      </c>
      <c r="J79" s="15" t="str">
        <f t="shared" si="90"/>
        <v>Total</v>
      </c>
      <c r="S79" s="15" t="str">
        <f t="shared" ref="S79:U79" si="91">S42</f>
        <v>Net</v>
      </c>
      <c r="T79" s="15" t="str">
        <f t="shared" si="91"/>
        <v>Replacement</v>
      </c>
      <c r="U79" s="15" t="str">
        <f t="shared" si="91"/>
        <v>Total</v>
      </c>
      <c r="AD79" s="15" t="str">
        <f t="shared" ref="AD79:AF79" si="92">AD42</f>
        <v>Net</v>
      </c>
      <c r="AE79" s="15" t="str">
        <f t="shared" si="92"/>
        <v>Replacement</v>
      </c>
      <c r="AF79" s="15" t="str">
        <f t="shared" si="92"/>
        <v>Total</v>
      </c>
    </row>
    <row r="80" spans="1:32" x14ac:dyDescent="0.2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CONCATENATE(D$6,"-",F$6)</f>
        <v>2020-2035</v>
      </c>
      <c r="H80" s="62" t="str">
        <f t="shared" si="90"/>
        <v>Change</v>
      </c>
      <c r="I80" s="62" t="str">
        <f t="shared" si="90"/>
        <v>Demand</v>
      </c>
      <c r="J80" s="62" t="str">
        <f t="shared" si="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CONCATENATE(O$6,"-",Q$6)</f>
        <v>2020-2035</v>
      </c>
      <c r="S80" s="62" t="str">
        <f t="shared" ref="S80:U80" si="93">S43</f>
        <v>Change</v>
      </c>
      <c r="T80" s="62" t="str">
        <f t="shared" si="93"/>
        <v>Demand</v>
      </c>
      <c r="U80" s="62" t="str">
        <f t="shared" si="93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CONCATENATE(Z$6,"-",AB$6)</f>
        <v>2020-2035</v>
      </c>
      <c r="AD80" s="62" t="str">
        <f t="shared" ref="AD80:AF80" si="94">AD43</f>
        <v>Change</v>
      </c>
      <c r="AE80" s="62" t="str">
        <f t="shared" si="94"/>
        <v>Demand</v>
      </c>
      <c r="AF80" s="62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7">
        <f t="shared" ref="B82:E107" si="96">IF(AND(C$6-B$6 &lt;&gt; 0,B8&lt;&gt;0,C8&lt;&gt;0),(EXP(LN(C8/B8)/(C$6-B$6))-1)*100,0)</f>
        <v>4.4629205768014213</v>
      </c>
      <c r="C82" s="17">
        <f t="shared" si="96"/>
        <v>0.64190682904616825</v>
      </c>
      <c r="D82" s="17">
        <f t="shared" si="96"/>
        <v>-0.89935256073168102</v>
      </c>
      <c r="E82" s="17">
        <f t="shared" si="96"/>
        <v>0.76561039967311117</v>
      </c>
      <c r="F82" s="17">
        <f t="shared" ref="F82:F107" si="97">IF(AND(F$6-D$6 &lt;&gt; 0,D8&lt;&gt;0,F8&lt;&gt;0),(EXP(LN(F8/D8)/(F$6-D$6))-1)*100,0)</f>
        <v>0.20753766374692617</v>
      </c>
      <c r="H82" s="17">
        <f t="shared" ref="H82:H107" si="98">IF($F$6-$D$6 &lt;&gt; 0,(EXP(LN(1+(H45/100))/($F$6-$D$6))-1)*100,0)</f>
        <v>0.20753766374692617</v>
      </c>
      <c r="I82" s="17">
        <f t="shared" ref="I82:I107" si="99">IF(D8&gt;0,((1+(I8/D8))^(1/($F$6-$D$6))-1)*100,0)</f>
        <v>2.7851600821211075</v>
      </c>
      <c r="J82" s="17">
        <f t="shared" ref="J82:J107" si="100">IF($F$6-$D$6 &lt;&gt; 0,(EXP(LN(1+(J45/100))/($F$6-$D$6))-1)*100,0)</f>
        <v>2.9271271083699535</v>
      </c>
      <c r="K82" s="39"/>
      <c r="L82" t="str">
        <f t="shared" ref="L82:L107" si="101">L8</f>
        <v>11 Corporate managers and directors</v>
      </c>
      <c r="M82" s="17">
        <f t="shared" ref="M82:P107" si="102">IF(AND(N$6-M$6 &lt;&gt; 0,M8&lt;&gt;0,N8&lt;&gt;0),(EXP(LN(N8/M8)/(N$6-M$6))-1)*100,0)</f>
        <v>3.7076891258688294</v>
      </c>
      <c r="N82" s="17">
        <f t="shared" si="102"/>
        <v>-0.4422368234164531</v>
      </c>
      <c r="O82" s="17">
        <f t="shared" si="102"/>
        <v>-1.584089675824063</v>
      </c>
      <c r="P82" s="17">
        <f t="shared" si="102"/>
        <v>0.45935825344629588</v>
      </c>
      <c r="Q82" s="17">
        <f t="shared" ref="Q82:Q107" si="103">IF(AND(Q$6-O$6 &lt;&gt; 0,O8&lt;&gt;0,Q8&lt;&gt;0),(EXP(LN(Q8/O8)/(Q$6-O$6))-1)*100,0)</f>
        <v>-0.22646239438635085</v>
      </c>
      <c r="S82" s="17">
        <f t="shared" ref="S82:S107" si="104">IF($F$6-$D$6 &lt;&gt; 0,(EXP(LN(1+(S45/100))/($F$6-$D$6))-1)*100,0)</f>
        <v>-0.22646239438635085</v>
      </c>
      <c r="T82" s="17">
        <f t="shared" ref="T82:T107" si="105">IF(O8&gt;0,((1+(T8/O8))^(1/($F$6-$D$6))-1)*100,0)</f>
        <v>2.5047723043478021</v>
      </c>
      <c r="U82" s="17">
        <f t="shared" ref="U82:U107" si="106">IF($F$6-$D$6 &lt;&gt; 0,(EXP(LN(1+(U45/100))/($F$6-$D$6))-1)*100,0)</f>
        <v>2.3453944460576359</v>
      </c>
      <c r="W82" t="str">
        <f t="shared" ref="W82:W107" si="107">W8</f>
        <v>11 Corporate managers and directors</v>
      </c>
      <c r="X82" s="17">
        <f t="shared" ref="X82:AA107" si="108">IF(AND(Y$6-X$6 &lt;&gt; 0,X8&lt;&gt;0,Y8&lt;&gt;0),(EXP(LN(Y8/X8)/(Y$6-X$6))-1)*100,0)</f>
        <v>5.8779034457849599</v>
      </c>
      <c r="Y82" s="17">
        <f t="shared" si="108"/>
        <v>2.5707941120636901</v>
      </c>
      <c r="Z82" s="17">
        <f t="shared" si="108"/>
        <v>0.24038424153280946</v>
      </c>
      <c r="AA82" s="17">
        <f t="shared" si="108"/>
        <v>1.2317052295008013</v>
      </c>
      <c r="AB82" s="17">
        <f t="shared" ref="AB82:AB107" si="109">IF(AND(AB$6-Z$6 &lt;&gt; 0,Z8&lt;&gt;0,AB8&lt;&gt;0),(EXP(LN(AB8/Z8)/(AB$6-Z$6))-1)*100,0)</f>
        <v>0.90018037086796454</v>
      </c>
      <c r="AD82" s="17">
        <f t="shared" ref="AD82:AD107" si="110">IF($F$6-$D$6 &lt;&gt; 0,(EXP(LN(1+(AD45/100))/($F$6-$D$6))-1)*100,0)</f>
        <v>0.90018037086796454</v>
      </c>
      <c r="AE82" s="17">
        <f t="shared" ref="AE82:AE107" si="111">IF(Z8&gt;0,((1+(AE8/Z8))^(1/($F$6-$D$6))-1)*100,0)</f>
        <v>3.2455121801868048</v>
      </c>
      <c r="AF82" s="17">
        <f t="shared" ref="AF82:AF107" si="112">IF($F$6-$D$6 &lt;&gt; 0,(EXP(LN(1+(AF45/100))/($F$6-$D$6))-1)*100,0)</f>
        <v>3.8347231319795227</v>
      </c>
    </row>
    <row r="83" spans="1:32" x14ac:dyDescent="0.2">
      <c r="A83" t="str">
        <f t="shared" si="95"/>
        <v>12 Other managers and proprietors</v>
      </c>
      <c r="B83" s="17">
        <f t="shared" si="96"/>
        <v>1.8883411538503481</v>
      </c>
      <c r="C83" s="17">
        <f t="shared" si="96"/>
        <v>-1.5684038159872515</v>
      </c>
      <c r="D83" s="17">
        <f t="shared" si="96"/>
        <v>4.7939417514913929</v>
      </c>
      <c r="E83" s="17">
        <f t="shared" si="96"/>
        <v>1.1888465317362318</v>
      </c>
      <c r="F83" s="17">
        <f t="shared" si="97"/>
        <v>2.3765497394548474</v>
      </c>
      <c r="H83" s="17">
        <f t="shared" si="98"/>
        <v>2.3765497394548474</v>
      </c>
      <c r="I83" s="17">
        <f t="shared" si="99"/>
        <v>3.7281894604244581</v>
      </c>
      <c r="J83" s="17">
        <f t="shared" si="100"/>
        <v>5.2485159131106185</v>
      </c>
      <c r="K83" s="39"/>
      <c r="L83" t="str">
        <f t="shared" si="101"/>
        <v>12 Other managers and proprietors</v>
      </c>
      <c r="M83" s="17">
        <f t="shared" si="102"/>
        <v>2.0319166842515113</v>
      </c>
      <c r="N83" s="17">
        <f t="shared" si="102"/>
        <v>-3.6496577797543561</v>
      </c>
      <c r="O83" s="17">
        <f t="shared" si="102"/>
        <v>5.2111037174998431</v>
      </c>
      <c r="P83" s="17">
        <f t="shared" si="102"/>
        <v>1.1226709464607021</v>
      </c>
      <c r="Q83" s="17">
        <f t="shared" si="103"/>
        <v>2.4675172607969698</v>
      </c>
      <c r="S83" s="17">
        <f t="shared" si="104"/>
        <v>2.4675172607969698</v>
      </c>
      <c r="T83" s="17">
        <f t="shared" si="105"/>
        <v>3.5263980996719901</v>
      </c>
      <c r="U83" s="17">
        <f t="shared" si="106"/>
        <v>5.1476027662963775</v>
      </c>
      <c r="W83" t="str">
        <f t="shared" si="107"/>
        <v>12 Other managers and proprietors</v>
      </c>
      <c r="X83" s="17">
        <f t="shared" si="108"/>
        <v>1.6458406958950178</v>
      </c>
      <c r="Y83" s="17">
        <f t="shared" si="108"/>
        <v>1.9803371242218093</v>
      </c>
      <c r="Z83" s="17">
        <f t="shared" si="108"/>
        <v>4.1076052673363783</v>
      </c>
      <c r="AA83" s="17">
        <f t="shared" si="108"/>
        <v>1.3003394704169668</v>
      </c>
      <c r="AB83" s="17">
        <f t="shared" si="109"/>
        <v>2.2275814285199091</v>
      </c>
      <c r="AD83" s="17">
        <f t="shared" si="110"/>
        <v>2.2275814285199091</v>
      </c>
      <c r="AE83" s="17">
        <f t="shared" si="111"/>
        <v>4.0421389506815064</v>
      </c>
      <c r="AF83" s="17">
        <f t="shared" si="112"/>
        <v>5.4082878520891775</v>
      </c>
    </row>
    <row r="84" spans="1:32" x14ac:dyDescent="0.2">
      <c r="A84" t="str">
        <f t="shared" si="95"/>
        <v>21 Science, research, engineering and technology professionals</v>
      </c>
      <c r="B84" s="17">
        <f t="shared" si="96"/>
        <v>4.3984267483003991</v>
      </c>
      <c r="C84" s="17">
        <f t="shared" si="96"/>
        <v>4.4505314576186006</v>
      </c>
      <c r="D84" s="17">
        <f t="shared" si="96"/>
        <v>1.727999815894532</v>
      </c>
      <c r="E84" s="17">
        <f t="shared" si="96"/>
        <v>1.0299563456801497</v>
      </c>
      <c r="F84" s="17">
        <f t="shared" si="97"/>
        <v>1.2621036641635719</v>
      </c>
      <c r="H84" s="17">
        <f t="shared" si="98"/>
        <v>1.2621036641635497</v>
      </c>
      <c r="I84" s="17">
        <f t="shared" si="99"/>
        <v>2.4531897627850352</v>
      </c>
      <c r="J84" s="17">
        <f t="shared" si="100"/>
        <v>3.3756133457436555</v>
      </c>
      <c r="K84" s="39"/>
      <c r="L84" t="str">
        <f t="shared" si="101"/>
        <v>21 Science, research, engineering and technology professionals</v>
      </c>
      <c r="M84" s="17">
        <f t="shared" si="102"/>
        <v>4.8565910088562703</v>
      </c>
      <c r="N84" s="17">
        <f t="shared" si="102"/>
        <v>-1.4190813418754389</v>
      </c>
      <c r="O84" s="17">
        <f t="shared" si="102"/>
        <v>0.98084858022573496</v>
      </c>
      <c r="P84" s="17">
        <f t="shared" si="102"/>
        <v>0.83360586456717733</v>
      </c>
      <c r="Q84" s="17">
        <f t="shared" si="103"/>
        <v>0.88266289894638472</v>
      </c>
      <c r="S84" s="17">
        <f t="shared" si="104"/>
        <v>0.88266289894638472</v>
      </c>
      <c r="T84" s="17">
        <f t="shared" si="105"/>
        <v>2.0627284357022546</v>
      </c>
      <c r="U84" s="17">
        <f t="shared" si="106"/>
        <v>2.7364879734340652</v>
      </c>
      <c r="W84" t="str">
        <f t="shared" si="107"/>
        <v>21 Science, research, engineering and technology professionals</v>
      </c>
      <c r="X84" s="17">
        <f t="shared" si="108"/>
        <v>3.1130474572312439</v>
      </c>
      <c r="Y84" s="17">
        <f t="shared" si="108"/>
        <v>21.624128809281594</v>
      </c>
      <c r="Z84" s="17">
        <f t="shared" si="108"/>
        <v>3.4170141952325261</v>
      </c>
      <c r="AA84" s="17">
        <f t="shared" si="108"/>
        <v>1.4323946149603861</v>
      </c>
      <c r="AB84" s="17">
        <f t="shared" si="109"/>
        <v>2.0896662224294538</v>
      </c>
      <c r="AD84" s="17">
        <f t="shared" si="110"/>
        <v>2.0896662224294538</v>
      </c>
      <c r="AE84" s="17">
        <f t="shared" si="111"/>
        <v>3.3036345341097562</v>
      </c>
      <c r="AF84" s="17">
        <f t="shared" si="112"/>
        <v>4.701514051027722</v>
      </c>
    </row>
    <row r="85" spans="1:32" x14ac:dyDescent="0.2">
      <c r="A85" t="str">
        <f t="shared" si="95"/>
        <v>22 Health professionals</v>
      </c>
      <c r="B85" s="17">
        <f t="shared" si="96"/>
        <v>3.6866415181483925</v>
      </c>
      <c r="C85" s="17">
        <f t="shared" si="96"/>
        <v>-1.0239922476609986</v>
      </c>
      <c r="D85" s="17">
        <f t="shared" si="96"/>
        <v>1.1466570606288862</v>
      </c>
      <c r="E85" s="17">
        <f t="shared" si="96"/>
        <v>0.25018959046267941</v>
      </c>
      <c r="F85" s="17">
        <f t="shared" si="97"/>
        <v>0.54812575904370497</v>
      </c>
      <c r="H85" s="17">
        <f t="shared" si="98"/>
        <v>0.54812575904370497</v>
      </c>
      <c r="I85" s="17">
        <f t="shared" si="99"/>
        <v>3.0022227922043232</v>
      </c>
      <c r="J85" s="17">
        <f t="shared" si="100"/>
        <v>3.3694181405914625</v>
      </c>
      <c r="K85" s="39"/>
      <c r="L85" t="str">
        <f t="shared" si="101"/>
        <v>22 Health professionals</v>
      </c>
      <c r="M85" s="17">
        <f t="shared" si="102"/>
        <v>5.5625458457451149</v>
      </c>
      <c r="N85" s="17">
        <f t="shared" si="102"/>
        <v>11.732994310993661</v>
      </c>
      <c r="O85" s="17">
        <f t="shared" si="102"/>
        <v>1.065402688928363</v>
      </c>
      <c r="P85" s="17">
        <f t="shared" si="102"/>
        <v>0.34706807161710707</v>
      </c>
      <c r="Q85" s="17">
        <f t="shared" si="103"/>
        <v>0.5859438500393388</v>
      </c>
      <c r="S85" s="17">
        <f t="shared" si="104"/>
        <v>0.5859438500393388</v>
      </c>
      <c r="T85" s="17">
        <f t="shared" si="105"/>
        <v>2.2676009960482801</v>
      </c>
      <c r="U85" s="17">
        <f t="shared" si="106"/>
        <v>2.7006182185506988</v>
      </c>
      <c r="W85" t="str">
        <f t="shared" si="107"/>
        <v>22 Health professionals</v>
      </c>
      <c r="X85" s="17">
        <f t="shared" si="108"/>
        <v>3.1052772190464539</v>
      </c>
      <c r="Y85" s="17">
        <f t="shared" si="108"/>
        <v>-5.2165542558859412</v>
      </c>
      <c r="Z85" s="17">
        <f t="shared" si="108"/>
        <v>1.1780664567351273</v>
      </c>
      <c r="AA85" s="17">
        <f t="shared" si="108"/>
        <v>0.21263962034148154</v>
      </c>
      <c r="AB85" s="17">
        <f t="shared" si="109"/>
        <v>0.53342064893227015</v>
      </c>
      <c r="AD85" s="17">
        <f t="shared" si="110"/>
        <v>0.53342064893227015</v>
      </c>
      <c r="AE85" s="17">
        <f t="shared" si="111"/>
        <v>3.2681883565124803</v>
      </c>
      <c r="AF85" s="17">
        <f t="shared" si="112"/>
        <v>3.6130505415936653</v>
      </c>
    </row>
    <row r="86" spans="1:32" x14ac:dyDescent="0.2">
      <c r="A86" t="str">
        <f t="shared" si="95"/>
        <v>23 Teaching and other educational professionals</v>
      </c>
      <c r="B86" s="17">
        <f t="shared" si="96"/>
        <v>0.36941434335482359</v>
      </c>
      <c r="C86" s="17">
        <f t="shared" si="96"/>
        <v>6.5952351298082412</v>
      </c>
      <c r="D86" s="17">
        <f t="shared" si="96"/>
        <v>0.40194023995108186</v>
      </c>
      <c r="E86" s="17">
        <f t="shared" si="96"/>
        <v>0.69576337573356017</v>
      </c>
      <c r="F86" s="17">
        <f t="shared" si="97"/>
        <v>0.59772691405810541</v>
      </c>
      <c r="H86" s="17">
        <f t="shared" si="98"/>
        <v>0.59772691405810541</v>
      </c>
      <c r="I86" s="17">
        <f t="shared" si="99"/>
        <v>2.8983594644804045</v>
      </c>
      <c r="J86" s="17">
        <f t="shared" si="100"/>
        <v>3.3048011513178155</v>
      </c>
      <c r="K86" s="39"/>
      <c r="L86" t="str">
        <f t="shared" si="101"/>
        <v>23 Teaching and other educational professionals</v>
      </c>
      <c r="M86" s="17">
        <f t="shared" si="102"/>
        <v>-0.91811593675562575</v>
      </c>
      <c r="N86" s="17">
        <f t="shared" si="102"/>
        <v>11.160849132461937</v>
      </c>
      <c r="O86" s="17">
        <f t="shared" si="102"/>
        <v>1.4654016701965311</v>
      </c>
      <c r="P86" s="17">
        <f t="shared" si="102"/>
        <v>0.75002771157730574</v>
      </c>
      <c r="Q86" s="17">
        <f t="shared" si="103"/>
        <v>0.98792352461478661</v>
      </c>
      <c r="S86" s="17">
        <f t="shared" si="104"/>
        <v>0.98792352461478661</v>
      </c>
      <c r="T86" s="17">
        <f t="shared" si="105"/>
        <v>2.595783025339915</v>
      </c>
      <c r="U86" s="17">
        <f t="shared" si="106"/>
        <v>3.3007675924290325</v>
      </c>
      <c r="W86" t="str">
        <f t="shared" si="107"/>
        <v>23 Teaching and other educational professionals</v>
      </c>
      <c r="X86" s="17">
        <f t="shared" si="108"/>
        <v>0.99335536405660285</v>
      </c>
      <c r="Y86" s="17">
        <f t="shared" si="108"/>
        <v>4.4861015018759387</v>
      </c>
      <c r="Z86" s="17">
        <f t="shared" si="108"/>
        <v>-0.13768000202667441</v>
      </c>
      <c r="AA86" s="17">
        <f t="shared" si="108"/>
        <v>0.66677590638002382</v>
      </c>
      <c r="AB86" s="17">
        <f t="shared" si="109"/>
        <v>0.39790645668797975</v>
      </c>
      <c r="AD86" s="17">
        <f t="shared" si="110"/>
        <v>0.39790645668797975</v>
      </c>
      <c r="AE86" s="17">
        <f t="shared" si="111"/>
        <v>3.0426204349197405</v>
      </c>
      <c r="AF86" s="17">
        <f t="shared" si="112"/>
        <v>3.306782722263546</v>
      </c>
    </row>
    <row r="87" spans="1:32" x14ac:dyDescent="0.2">
      <c r="A87" t="str">
        <f t="shared" si="95"/>
        <v>24 Business, media and public service professionals</v>
      </c>
      <c r="B87" s="17">
        <f t="shared" si="96"/>
        <v>4.6696425329796565</v>
      </c>
      <c r="C87" s="17">
        <f t="shared" si="96"/>
        <v>5.0467542225271389</v>
      </c>
      <c r="D87" s="17">
        <f t="shared" si="96"/>
        <v>2.6152413833193</v>
      </c>
      <c r="E87" s="17">
        <f t="shared" si="96"/>
        <v>0.92876424389716217</v>
      </c>
      <c r="F87" s="17">
        <f t="shared" si="97"/>
        <v>1.487820890278968</v>
      </c>
      <c r="H87" s="17">
        <f t="shared" si="98"/>
        <v>1.487820890278968</v>
      </c>
      <c r="I87" s="17">
        <f t="shared" si="99"/>
        <v>2.9925454984681243</v>
      </c>
      <c r="J87" s="17">
        <f t="shared" si="100"/>
        <v>4.0127594351283769</v>
      </c>
      <c r="K87" s="39"/>
      <c r="L87" t="str">
        <f t="shared" si="101"/>
        <v>24 Business, media and public service professionals</v>
      </c>
      <c r="M87" s="17">
        <f t="shared" si="102"/>
        <v>4.1914881360893164</v>
      </c>
      <c r="N87" s="17">
        <f t="shared" si="102"/>
        <v>2.2815951019756975</v>
      </c>
      <c r="O87" s="17">
        <f t="shared" si="102"/>
        <v>2.6950012688181868</v>
      </c>
      <c r="P87" s="17">
        <f t="shared" si="102"/>
        <v>0.79874865873159617</v>
      </c>
      <c r="Q87" s="17">
        <f t="shared" si="103"/>
        <v>1.4269101298561404</v>
      </c>
      <c r="S87" s="17">
        <f t="shared" si="104"/>
        <v>1.4269101298561404</v>
      </c>
      <c r="T87" s="17">
        <f t="shared" si="105"/>
        <v>2.7071847624492662</v>
      </c>
      <c r="U87" s="17">
        <f t="shared" si="106"/>
        <v>3.72025839636001</v>
      </c>
      <c r="W87" t="str">
        <f t="shared" si="107"/>
        <v>24 Business, media and public service professionals</v>
      </c>
      <c r="X87" s="17">
        <f t="shared" si="108"/>
        <v>5.3100646841019339</v>
      </c>
      <c r="Y87" s="17">
        <f t="shared" si="108"/>
        <v>8.6527783800486091</v>
      </c>
      <c r="Z87" s="17">
        <f t="shared" si="108"/>
        <v>2.5169859678830786</v>
      </c>
      <c r="AA87" s="17">
        <f t="shared" si="108"/>
        <v>1.087703849950894</v>
      </c>
      <c r="AB87" s="17">
        <f t="shared" si="109"/>
        <v>1.5619032887215223</v>
      </c>
      <c r="AD87" s="17">
        <f t="shared" si="110"/>
        <v>1.5619032887215223</v>
      </c>
      <c r="AE87" s="17">
        <f t="shared" si="111"/>
        <v>3.3283730035823966</v>
      </c>
      <c r="AF87" s="17">
        <f t="shared" si="112"/>
        <v>4.3567773353192729</v>
      </c>
    </row>
    <row r="88" spans="1:32" x14ac:dyDescent="0.2">
      <c r="A88" t="str">
        <f t="shared" si="95"/>
        <v>31 Science, engineering and technology associate professionals</v>
      </c>
      <c r="B88" s="17">
        <f t="shared" si="96"/>
        <v>4.9362044623008972</v>
      </c>
      <c r="C88" s="17">
        <f t="shared" si="96"/>
        <v>6.1718855007941276</v>
      </c>
      <c r="D88" s="17">
        <f t="shared" si="96"/>
        <v>-1.7828527803636973</v>
      </c>
      <c r="E88" s="17">
        <f t="shared" si="96"/>
        <v>0.73793866905318417</v>
      </c>
      <c r="F88" s="17">
        <f t="shared" si="97"/>
        <v>-0.10943294985110708</v>
      </c>
      <c r="H88" s="17">
        <f t="shared" si="98"/>
        <v>-0.10943294985110708</v>
      </c>
      <c r="I88" s="17">
        <f t="shared" si="99"/>
        <v>2.2717466807300912</v>
      </c>
      <c r="J88" s="17">
        <f t="shared" si="100"/>
        <v>2.1920182340574357</v>
      </c>
      <c r="K88" s="39"/>
      <c r="L88" t="str">
        <f t="shared" si="101"/>
        <v>31 Science, engineering and technology associate professionals</v>
      </c>
      <c r="M88" s="17">
        <f t="shared" si="102"/>
        <v>6.0774275204579231</v>
      </c>
      <c r="N88" s="17">
        <f t="shared" si="102"/>
        <v>0.55673229872319485</v>
      </c>
      <c r="O88" s="17">
        <f t="shared" si="102"/>
        <v>-3.4342516947442392</v>
      </c>
      <c r="P88" s="17">
        <f t="shared" si="102"/>
        <v>0.19517434440665671</v>
      </c>
      <c r="Q88" s="17">
        <f t="shared" si="103"/>
        <v>-1.029543459614668</v>
      </c>
      <c r="S88" s="17">
        <f t="shared" si="104"/>
        <v>-1.029543459614668</v>
      </c>
      <c r="T88" s="17">
        <f t="shared" si="105"/>
        <v>1.8450962040255758</v>
      </c>
      <c r="U88" s="17">
        <f t="shared" si="106"/>
        <v>1.062256942966</v>
      </c>
      <c r="W88" t="str">
        <f t="shared" si="107"/>
        <v>31 Science, engineering and technology associate professionals</v>
      </c>
      <c r="X88" s="17">
        <f t="shared" si="108"/>
        <v>2.5938070502949051</v>
      </c>
      <c r="Y88" s="17">
        <f t="shared" si="108"/>
        <v>18.703666551829691</v>
      </c>
      <c r="Z88" s="17">
        <f t="shared" si="108"/>
        <v>1.0659139896538994</v>
      </c>
      <c r="AA88" s="17">
        <f t="shared" si="108"/>
        <v>1.5084868780369964</v>
      </c>
      <c r="AB88" s="17">
        <f t="shared" si="109"/>
        <v>1.3607476610915326</v>
      </c>
      <c r="AD88" s="17">
        <f t="shared" si="110"/>
        <v>1.3607476610915326</v>
      </c>
      <c r="AE88" s="17">
        <f t="shared" si="111"/>
        <v>3.0160904390441168</v>
      </c>
      <c r="AF88" s="17">
        <f t="shared" si="112"/>
        <v>3.9436857408598369</v>
      </c>
    </row>
    <row r="89" spans="1:32" x14ac:dyDescent="0.2">
      <c r="A89" t="str">
        <f t="shared" si="95"/>
        <v>32 Health and social care associate professionals</v>
      </c>
      <c r="B89" s="17">
        <f t="shared" si="96"/>
        <v>2.8988429222896572</v>
      </c>
      <c r="C89" s="17">
        <f t="shared" si="96"/>
        <v>1.2383314584269334</v>
      </c>
      <c r="D89" s="17">
        <f t="shared" si="96"/>
        <v>-9.6086661739069879E-2</v>
      </c>
      <c r="E89" s="17">
        <f t="shared" si="96"/>
        <v>0.35075943856794911</v>
      </c>
      <c r="F89" s="17">
        <f t="shared" si="97"/>
        <v>0.20158910823686593</v>
      </c>
      <c r="H89" s="17">
        <f t="shared" si="98"/>
        <v>0.20158910823686593</v>
      </c>
      <c r="I89" s="17">
        <f t="shared" si="99"/>
        <v>3.0463455602504963</v>
      </c>
      <c r="J89" s="17">
        <f t="shared" si="100"/>
        <v>3.1794578513740124</v>
      </c>
      <c r="K89" s="39"/>
      <c r="L89" t="str">
        <f t="shared" si="101"/>
        <v>32 Health and social care associate professionals</v>
      </c>
      <c r="M89" s="17">
        <f t="shared" si="102"/>
        <v>2.4731626881184132</v>
      </c>
      <c r="N89" s="17">
        <f t="shared" si="102"/>
        <v>9.8405456980170456</v>
      </c>
      <c r="O89" s="17">
        <f t="shared" si="102"/>
        <v>-2.0484872033926127</v>
      </c>
      <c r="P89" s="17">
        <f t="shared" si="102"/>
        <v>0.11950784595982089</v>
      </c>
      <c r="Q89" s="17">
        <f t="shared" si="103"/>
        <v>-0.60843705573574436</v>
      </c>
      <c r="S89" s="17">
        <f t="shared" si="104"/>
        <v>-0.60843705573574436</v>
      </c>
      <c r="T89" s="17">
        <f t="shared" si="105"/>
        <v>2.4204294221642275</v>
      </c>
      <c r="U89" s="17">
        <f t="shared" si="106"/>
        <v>1.9907852381569446</v>
      </c>
      <c r="W89" t="str">
        <f t="shared" si="107"/>
        <v>32 Health and social care associate professionals</v>
      </c>
      <c r="X89" s="17">
        <f t="shared" si="108"/>
        <v>3.0443944999687833</v>
      </c>
      <c r="Y89" s="17">
        <f t="shared" si="108"/>
        <v>-1.6623763659590063</v>
      </c>
      <c r="Z89" s="17">
        <f t="shared" si="108"/>
        <v>0.60129245202629189</v>
      </c>
      <c r="AA89" s="17">
        <f t="shared" si="108"/>
        <v>0.42593826496144516</v>
      </c>
      <c r="AB89" s="17">
        <f t="shared" si="109"/>
        <v>0.48435567286426728</v>
      </c>
      <c r="AD89" s="17">
        <f t="shared" si="110"/>
        <v>0.48435567286426728</v>
      </c>
      <c r="AE89" s="17">
        <f t="shared" si="111"/>
        <v>3.2689340598534899</v>
      </c>
      <c r="AF89" s="17">
        <f t="shared" si="112"/>
        <v>3.5816454009002907</v>
      </c>
    </row>
    <row r="90" spans="1:32" x14ac:dyDescent="0.2">
      <c r="A90" t="str">
        <f t="shared" si="95"/>
        <v>33 Protective service occupations</v>
      </c>
      <c r="B90" s="17">
        <f t="shared" si="96"/>
        <v>1.5885623643400182</v>
      </c>
      <c r="C90" s="17">
        <f t="shared" si="96"/>
        <v>7.1692255840424046</v>
      </c>
      <c r="D90" s="17">
        <f t="shared" si="96"/>
        <v>3.2716440455044404</v>
      </c>
      <c r="E90" s="17">
        <f t="shared" si="96"/>
        <v>1.3283459882862836</v>
      </c>
      <c r="F90" s="17">
        <f t="shared" si="97"/>
        <v>1.9720145703349345</v>
      </c>
      <c r="H90" s="17">
        <f t="shared" si="98"/>
        <v>1.9720145703349345</v>
      </c>
      <c r="I90" s="17">
        <f t="shared" si="99"/>
        <v>2.3924854908041304</v>
      </c>
      <c r="J90" s="17">
        <f t="shared" si="100"/>
        <v>3.8643083033443881</v>
      </c>
      <c r="K90" s="39"/>
      <c r="L90" t="str">
        <f t="shared" si="101"/>
        <v>33 Protective service occupations</v>
      </c>
      <c r="M90" s="17">
        <f t="shared" si="102"/>
        <v>1.0877183356561959</v>
      </c>
      <c r="N90" s="17">
        <f t="shared" si="102"/>
        <v>4.9869702324667253</v>
      </c>
      <c r="O90" s="17">
        <f t="shared" si="102"/>
        <v>2.2624176560811504</v>
      </c>
      <c r="P90" s="17">
        <f t="shared" si="102"/>
        <v>0.70749247194048515</v>
      </c>
      <c r="Q90" s="17">
        <f t="shared" si="103"/>
        <v>1.2231559524327418</v>
      </c>
      <c r="S90" s="17">
        <f t="shared" si="104"/>
        <v>1.2231559524327418</v>
      </c>
      <c r="T90" s="17">
        <f t="shared" si="105"/>
        <v>1.9188226632349092</v>
      </c>
      <c r="U90" s="17">
        <f t="shared" si="106"/>
        <v>2.8754094192323443</v>
      </c>
      <c r="W90" t="str">
        <f t="shared" si="107"/>
        <v>33 Protective service occupations</v>
      </c>
      <c r="X90" s="17">
        <f t="shared" si="108"/>
        <v>3.1559731273964831</v>
      </c>
      <c r="Y90" s="17">
        <f t="shared" si="108"/>
        <v>13.662338071971236</v>
      </c>
      <c r="Z90" s="17">
        <f t="shared" si="108"/>
        <v>5.8587227127736785</v>
      </c>
      <c r="AA90" s="17">
        <f t="shared" si="108"/>
        <v>2.6451652700265171</v>
      </c>
      <c r="AB90" s="17">
        <f t="shared" si="109"/>
        <v>3.7053628529240656</v>
      </c>
      <c r="AD90" s="17">
        <f t="shared" si="110"/>
        <v>3.7053628529240656</v>
      </c>
      <c r="AE90" s="17">
        <f t="shared" si="111"/>
        <v>3.5557208580157207</v>
      </c>
      <c r="AF90" s="17">
        <f t="shared" si="112"/>
        <v>6.0537147393424418</v>
      </c>
    </row>
    <row r="91" spans="1:32" x14ac:dyDescent="0.2">
      <c r="A91" t="str">
        <f t="shared" si="95"/>
        <v>34 Culture, media and sports occupations</v>
      </c>
      <c r="B91" s="17">
        <f t="shared" si="96"/>
        <v>-1.2459038070165573</v>
      </c>
      <c r="C91" s="17">
        <f t="shared" si="96"/>
        <v>15.016227343463928</v>
      </c>
      <c r="D91" s="17">
        <f t="shared" si="96"/>
        <v>0.68987798600099737</v>
      </c>
      <c r="E91" s="17">
        <f t="shared" si="96"/>
        <v>0.96624034071990383</v>
      </c>
      <c r="F91" s="17">
        <f t="shared" si="97"/>
        <v>0.87403537750601057</v>
      </c>
      <c r="H91" s="17">
        <f t="shared" si="98"/>
        <v>0.87403537750601057</v>
      </c>
      <c r="I91" s="17">
        <f t="shared" si="99"/>
        <v>2.7316098972272052</v>
      </c>
      <c r="J91" s="17">
        <f t="shared" si="100"/>
        <v>3.3429114928197112</v>
      </c>
      <c r="K91" s="39"/>
      <c r="L91" t="str">
        <f t="shared" si="101"/>
        <v>34 Culture, media and sports occupations</v>
      </c>
      <c r="M91" s="17">
        <f t="shared" si="102"/>
        <v>-2.0384553176612696</v>
      </c>
      <c r="N91" s="17">
        <f t="shared" si="102"/>
        <v>10.540493666113315</v>
      </c>
      <c r="O91" s="17">
        <f t="shared" si="102"/>
        <v>0.99250457463371244</v>
      </c>
      <c r="P91" s="17">
        <f t="shared" si="102"/>
        <v>0.95919395616925751</v>
      </c>
      <c r="Q91" s="17">
        <f t="shared" si="103"/>
        <v>0.97029627470870405</v>
      </c>
      <c r="S91" s="17">
        <f t="shared" si="104"/>
        <v>0.97029627470870405</v>
      </c>
      <c r="T91" s="17">
        <f t="shared" si="105"/>
        <v>2.4462646425236656</v>
      </c>
      <c r="U91" s="17">
        <f t="shared" si="106"/>
        <v>3.1519818613515493</v>
      </c>
      <c r="W91" t="str">
        <f t="shared" si="107"/>
        <v>34 Culture, media and sports occupations</v>
      </c>
      <c r="X91" s="17">
        <f t="shared" si="108"/>
        <v>-0.20718243139903336</v>
      </c>
      <c r="Y91" s="17">
        <f t="shared" si="108"/>
        <v>20.616881421631984</v>
      </c>
      <c r="Z91" s="17">
        <f t="shared" si="108"/>
        <v>0.33828644118838458</v>
      </c>
      <c r="AA91" s="17">
        <f t="shared" si="108"/>
        <v>0.9745823104492457</v>
      </c>
      <c r="AB91" s="17">
        <f t="shared" si="109"/>
        <v>0.76203660475424595</v>
      </c>
      <c r="AD91" s="17">
        <f t="shared" si="110"/>
        <v>0.76203660475424595</v>
      </c>
      <c r="AE91" s="17">
        <f t="shared" si="111"/>
        <v>3.0457436040259855</v>
      </c>
      <c r="AF91" s="17">
        <f t="shared" si="112"/>
        <v>3.5559583886378032</v>
      </c>
    </row>
    <row r="92" spans="1:32" x14ac:dyDescent="0.2">
      <c r="A92" t="str">
        <f t="shared" si="95"/>
        <v>35 Business and public service associate professionals</v>
      </c>
      <c r="B92" s="17">
        <f t="shared" si="96"/>
        <v>1.9561071141519282</v>
      </c>
      <c r="C92" s="17">
        <f t="shared" si="96"/>
        <v>1.1205076483310927</v>
      </c>
      <c r="D92" s="17">
        <f t="shared" si="96"/>
        <v>-0.5300948972729036</v>
      </c>
      <c r="E92" s="17">
        <f t="shared" si="96"/>
        <v>0.33608564760254644</v>
      </c>
      <c r="F92" s="17">
        <f t="shared" si="97"/>
        <v>4.652395193225356E-2</v>
      </c>
      <c r="H92" s="17">
        <f t="shared" si="98"/>
        <v>4.652395193225356E-2</v>
      </c>
      <c r="I92" s="17">
        <f t="shared" si="99"/>
        <v>2.5508673565329154</v>
      </c>
      <c r="J92" s="17">
        <f t="shared" si="100"/>
        <v>2.5835991798627278</v>
      </c>
      <c r="K92" s="39"/>
      <c r="L92" t="str">
        <f t="shared" si="101"/>
        <v>35 Business and public service associate professionals</v>
      </c>
      <c r="M92" s="17">
        <f t="shared" si="102"/>
        <v>1.5920630205632724</v>
      </c>
      <c r="N92" s="17">
        <f t="shared" si="102"/>
        <v>1.4174237636096043</v>
      </c>
      <c r="O92" s="17">
        <f t="shared" si="102"/>
        <v>-1.0133691875799489</v>
      </c>
      <c r="P92" s="17">
        <f t="shared" si="102"/>
        <v>9.5623673828693079E-2</v>
      </c>
      <c r="Q92" s="17">
        <f t="shared" si="103"/>
        <v>-0.27541429039965593</v>
      </c>
      <c r="S92" s="17">
        <f t="shared" si="104"/>
        <v>-0.27541429039965593</v>
      </c>
      <c r="T92" s="17">
        <f t="shared" si="105"/>
        <v>2.1717253961355931</v>
      </c>
      <c r="U92" s="17">
        <f t="shared" si="106"/>
        <v>1.9689447881438671</v>
      </c>
      <c r="W92" t="str">
        <f t="shared" si="107"/>
        <v>35 Business and public service associate professionals</v>
      </c>
      <c r="X92" s="17">
        <f t="shared" si="108"/>
        <v>2.3780437651649944</v>
      </c>
      <c r="Y92" s="17">
        <f t="shared" si="108"/>
        <v>0.78294019250644276</v>
      </c>
      <c r="Z92" s="17">
        <f t="shared" si="108"/>
        <v>1.1527360262442166E-2</v>
      </c>
      <c r="AA92" s="17">
        <f t="shared" si="108"/>
        <v>0.59163186575230675</v>
      </c>
      <c r="AB92" s="17">
        <f t="shared" si="109"/>
        <v>0.39789078843326386</v>
      </c>
      <c r="AD92" s="17">
        <f t="shared" si="110"/>
        <v>0.39789078843326386</v>
      </c>
      <c r="AE92" s="17">
        <f t="shared" si="111"/>
        <v>2.9618520446385466</v>
      </c>
      <c r="AF92" s="17">
        <f t="shared" si="112"/>
        <v>3.2288637401050924</v>
      </c>
    </row>
    <row r="93" spans="1:32" x14ac:dyDescent="0.2">
      <c r="A93" t="str">
        <f t="shared" si="95"/>
        <v>41 Administrative occupations</v>
      </c>
      <c r="B93" s="17">
        <f t="shared" si="96"/>
        <v>-0.51001499538015915</v>
      </c>
      <c r="C93" s="17">
        <f t="shared" si="96"/>
        <v>3.0366284303158908</v>
      </c>
      <c r="D93" s="17">
        <f t="shared" si="96"/>
        <v>-1.9542938704031787</v>
      </c>
      <c r="E93" s="17">
        <f t="shared" si="96"/>
        <v>-0.85481331323397081</v>
      </c>
      <c r="F93" s="17">
        <f t="shared" si="97"/>
        <v>-1.2226699966289556</v>
      </c>
      <c r="H93" s="17">
        <f t="shared" si="98"/>
        <v>-1.2226699966289556</v>
      </c>
      <c r="I93" s="17">
        <f t="shared" si="99"/>
        <v>2.5213643093720428</v>
      </c>
      <c r="J93" s="17">
        <f t="shared" si="100"/>
        <v>1.6822255021915922</v>
      </c>
      <c r="K93" s="39"/>
      <c r="L93" t="str">
        <f t="shared" si="101"/>
        <v>41 Administrative occupations</v>
      </c>
      <c r="M93" s="17">
        <f t="shared" si="102"/>
        <v>-0.66869435022884893</v>
      </c>
      <c r="N93" s="17">
        <f t="shared" si="102"/>
        <v>15.95138386894217</v>
      </c>
      <c r="O93" s="17">
        <f t="shared" si="102"/>
        <v>-1.7512861569403348</v>
      </c>
      <c r="P93" s="17">
        <f t="shared" si="102"/>
        <v>0.14234067395855199</v>
      </c>
      <c r="Q93" s="17">
        <f t="shared" si="103"/>
        <v>-0.49288918394527759</v>
      </c>
      <c r="S93" s="17">
        <f t="shared" si="104"/>
        <v>-0.49288918394527759</v>
      </c>
      <c r="T93" s="17">
        <f t="shared" si="105"/>
        <v>2.0024778947365984</v>
      </c>
      <c r="U93" s="17">
        <f t="shared" si="106"/>
        <v>1.6324174451186613</v>
      </c>
      <c r="W93" t="str">
        <f t="shared" si="107"/>
        <v>41 Administrative occupations</v>
      </c>
      <c r="X93" s="17">
        <f t="shared" si="108"/>
        <v>-0.4535854723696997</v>
      </c>
      <c r="Y93" s="17">
        <f t="shared" si="108"/>
        <v>-1.5313373313656675</v>
      </c>
      <c r="Z93" s="17">
        <f t="shared" si="108"/>
        <v>-2.0393447884618721</v>
      </c>
      <c r="AA93" s="17">
        <f t="shared" si="108"/>
        <v>-1.3049513542324198</v>
      </c>
      <c r="AB93" s="17">
        <f t="shared" si="109"/>
        <v>-1.5503588713311034</v>
      </c>
      <c r="AD93" s="17">
        <f t="shared" si="110"/>
        <v>-1.5503588713311034</v>
      </c>
      <c r="AE93" s="17">
        <f t="shared" si="111"/>
        <v>2.7270743717021206</v>
      </c>
      <c r="AF93" s="17">
        <f t="shared" si="112"/>
        <v>1.7028701882144892</v>
      </c>
    </row>
    <row r="94" spans="1:32" x14ac:dyDescent="0.2">
      <c r="A94" t="str">
        <f t="shared" si="95"/>
        <v>42 Secretarial and related occupations</v>
      </c>
      <c r="B94" s="17">
        <f t="shared" si="96"/>
        <v>-2.2016718351281717</v>
      </c>
      <c r="C94" s="17">
        <f t="shared" si="96"/>
        <v>-4.7947916325508544</v>
      </c>
      <c r="D94" s="17">
        <f t="shared" si="96"/>
        <v>-0.12939652813469538</v>
      </c>
      <c r="E94" s="17">
        <f t="shared" si="96"/>
        <v>-1.148714303670495</v>
      </c>
      <c r="F94" s="17">
        <f t="shared" si="97"/>
        <v>-0.81010293674509404</v>
      </c>
      <c r="H94" s="17">
        <f t="shared" si="98"/>
        <v>-0.81010293674509404</v>
      </c>
      <c r="I94" s="17">
        <f t="shared" si="99"/>
        <v>2.8979514088911085</v>
      </c>
      <c r="J94" s="17">
        <f t="shared" si="100"/>
        <v>2.3657937041720922</v>
      </c>
      <c r="K94" s="39"/>
      <c r="L94" t="str">
        <f t="shared" si="101"/>
        <v>42 Secretarial and related occupations</v>
      </c>
      <c r="M94" s="17">
        <f t="shared" si="102"/>
        <v>-4.800104291178986</v>
      </c>
      <c r="N94" s="17">
        <f t="shared" si="102"/>
        <v>-9.2328520923388719</v>
      </c>
      <c r="O94" s="17">
        <f t="shared" si="102"/>
        <v>4.5708516371680608</v>
      </c>
      <c r="P94" s="17">
        <f t="shared" si="102"/>
        <v>1.1166289545095687</v>
      </c>
      <c r="Q94" s="17">
        <f t="shared" si="103"/>
        <v>2.2551688176151163</v>
      </c>
      <c r="S94" s="17">
        <f t="shared" si="104"/>
        <v>2.2551688176151163</v>
      </c>
      <c r="T94" s="17">
        <f t="shared" si="105"/>
        <v>2.3130050216114251</v>
      </c>
      <c r="U94" s="17">
        <f t="shared" si="106"/>
        <v>4.0211049135201682</v>
      </c>
      <c r="W94" t="str">
        <f t="shared" si="107"/>
        <v>42 Secretarial and related occupations</v>
      </c>
      <c r="X94" s="17">
        <f t="shared" si="108"/>
        <v>-2.0621771644039777</v>
      </c>
      <c r="Y94" s="17">
        <f t="shared" si="108"/>
        <v>-4.5729422587889257</v>
      </c>
      <c r="Z94" s="17">
        <f t="shared" si="108"/>
        <v>-0.37614416480618029</v>
      </c>
      <c r="AA94" s="17">
        <f t="shared" si="108"/>
        <v>-1.3020782382925478</v>
      </c>
      <c r="AB94" s="17">
        <f t="shared" si="109"/>
        <v>-0.99439373079101001</v>
      </c>
      <c r="AD94" s="17">
        <f t="shared" si="110"/>
        <v>-0.99439373079101001</v>
      </c>
      <c r="AE94" s="17">
        <f t="shared" si="111"/>
        <v>2.9246353635213662</v>
      </c>
      <c r="AF94" s="17">
        <f t="shared" si="112"/>
        <v>2.2769869429499767</v>
      </c>
    </row>
    <row r="95" spans="1:32" x14ac:dyDescent="0.2">
      <c r="A95" t="str">
        <f t="shared" si="95"/>
        <v>51 Skilled agricultural and related trades</v>
      </c>
      <c r="B95" s="17">
        <f t="shared" si="96"/>
        <v>0.16053093643320082</v>
      </c>
      <c r="C95" s="17">
        <f t="shared" si="96"/>
        <v>-4.6815715826336035</v>
      </c>
      <c r="D95" s="17">
        <f t="shared" si="96"/>
        <v>1.5278817849579518</v>
      </c>
      <c r="E95" s="17">
        <f t="shared" si="96"/>
        <v>1.7840009528692802</v>
      </c>
      <c r="F95" s="17">
        <f t="shared" si="97"/>
        <v>1.6985561885287215</v>
      </c>
      <c r="H95" s="17">
        <f t="shared" si="98"/>
        <v>1.6985561885287215</v>
      </c>
      <c r="I95" s="17">
        <f t="shared" si="99"/>
        <v>3.7758437449098903</v>
      </c>
      <c r="J95" s="17">
        <f t="shared" si="100"/>
        <v>4.836904139569409</v>
      </c>
      <c r="K95" s="39"/>
      <c r="L95" t="str">
        <f t="shared" si="101"/>
        <v>51 Skilled agricultural and related trades</v>
      </c>
      <c r="M95" s="17">
        <f t="shared" si="102"/>
        <v>0.78197283477121626</v>
      </c>
      <c r="N95" s="17">
        <f t="shared" si="102"/>
        <v>-14.912977290910234</v>
      </c>
      <c r="O95" s="17">
        <f t="shared" si="102"/>
        <v>0.48865634440689032</v>
      </c>
      <c r="P95" s="17">
        <f t="shared" si="102"/>
        <v>1.1912031206582574</v>
      </c>
      <c r="Q95" s="17">
        <f t="shared" si="103"/>
        <v>0.95647680431452109</v>
      </c>
      <c r="S95" s="17">
        <f t="shared" si="104"/>
        <v>0.95647680431452109</v>
      </c>
      <c r="T95" s="17">
        <f t="shared" si="105"/>
        <v>3.4211458895734292</v>
      </c>
      <c r="U95" s="17">
        <f t="shared" si="106"/>
        <v>4.0339863257782271</v>
      </c>
      <c r="W95" t="str">
        <f t="shared" si="107"/>
        <v>51 Skilled agricultural and related trades</v>
      </c>
      <c r="X95" s="17">
        <f t="shared" si="108"/>
        <v>-3.60367454957633</v>
      </c>
      <c r="Y95" s="17">
        <f t="shared" si="108"/>
        <v>64.645341642059478</v>
      </c>
      <c r="Z95" s="17">
        <f t="shared" si="108"/>
        <v>4.8663227391780861</v>
      </c>
      <c r="AA95" s="17">
        <f t="shared" si="108"/>
        <v>3.3106712704436658</v>
      </c>
      <c r="AB95" s="17">
        <f t="shared" si="109"/>
        <v>3.8266405407723747</v>
      </c>
      <c r="AD95" s="17">
        <f t="shared" si="110"/>
        <v>3.8266405407723747</v>
      </c>
      <c r="AE95" s="17">
        <f t="shared" si="111"/>
        <v>4.8993426953956254</v>
      </c>
      <c r="AF95" s="17">
        <f t="shared" si="112"/>
        <v>7.1196366759215035</v>
      </c>
    </row>
    <row r="96" spans="1:32" x14ac:dyDescent="0.2">
      <c r="A96" t="str">
        <f t="shared" si="95"/>
        <v>52 Skilled metal, electrical and electronic trades</v>
      </c>
      <c r="B96" s="17">
        <f t="shared" si="96"/>
        <v>1.3179856794889977</v>
      </c>
      <c r="C96" s="17">
        <f t="shared" si="96"/>
        <v>-12.021922582818423</v>
      </c>
      <c r="D96" s="17">
        <f t="shared" si="96"/>
        <v>0.80951667361213175</v>
      </c>
      <c r="E96" s="17">
        <f t="shared" si="96"/>
        <v>-0.33154702398644487</v>
      </c>
      <c r="F96" s="17">
        <f t="shared" si="97"/>
        <v>4.7365195685378225E-2</v>
      </c>
      <c r="H96" s="17">
        <f t="shared" si="98"/>
        <v>4.7365195685378225E-2</v>
      </c>
      <c r="I96" s="17">
        <f t="shared" si="99"/>
        <v>2.3065924561119555</v>
      </c>
      <c r="J96" s="17">
        <f t="shared" si="100"/>
        <v>2.3410453016768917</v>
      </c>
      <c r="K96" s="39"/>
      <c r="L96" t="str">
        <f t="shared" si="101"/>
        <v>52 Skilled metal, electrical and electronic trades</v>
      </c>
      <c r="M96" s="17">
        <f t="shared" si="102"/>
        <v>0.92013299960564954</v>
      </c>
      <c r="N96" s="17">
        <f t="shared" si="102"/>
        <v>-11.577222548282673</v>
      </c>
      <c r="O96" s="17">
        <f t="shared" si="102"/>
        <v>-7.3245991018577872E-2</v>
      </c>
      <c r="P96" s="17">
        <f t="shared" si="102"/>
        <v>-0.46892844373511711</v>
      </c>
      <c r="Q96" s="17">
        <f t="shared" si="103"/>
        <v>-0.33720868809610227</v>
      </c>
      <c r="S96" s="17">
        <f t="shared" si="104"/>
        <v>-0.33720868809610227</v>
      </c>
      <c r="T96" s="17">
        <f t="shared" si="105"/>
        <v>2.143518859880067</v>
      </c>
      <c r="U96" s="17">
        <f t="shared" si="106"/>
        <v>1.8945647190994785</v>
      </c>
      <c r="W96" t="str">
        <f t="shared" si="107"/>
        <v>52 Skilled metal, electrical and electronic trades</v>
      </c>
      <c r="X96" s="17">
        <f t="shared" si="108"/>
        <v>14.103820519211553</v>
      </c>
      <c r="Y96" s="17">
        <f t="shared" si="108"/>
        <v>-22.628858578762845</v>
      </c>
      <c r="Z96" s="17">
        <f t="shared" si="108"/>
        <v>17.73469336564024</v>
      </c>
      <c r="AA96" s="17">
        <f t="shared" si="108"/>
        <v>1.197631552488887</v>
      </c>
      <c r="AB96" s="17">
        <f t="shared" si="109"/>
        <v>6.4343268766864581</v>
      </c>
      <c r="AD96" s="17">
        <f t="shared" si="110"/>
        <v>6.4343268766864581</v>
      </c>
      <c r="AE96" s="17">
        <f t="shared" si="111"/>
        <v>5.7563179976092504</v>
      </c>
      <c r="AF96" s="17">
        <f t="shared" si="112"/>
        <v>9.4286958961724778</v>
      </c>
    </row>
    <row r="97" spans="1:32" x14ac:dyDescent="0.2">
      <c r="A97" t="str">
        <f t="shared" si="95"/>
        <v>53 Skilled construction and building trades</v>
      </c>
      <c r="B97" s="17">
        <f t="shared" si="96"/>
        <v>-3.30029202472788</v>
      </c>
      <c r="C97" s="17">
        <f t="shared" si="96"/>
        <v>-21.299349295536764</v>
      </c>
      <c r="D97" s="17">
        <f t="shared" si="96"/>
        <v>2.7824430899345387</v>
      </c>
      <c r="E97" s="17">
        <f t="shared" si="96"/>
        <v>0.6561279480613802</v>
      </c>
      <c r="F97" s="17">
        <f t="shared" si="97"/>
        <v>1.3599665941593786</v>
      </c>
      <c r="H97" s="17">
        <f t="shared" si="98"/>
        <v>1.3599665941593786</v>
      </c>
      <c r="I97" s="17">
        <f t="shared" si="99"/>
        <v>2.7480144351781588</v>
      </c>
      <c r="J97" s="17">
        <f t="shared" si="100"/>
        <v>3.7072079260697777</v>
      </c>
      <c r="K97" s="39"/>
      <c r="L97" t="str">
        <f t="shared" si="101"/>
        <v>53 Skilled construction and building trades</v>
      </c>
      <c r="M97" s="17">
        <f t="shared" si="102"/>
        <v>-3.828969359751544</v>
      </c>
      <c r="N97" s="17">
        <f t="shared" si="102"/>
        <v>-21.234059309783749</v>
      </c>
      <c r="O97" s="17">
        <f t="shared" si="102"/>
        <v>2.6958945528937628</v>
      </c>
      <c r="P97" s="17">
        <f t="shared" si="102"/>
        <v>0.54225909374938652</v>
      </c>
      <c r="Q97" s="17">
        <f t="shared" si="103"/>
        <v>1.2550720183295283</v>
      </c>
      <c r="S97" s="17">
        <f t="shared" si="104"/>
        <v>1.2550720183295283</v>
      </c>
      <c r="T97" s="17">
        <f t="shared" si="105"/>
        <v>2.6913414471086528</v>
      </c>
      <c r="U97" s="17">
        <f t="shared" si="106"/>
        <v>3.5809886700968185</v>
      </c>
      <c r="W97" t="str">
        <f t="shared" si="107"/>
        <v>53 Skilled construction and building trades</v>
      </c>
      <c r="X97" s="17">
        <f t="shared" si="108"/>
        <v>11.353749202123154</v>
      </c>
      <c r="Y97" s="17">
        <f t="shared" si="108"/>
        <v>-22.569463284020706</v>
      </c>
      <c r="Z97" s="17">
        <f t="shared" si="108"/>
        <v>4.4380606951199608</v>
      </c>
      <c r="AA97" s="17">
        <f t="shared" si="108"/>
        <v>2.5487412342196203</v>
      </c>
      <c r="AB97" s="17">
        <f t="shared" si="109"/>
        <v>3.1746859260665783</v>
      </c>
      <c r="AD97" s="17">
        <f t="shared" si="110"/>
        <v>3.1746859260665783</v>
      </c>
      <c r="AE97" s="17">
        <f t="shared" si="111"/>
        <v>3.7881521649629546</v>
      </c>
      <c r="AF97" s="17">
        <f t="shared" si="112"/>
        <v>5.8457291606393458</v>
      </c>
    </row>
    <row r="98" spans="1:32" x14ac:dyDescent="0.2">
      <c r="A98" t="str">
        <f t="shared" si="95"/>
        <v>54 Textiles, printing and other skilled trades</v>
      </c>
      <c r="B98" s="17">
        <f t="shared" si="96"/>
        <v>-6.8423332723055452E-3</v>
      </c>
      <c r="C98" s="17">
        <f t="shared" si="96"/>
        <v>-12.230530410490182</v>
      </c>
      <c r="D98" s="17">
        <f t="shared" si="96"/>
        <v>0.77562805218001074</v>
      </c>
      <c r="E98" s="17">
        <f t="shared" si="96"/>
        <v>0.74367095805623062</v>
      </c>
      <c r="F98" s="17">
        <f t="shared" si="97"/>
        <v>0.75432219661022426</v>
      </c>
      <c r="H98" s="17">
        <f t="shared" si="98"/>
        <v>0.75432219661022426</v>
      </c>
      <c r="I98" s="17">
        <f t="shared" si="99"/>
        <v>2.5176375610001189</v>
      </c>
      <c r="J98" s="17">
        <f t="shared" si="100"/>
        <v>3.058807069057079</v>
      </c>
      <c r="K98" s="39"/>
      <c r="L98" t="str">
        <f t="shared" si="101"/>
        <v>54 Textiles, printing and other skilled trades</v>
      </c>
      <c r="M98" s="17">
        <f t="shared" si="102"/>
        <v>0.31398112063207861</v>
      </c>
      <c r="N98" s="17">
        <f t="shared" si="102"/>
        <v>-18.650977788811463</v>
      </c>
      <c r="O98" s="17">
        <f t="shared" si="102"/>
        <v>0.91554631210761794</v>
      </c>
      <c r="P98" s="17">
        <f t="shared" si="102"/>
        <v>0.97225039746318132</v>
      </c>
      <c r="Q98" s="17">
        <f t="shared" si="103"/>
        <v>0.95334549635923693</v>
      </c>
      <c r="S98" s="17">
        <f t="shared" si="104"/>
        <v>0.95334549635923693</v>
      </c>
      <c r="T98" s="17">
        <f t="shared" si="105"/>
        <v>2.1548519321566761</v>
      </c>
      <c r="U98" s="17">
        <f t="shared" si="106"/>
        <v>2.8747733135130682</v>
      </c>
      <c r="W98" t="str">
        <f t="shared" si="107"/>
        <v>54 Textiles, printing and other skilled trades</v>
      </c>
      <c r="X98" s="17">
        <f t="shared" si="108"/>
        <v>-0.83663319416107385</v>
      </c>
      <c r="Y98" s="17">
        <f t="shared" si="108"/>
        <v>4.8621195340227352</v>
      </c>
      <c r="Z98" s="17">
        <f t="shared" si="108"/>
        <v>0.48417391821102829</v>
      </c>
      <c r="AA98" s="17">
        <f t="shared" si="108"/>
        <v>0.24547540339772134</v>
      </c>
      <c r="AB98" s="17">
        <f t="shared" si="109"/>
        <v>0.32497850567949627</v>
      </c>
      <c r="AD98" s="17">
        <f t="shared" si="110"/>
        <v>0.32497850567949627</v>
      </c>
      <c r="AE98" s="17">
        <f t="shared" si="111"/>
        <v>3.2144598289616466</v>
      </c>
      <c r="AF98" s="17">
        <f t="shared" si="112"/>
        <v>3.4249266564867487</v>
      </c>
    </row>
    <row r="99" spans="1:32" x14ac:dyDescent="0.2">
      <c r="A99" t="str">
        <f t="shared" si="95"/>
        <v>61 Caring personal service occupations</v>
      </c>
      <c r="B99" s="17">
        <f t="shared" si="96"/>
        <v>1.1510532186058686</v>
      </c>
      <c r="C99" s="17">
        <f t="shared" si="96"/>
        <v>-4.7923390490353768</v>
      </c>
      <c r="D99" s="17">
        <f t="shared" si="96"/>
        <v>1.6247809325677265</v>
      </c>
      <c r="E99" s="17">
        <f t="shared" si="96"/>
        <v>0.54800447078575676</v>
      </c>
      <c r="F99" s="17">
        <f t="shared" si="97"/>
        <v>0.90565627312546582</v>
      </c>
      <c r="H99" s="17">
        <f t="shared" si="98"/>
        <v>0.90565627312546582</v>
      </c>
      <c r="I99" s="17">
        <f t="shared" si="99"/>
        <v>3.1625747825463124</v>
      </c>
      <c r="J99" s="17">
        <f t="shared" si="100"/>
        <v>3.761876447265311</v>
      </c>
      <c r="K99" s="39"/>
      <c r="L99" t="str">
        <f t="shared" si="101"/>
        <v>61 Caring personal service occupations</v>
      </c>
      <c r="M99" s="17">
        <f t="shared" si="102"/>
        <v>2.7143498994124382</v>
      </c>
      <c r="N99" s="17">
        <f t="shared" si="102"/>
        <v>-4.3663788158889272</v>
      </c>
      <c r="O99" s="17">
        <f t="shared" si="102"/>
        <v>4.0137393446678216</v>
      </c>
      <c r="P99" s="17">
        <f t="shared" si="102"/>
        <v>1.2696043644693678</v>
      </c>
      <c r="Q99" s="17">
        <f t="shared" si="103"/>
        <v>2.1761761207754082</v>
      </c>
      <c r="S99" s="17">
        <f t="shared" si="104"/>
        <v>2.1761761207754082</v>
      </c>
      <c r="T99" s="17">
        <f t="shared" si="105"/>
        <v>3.1047017134247845</v>
      </c>
      <c r="U99" s="17">
        <f t="shared" si="106"/>
        <v>4.5993127831238212</v>
      </c>
      <c r="W99" t="str">
        <f t="shared" si="107"/>
        <v>61 Caring personal service occupations</v>
      </c>
      <c r="X99" s="17">
        <f t="shared" si="108"/>
        <v>0.66868678008495941</v>
      </c>
      <c r="Y99" s="17">
        <f t="shared" si="108"/>
        <v>-4.930532953623656</v>
      </c>
      <c r="Z99" s="17">
        <f t="shared" si="108"/>
        <v>0.79413868129127874</v>
      </c>
      <c r="AA99" s="17">
        <f t="shared" si="108"/>
        <v>0.25964911559530623</v>
      </c>
      <c r="AB99" s="17">
        <f t="shared" si="109"/>
        <v>0.43749663934107286</v>
      </c>
      <c r="AD99" s="17">
        <f t="shared" si="110"/>
        <v>0.43749663934107286</v>
      </c>
      <c r="AE99" s="17">
        <f t="shared" si="111"/>
        <v>3.1813639470656074</v>
      </c>
      <c r="AF99" s="17">
        <f t="shared" si="112"/>
        <v>3.4667789747739208</v>
      </c>
    </row>
    <row r="100" spans="1:32" x14ac:dyDescent="0.2">
      <c r="A100" t="str">
        <f t="shared" si="95"/>
        <v>62 Leisure, travel and related personal service occupations</v>
      </c>
      <c r="B100" s="17">
        <f t="shared" si="96"/>
        <v>2.3571197618687645</v>
      </c>
      <c r="C100" s="17">
        <f t="shared" si="96"/>
        <v>-9.5284048410398938</v>
      </c>
      <c r="D100" s="17">
        <f t="shared" si="96"/>
        <v>1.2534274897578968</v>
      </c>
      <c r="E100" s="17">
        <f t="shared" si="96"/>
        <v>0.721652948993734</v>
      </c>
      <c r="F100" s="17">
        <f t="shared" si="97"/>
        <v>0.89860008763829047</v>
      </c>
      <c r="H100" s="17">
        <f t="shared" si="98"/>
        <v>0.89860008763829047</v>
      </c>
      <c r="I100" s="17">
        <f t="shared" si="99"/>
        <v>3.0043763101347487</v>
      </c>
      <c r="J100" s="17">
        <f t="shared" si="100"/>
        <v>3.6112640474815327</v>
      </c>
      <c r="K100" s="39"/>
      <c r="L100" t="str">
        <f t="shared" si="101"/>
        <v>62 Leisure, travel and related personal service occupations</v>
      </c>
      <c r="M100" s="17">
        <f t="shared" si="102"/>
        <v>3.9693667935064569</v>
      </c>
      <c r="N100" s="17">
        <f t="shared" si="102"/>
        <v>-4.2491661098652873</v>
      </c>
      <c r="O100" s="17">
        <f t="shared" si="102"/>
        <v>1.3044124698565085</v>
      </c>
      <c r="P100" s="17">
        <f t="shared" si="102"/>
        <v>0.99115846142008301</v>
      </c>
      <c r="Q100" s="17">
        <f t="shared" si="103"/>
        <v>1.0954686887619358</v>
      </c>
      <c r="S100" s="17">
        <f t="shared" si="104"/>
        <v>1.0954686887619358</v>
      </c>
      <c r="T100" s="17">
        <f t="shared" si="105"/>
        <v>2.6669694383772979</v>
      </c>
      <c r="U100" s="17">
        <f t="shared" si="106"/>
        <v>3.4432904913540563</v>
      </c>
      <c r="W100" t="str">
        <f t="shared" si="107"/>
        <v>62 Leisure, travel and related personal service occupations</v>
      </c>
      <c r="X100" s="17">
        <f t="shared" si="108"/>
        <v>1.5131339762080476</v>
      </c>
      <c r="Y100" s="17">
        <f t="shared" si="108"/>
        <v>-12.461897923676569</v>
      </c>
      <c r="Z100" s="17">
        <f t="shared" si="108"/>
        <v>1.2223886778161219</v>
      </c>
      <c r="AA100" s="17">
        <f t="shared" si="108"/>
        <v>0.5539376034947141</v>
      </c>
      <c r="AB100" s="17">
        <f t="shared" si="109"/>
        <v>0.77626270442636702</v>
      </c>
      <c r="AD100" s="17">
        <f t="shared" si="110"/>
        <v>0.77626270442636702</v>
      </c>
      <c r="AE100" s="17">
        <f t="shared" si="111"/>
        <v>3.2021353143865117</v>
      </c>
      <c r="AF100" s="17">
        <f t="shared" si="112"/>
        <v>3.7115255320939289</v>
      </c>
    </row>
    <row r="101" spans="1:32" x14ac:dyDescent="0.2">
      <c r="A101" t="str">
        <f t="shared" si="95"/>
        <v>63 Community and civil enforcement occupations</v>
      </c>
      <c r="B101" s="17">
        <f t="shared" si="96"/>
        <v>-2.4806318302663333</v>
      </c>
      <c r="C101" s="17">
        <f t="shared" si="96"/>
        <v>25.479225245176117</v>
      </c>
      <c r="D101" s="17">
        <f t="shared" si="96"/>
        <v>-3.5124829324346463</v>
      </c>
      <c r="E101" s="17">
        <f t="shared" si="96"/>
        <v>0.61118636122208247</v>
      </c>
      <c r="F101" s="17">
        <f t="shared" si="97"/>
        <v>-0.78258900030340195</v>
      </c>
      <c r="H101" s="17">
        <f t="shared" si="98"/>
        <v>-0.78258900030340195</v>
      </c>
      <c r="I101" s="17">
        <f t="shared" si="99"/>
        <v>2.5438441846310944</v>
      </c>
      <c r="J101" s="17">
        <f t="shared" si="100"/>
        <v>2.0029277880615703</v>
      </c>
      <c r="K101" s="39"/>
      <c r="L101" t="str">
        <f t="shared" si="101"/>
        <v>63 Community and civil enforcement occupations</v>
      </c>
      <c r="M101" s="17">
        <f t="shared" si="102"/>
        <v>-5.9193409941098007</v>
      </c>
      <c r="N101" s="17">
        <f t="shared" si="102"/>
        <v>48.272798538792912</v>
      </c>
      <c r="O101" s="17">
        <f t="shared" si="102"/>
        <v>-7.9313378338029423</v>
      </c>
      <c r="P101" s="17">
        <f t="shared" si="102"/>
        <v>1.2269731797935224</v>
      </c>
      <c r="Q101" s="17">
        <f t="shared" si="103"/>
        <v>-1.9227880645693585</v>
      </c>
      <c r="S101" s="17">
        <f t="shared" si="104"/>
        <v>-1.9227880645693585</v>
      </c>
      <c r="T101" s="17">
        <f t="shared" si="105"/>
        <v>1.8678280788333446</v>
      </c>
      <c r="U101" s="17">
        <f t="shared" si="106"/>
        <v>0.43509856066905606</v>
      </c>
      <c r="W101" t="str">
        <f t="shared" si="107"/>
        <v>63 Community and civil enforcement occupations</v>
      </c>
      <c r="X101" s="17">
        <f t="shared" si="108"/>
        <v>5.7722876865279771</v>
      </c>
      <c r="Y101" s="17">
        <f t="shared" si="108"/>
        <v>-15.473767495085678</v>
      </c>
      <c r="Z101" s="17">
        <f t="shared" si="108"/>
        <v>6.7620047788864657</v>
      </c>
      <c r="AA101" s="17">
        <f t="shared" si="108"/>
        <v>-0.38348856809992116</v>
      </c>
      <c r="AB101" s="17">
        <f t="shared" si="109"/>
        <v>1.9435592821052117</v>
      </c>
      <c r="AD101" s="17">
        <f t="shared" si="110"/>
        <v>1.9435592821052117</v>
      </c>
      <c r="AE101" s="17">
        <f t="shared" si="111"/>
        <v>4.3407918570242954</v>
      </c>
      <c r="AF101" s="17">
        <f t="shared" si="112"/>
        <v>5.4804053266405139</v>
      </c>
    </row>
    <row r="102" spans="1:32" x14ac:dyDescent="0.2">
      <c r="A102" t="str">
        <f t="shared" si="95"/>
        <v>71 Sales occupations</v>
      </c>
      <c r="B102" s="17">
        <f t="shared" si="96"/>
        <v>-2.775007347285996</v>
      </c>
      <c r="C102" s="17">
        <f t="shared" si="96"/>
        <v>-2.3708936189441587</v>
      </c>
      <c r="D102" s="17">
        <f t="shared" si="96"/>
        <v>-1.6300831432651597</v>
      </c>
      <c r="E102" s="17">
        <f t="shared" si="96"/>
        <v>-0.4625346813610598</v>
      </c>
      <c r="F102" s="17">
        <f t="shared" si="97"/>
        <v>-0.85324916714627497</v>
      </c>
      <c r="H102" s="17">
        <f t="shared" si="98"/>
        <v>-0.85324916714627497</v>
      </c>
      <c r="I102" s="17">
        <f t="shared" si="99"/>
        <v>2.3406707093289292</v>
      </c>
      <c r="J102" s="17">
        <f t="shared" si="100"/>
        <v>1.7345446960505218</v>
      </c>
      <c r="K102" s="39"/>
      <c r="L102" t="str">
        <f t="shared" si="101"/>
        <v>71 Sales occupations</v>
      </c>
      <c r="M102" s="17">
        <f t="shared" si="102"/>
        <v>-1.377998696175331</v>
      </c>
      <c r="N102" s="17">
        <f t="shared" si="102"/>
        <v>-2.6113151886518415</v>
      </c>
      <c r="O102" s="17">
        <f t="shared" si="102"/>
        <v>-1.2548120085189796</v>
      </c>
      <c r="P102" s="17">
        <f t="shared" si="102"/>
        <v>-8.494709385689081E-2</v>
      </c>
      <c r="Q102" s="17">
        <f t="shared" si="103"/>
        <v>-0.47643398488815825</v>
      </c>
      <c r="S102" s="17">
        <f t="shared" si="104"/>
        <v>-0.47643398488815825</v>
      </c>
      <c r="T102" s="17">
        <f t="shared" si="105"/>
        <v>1.953783697580036</v>
      </c>
      <c r="U102" s="17">
        <f t="shared" si="106"/>
        <v>1.5935030797448624</v>
      </c>
      <c r="W102" t="str">
        <f t="shared" si="107"/>
        <v>71 Sales occupations</v>
      </c>
      <c r="X102" s="17">
        <f t="shared" si="108"/>
        <v>-4.0835970009668765</v>
      </c>
      <c r="Y102" s="17">
        <f t="shared" si="108"/>
        <v>-2.1294727939553115</v>
      </c>
      <c r="Z102" s="17">
        <f t="shared" si="108"/>
        <v>-2.010867284611062</v>
      </c>
      <c r="AA102" s="17">
        <f t="shared" si="108"/>
        <v>-0.86874683361137794</v>
      </c>
      <c r="AB102" s="17">
        <f t="shared" si="109"/>
        <v>-1.2509251600257176</v>
      </c>
      <c r="AD102" s="17">
        <f t="shared" si="110"/>
        <v>-1.2509251600257176</v>
      </c>
      <c r="AE102" s="17">
        <f t="shared" si="111"/>
        <v>2.7078235895451108</v>
      </c>
      <c r="AF102" s="17">
        <f t="shared" si="112"/>
        <v>1.8727929124831011</v>
      </c>
    </row>
    <row r="103" spans="1:32" x14ac:dyDescent="0.2">
      <c r="A103" t="str">
        <f t="shared" si="95"/>
        <v>72 Customer service occupations</v>
      </c>
      <c r="B103" s="17">
        <f t="shared" si="96"/>
        <v>1.9636736778481989</v>
      </c>
      <c r="C103" s="17">
        <f t="shared" si="96"/>
        <v>0.56851436566747182</v>
      </c>
      <c r="D103" s="17">
        <f t="shared" si="96"/>
        <v>4.9286809127571107</v>
      </c>
      <c r="E103" s="17">
        <f t="shared" si="96"/>
        <v>0.86708374051727155</v>
      </c>
      <c r="F103" s="17">
        <f t="shared" si="97"/>
        <v>2.2031734214792431</v>
      </c>
      <c r="H103" s="17">
        <f t="shared" si="98"/>
        <v>2.2031734214792431</v>
      </c>
      <c r="I103" s="17">
        <f t="shared" si="99"/>
        <v>3.1396485976064481</v>
      </c>
      <c r="J103" s="17">
        <f t="shared" si="100"/>
        <v>4.6472771282477066</v>
      </c>
      <c r="K103" s="39"/>
      <c r="L103" t="str">
        <f t="shared" si="101"/>
        <v>72 Customer service occupations</v>
      </c>
      <c r="M103" s="17">
        <f t="shared" si="102"/>
        <v>-1.4897946346636326</v>
      </c>
      <c r="N103" s="17">
        <f t="shared" si="102"/>
        <v>14.469011156328349</v>
      </c>
      <c r="O103" s="17">
        <f t="shared" si="102"/>
        <v>6.1519972661278066</v>
      </c>
      <c r="P103" s="17">
        <f t="shared" si="102"/>
        <v>1.0515864369512684</v>
      </c>
      <c r="Q103" s="17">
        <f t="shared" si="103"/>
        <v>2.7238955640301876</v>
      </c>
      <c r="S103" s="17">
        <f t="shared" si="104"/>
        <v>2.7238955640301876</v>
      </c>
      <c r="T103" s="17">
        <f t="shared" si="105"/>
        <v>2.5939289459786297</v>
      </c>
      <c r="U103" s="17">
        <f t="shared" si="106"/>
        <v>4.6055752804897931</v>
      </c>
      <c r="W103" t="str">
        <f t="shared" si="107"/>
        <v>72 Customer service occupations</v>
      </c>
      <c r="X103" s="17">
        <f t="shared" si="108"/>
        <v>3.8494449663996511</v>
      </c>
      <c r="Y103" s="17">
        <f t="shared" si="108"/>
        <v>-6.0800124190907301</v>
      </c>
      <c r="Z103" s="17">
        <f t="shared" si="108"/>
        <v>4.1883629731687133</v>
      </c>
      <c r="AA103" s="17">
        <f t="shared" si="108"/>
        <v>0.74739096611446953</v>
      </c>
      <c r="AB103" s="17">
        <f t="shared" si="109"/>
        <v>1.8815656283360793</v>
      </c>
      <c r="AD103" s="17">
        <f t="shared" si="110"/>
        <v>1.8815656283360571</v>
      </c>
      <c r="AE103" s="17">
        <f t="shared" si="111"/>
        <v>3.440052042595898</v>
      </c>
      <c r="AF103" s="17">
        <f t="shared" si="112"/>
        <v>4.671479950088564</v>
      </c>
    </row>
    <row r="104" spans="1:32" x14ac:dyDescent="0.2">
      <c r="A104" t="str">
        <f t="shared" si="95"/>
        <v>81 Process, plant and machine operatives</v>
      </c>
      <c r="B104" s="17">
        <f t="shared" si="96"/>
        <v>-1.051261830314254</v>
      </c>
      <c r="C104" s="17">
        <f t="shared" si="96"/>
        <v>-8.4252747272843269</v>
      </c>
      <c r="D104" s="17">
        <f t="shared" si="96"/>
        <v>4.1611644932663117</v>
      </c>
      <c r="E104" s="17">
        <f t="shared" si="96"/>
        <v>0.72566428313007858</v>
      </c>
      <c r="F104" s="17">
        <f t="shared" si="97"/>
        <v>1.8580526599982328</v>
      </c>
      <c r="H104" s="17">
        <f t="shared" si="98"/>
        <v>1.8580526599982328</v>
      </c>
      <c r="I104" s="17">
        <f t="shared" si="99"/>
        <v>2.7845139719872014</v>
      </c>
      <c r="J104" s="17">
        <f t="shared" si="100"/>
        <v>4.10280023467684</v>
      </c>
      <c r="K104" s="39"/>
      <c r="L104" t="str">
        <f t="shared" si="101"/>
        <v>81 Process, plant and machine operatives</v>
      </c>
      <c r="M104" s="17">
        <f t="shared" si="102"/>
        <v>-1.3074335841839702</v>
      </c>
      <c r="N104" s="17">
        <f t="shared" si="102"/>
        <v>-11.010331236669968</v>
      </c>
      <c r="O104" s="17">
        <f t="shared" si="102"/>
        <v>3.6411711375937683</v>
      </c>
      <c r="P104" s="17">
        <f t="shared" si="102"/>
        <v>0.35696660315607254</v>
      </c>
      <c r="Q104" s="17">
        <f t="shared" si="103"/>
        <v>1.4399721170021085</v>
      </c>
      <c r="S104" s="17">
        <f t="shared" si="104"/>
        <v>1.4399721170021085</v>
      </c>
      <c r="T104" s="17">
        <f t="shared" si="105"/>
        <v>2.4779865424543912</v>
      </c>
      <c r="U104" s="17">
        <f t="shared" si="106"/>
        <v>3.5307328239561508</v>
      </c>
      <c r="W104" t="str">
        <f t="shared" si="107"/>
        <v>81 Process, plant and machine operatives</v>
      </c>
      <c r="X104" s="17">
        <f t="shared" si="108"/>
        <v>-0.2379503212158518</v>
      </c>
      <c r="Y104" s="17">
        <f t="shared" si="108"/>
        <v>-0.43595540172549629</v>
      </c>
      <c r="Z104" s="17">
        <f t="shared" si="108"/>
        <v>5.5459769869381059</v>
      </c>
      <c r="AA104" s="17">
        <f t="shared" si="108"/>
        <v>1.6049617904027924</v>
      </c>
      <c r="AB104" s="17">
        <f t="shared" si="109"/>
        <v>2.9020055827278846</v>
      </c>
      <c r="AD104" s="17">
        <f t="shared" si="110"/>
        <v>2.9020055827278846</v>
      </c>
      <c r="AE104" s="17">
        <f t="shared" si="111"/>
        <v>3.5703177872451919</v>
      </c>
      <c r="AF104" s="17">
        <f t="shared" si="112"/>
        <v>5.4870982362547061</v>
      </c>
    </row>
    <row r="105" spans="1:32" x14ac:dyDescent="0.2">
      <c r="A105" t="str">
        <f t="shared" si="95"/>
        <v>82 Transport and mobile machine drivers and operatives</v>
      </c>
      <c r="B105" s="17">
        <f t="shared" si="96"/>
        <v>3.1622483994405926</v>
      </c>
      <c r="C105" s="17">
        <f t="shared" si="96"/>
        <v>-11.123216836901218</v>
      </c>
      <c r="D105" s="17">
        <f t="shared" si="96"/>
        <v>2.2320679660508658</v>
      </c>
      <c r="E105" s="17">
        <f t="shared" si="96"/>
        <v>-0.15137458528491354</v>
      </c>
      <c r="F105" s="17">
        <f t="shared" si="97"/>
        <v>0.63686721950468872</v>
      </c>
      <c r="H105" s="17">
        <f t="shared" si="98"/>
        <v>0.63686721950468872</v>
      </c>
      <c r="I105" s="17">
        <f t="shared" si="99"/>
        <v>3.1223535045603157</v>
      </c>
      <c r="J105" s="17">
        <f t="shared" si="100"/>
        <v>3.5432002559973252</v>
      </c>
      <c r="K105" s="39"/>
      <c r="L105" t="str">
        <f t="shared" si="101"/>
        <v>82 Transport and mobile machine drivers and operatives</v>
      </c>
      <c r="M105" s="17">
        <f t="shared" si="102"/>
        <v>3.5540090534453839</v>
      </c>
      <c r="N105" s="17">
        <f t="shared" si="102"/>
        <v>-12.180305422785832</v>
      </c>
      <c r="O105" s="17">
        <f t="shared" si="102"/>
        <v>1.7756398064590728</v>
      </c>
      <c r="P105" s="17">
        <f t="shared" si="102"/>
        <v>-0.26466009957998304</v>
      </c>
      <c r="Q105" s="17">
        <f t="shared" si="103"/>
        <v>0.41085423432036805</v>
      </c>
      <c r="S105" s="17">
        <f t="shared" si="104"/>
        <v>0.41085423432036805</v>
      </c>
      <c r="T105" s="17">
        <f t="shared" si="105"/>
        <v>3.0336011239090466</v>
      </c>
      <c r="U105" s="17">
        <f t="shared" si="106"/>
        <v>3.3067744906019714</v>
      </c>
      <c r="W105" t="str">
        <f t="shared" si="107"/>
        <v>82 Transport and mobile machine drivers and operatives</v>
      </c>
      <c r="X105" s="17">
        <f t="shared" si="108"/>
        <v>-2.9502661184966805</v>
      </c>
      <c r="Y105" s="17">
        <f t="shared" si="108"/>
        <v>8.3191930559068705</v>
      </c>
      <c r="Z105" s="17">
        <f t="shared" si="108"/>
        <v>8.2310692752895385</v>
      </c>
      <c r="AA105" s="17">
        <f t="shared" si="108"/>
        <v>1.0205368164023954</v>
      </c>
      <c r="AB105" s="17">
        <f t="shared" si="109"/>
        <v>3.3690276425737409</v>
      </c>
      <c r="AD105" s="17">
        <f t="shared" si="110"/>
        <v>3.3690276425737409</v>
      </c>
      <c r="AE105" s="17">
        <f t="shared" si="111"/>
        <v>4.333100675490198</v>
      </c>
      <c r="AF105" s="17">
        <f t="shared" si="112"/>
        <v>6.3927441614288538</v>
      </c>
    </row>
    <row r="106" spans="1:32" x14ac:dyDescent="0.2">
      <c r="A106" t="str">
        <f t="shared" si="95"/>
        <v>91 Elementary trades and related occupations</v>
      </c>
      <c r="B106" s="17">
        <f t="shared" si="96"/>
        <v>-2.418362268510621</v>
      </c>
      <c r="C106" s="17">
        <f t="shared" si="96"/>
        <v>-10.375325949348813</v>
      </c>
      <c r="D106" s="17">
        <f t="shared" si="96"/>
        <v>-4.0986798980674362</v>
      </c>
      <c r="E106" s="17">
        <f t="shared" si="96"/>
        <v>-0.64573931173221855</v>
      </c>
      <c r="F106" s="17">
        <f t="shared" si="97"/>
        <v>-1.8103167248515462</v>
      </c>
      <c r="H106" s="17">
        <f t="shared" si="98"/>
        <v>-1.8103167248515462</v>
      </c>
      <c r="I106" s="17">
        <f t="shared" si="99"/>
        <v>1.8612335908651856</v>
      </c>
      <c r="J106" s="17">
        <f t="shared" si="100"/>
        <v>0.50798936557909791</v>
      </c>
      <c r="K106" s="39"/>
      <c r="L106" t="str">
        <f t="shared" si="101"/>
        <v>91 Elementary trades and related occupations</v>
      </c>
      <c r="M106" s="17">
        <f t="shared" si="102"/>
        <v>-1.8917369805912521</v>
      </c>
      <c r="N106" s="17">
        <f t="shared" si="102"/>
        <v>-10.220618761866307</v>
      </c>
      <c r="O106" s="17">
        <f t="shared" si="102"/>
        <v>-4.7053735970058135</v>
      </c>
      <c r="P106" s="17">
        <f t="shared" si="102"/>
        <v>-0.80563876848980254</v>
      </c>
      <c r="Q106" s="17">
        <f t="shared" si="103"/>
        <v>-2.1229674243712915</v>
      </c>
      <c r="S106" s="17">
        <f t="shared" si="104"/>
        <v>-2.1229674243712915</v>
      </c>
      <c r="T106" s="17">
        <f t="shared" si="105"/>
        <v>1.5776232861669293</v>
      </c>
      <c r="U106" s="17">
        <f t="shared" si="106"/>
        <v>-7.0745500402469297E-2</v>
      </c>
      <c r="W106" t="str">
        <f t="shared" si="107"/>
        <v>91 Elementary trades and related occupations</v>
      </c>
      <c r="X106" s="17">
        <f t="shared" si="108"/>
        <v>-4.7037578549535164</v>
      </c>
      <c r="Y106" s="17">
        <f t="shared" si="108"/>
        <v>-11.097578804759111</v>
      </c>
      <c r="Z106" s="17">
        <f t="shared" si="108"/>
        <v>-1.4273648996291577</v>
      </c>
      <c r="AA106" s="17">
        <f t="shared" si="108"/>
        <v>-3.1148859016205677E-2</v>
      </c>
      <c r="AB106" s="17">
        <f t="shared" si="109"/>
        <v>-0.49873787208318809</v>
      </c>
      <c r="AD106" s="17">
        <f t="shared" si="110"/>
        <v>-0.49873787208318809</v>
      </c>
      <c r="AE106" s="17">
        <f t="shared" si="111"/>
        <v>3.0673068355467015</v>
      </c>
      <c r="AF106" s="17">
        <f t="shared" si="112"/>
        <v>2.744777520522157</v>
      </c>
    </row>
    <row r="107" spans="1:32" x14ac:dyDescent="0.2">
      <c r="A107" t="str">
        <f t="shared" si="95"/>
        <v>92 Elementary administration and service occupations</v>
      </c>
      <c r="B107" s="17">
        <f t="shared" si="96"/>
        <v>1.4108006143556118</v>
      </c>
      <c r="C107" s="17">
        <f t="shared" si="96"/>
        <v>-8.1696485081088852</v>
      </c>
      <c r="D107" s="17">
        <f t="shared" si="96"/>
        <v>0.55839810434723525</v>
      </c>
      <c r="E107" s="17">
        <f t="shared" si="96"/>
        <v>-3.9024677916499328E-2</v>
      </c>
      <c r="F107" s="17">
        <f t="shared" si="97"/>
        <v>0.15972083562194594</v>
      </c>
      <c r="H107" s="17">
        <f t="shared" si="98"/>
        <v>0.15972083562194594</v>
      </c>
      <c r="I107" s="17">
        <f t="shared" si="99"/>
        <v>2.8397162475604754</v>
      </c>
      <c r="J107" s="17">
        <f t="shared" si="100"/>
        <v>2.9480505929018852</v>
      </c>
      <c r="K107" s="39"/>
      <c r="L107" t="str">
        <f t="shared" si="101"/>
        <v>92 Elementary administration and service occupations</v>
      </c>
      <c r="M107" s="17">
        <f t="shared" si="102"/>
        <v>0.67927930802855752</v>
      </c>
      <c r="N107" s="17">
        <f t="shared" si="102"/>
        <v>-3.9482645115072268</v>
      </c>
      <c r="O107" s="17">
        <f t="shared" si="102"/>
        <v>1.1974638525461101</v>
      </c>
      <c r="P107" s="17">
        <f t="shared" si="102"/>
        <v>-0.12436235848060084</v>
      </c>
      <c r="Q107" s="17">
        <f t="shared" si="103"/>
        <v>0.31431676758704175</v>
      </c>
      <c r="S107" s="17">
        <f t="shared" si="104"/>
        <v>0.31431676758704175</v>
      </c>
      <c r="T107" s="17">
        <f t="shared" si="105"/>
        <v>2.4976164365924758</v>
      </c>
      <c r="U107" s="17">
        <f t="shared" si="106"/>
        <v>2.7216424944441986</v>
      </c>
      <c r="W107" t="str">
        <f t="shared" si="107"/>
        <v>92 Elementary administration and service occupations</v>
      </c>
      <c r="X107" s="17">
        <f t="shared" si="108"/>
        <v>2.1037713360123167</v>
      </c>
      <c r="Y107" s="17">
        <f t="shared" si="108"/>
        <v>-12.030533930444475</v>
      </c>
      <c r="Z107" s="17">
        <f t="shared" si="108"/>
        <v>-9.6429510414275388E-2</v>
      </c>
      <c r="AA107" s="17">
        <f t="shared" si="108"/>
        <v>5.1144448534201636E-2</v>
      </c>
      <c r="AB107" s="17">
        <f t="shared" si="109"/>
        <v>1.9289235569930341E-3</v>
      </c>
      <c r="AD107" s="17">
        <f t="shared" si="110"/>
        <v>1.9289235569930341E-3</v>
      </c>
      <c r="AE107" s="17">
        <f t="shared" si="111"/>
        <v>3.1661523386227852</v>
      </c>
      <c r="AF107" s="17">
        <f t="shared" si="112"/>
        <v>3.1673991927500866</v>
      </c>
    </row>
    <row r="108" spans="1:32" x14ac:dyDescent="0.2">
      <c r="C108" s="17"/>
      <c r="F108" s="17"/>
      <c r="H108" s="17"/>
      <c r="I108" s="17"/>
      <c r="J108" s="17"/>
      <c r="N108" s="17"/>
      <c r="Q108" s="17"/>
      <c r="S108" s="17"/>
      <c r="T108" s="17"/>
      <c r="U108" s="17"/>
      <c r="Y108" s="17"/>
      <c r="AB108" s="17"/>
      <c r="AD108" s="17"/>
      <c r="AE108" s="17"/>
      <c r="AF108" s="17"/>
    </row>
    <row r="109" spans="1:32" x14ac:dyDescent="0.2">
      <c r="A109" s="23" t="str">
        <f>A35</f>
        <v>All occupations</v>
      </c>
      <c r="B109" s="25">
        <f>IF(AND(C$6-B$6 &lt;&gt; 0,B35&lt;&gt;0,C35&lt;&gt;0),(EXP(LN(C35/B35)/(C$6-B$6))-1)*100,0)</f>
        <v>1.7331796103516428</v>
      </c>
      <c r="C109" s="25">
        <f>IF(AND(D$6-C$6 &lt;&gt; 0,C35&lt;&gt;0,D35&lt;&gt;0),(EXP(LN(D35/C35)/(D$6-C$6))-1)*100,0)</f>
        <v>-0.54833096223981803</v>
      </c>
      <c r="D109" s="25">
        <f>IF(AND(E$6-D$6 &lt;&gt; 0,D35&lt;&gt;0,E35&lt;&gt;0),(EXP(LN(E35/D35)/(E$6-D$6))-1)*100,0)</f>
        <v>0.80192927975626382</v>
      </c>
      <c r="E109" s="25">
        <f>IF(AND(F$6-E$6 &lt;&gt; 0,E35&lt;&gt;0,F35&lt;&gt;0),(EXP(LN(F35/E35)/(F$6-E$6))-1)*100,0)</f>
        <v>0.47742864675834884</v>
      </c>
      <c r="F109" s="25">
        <f t="shared" ref="F109" si="113">IF(AND(F$6-D$6 &lt;&gt; 0,D35&lt;&gt;0,F35&lt;&gt;0),(EXP(LN(F35/D35)/(F$6-D$6))-1)*100,0)</f>
        <v>0.58547928810914751</v>
      </c>
      <c r="H109" s="25">
        <f>IF($F$6-$D$6 &lt;&gt; 0,(EXP(LN(1+(H72/100))/($F$6-$D$6))-1)*100,0)</f>
        <v>0.58547928810914751</v>
      </c>
      <c r="I109" s="25">
        <f>IF(D35&gt;0,((1+(I35/D35))^(1/($F$6-$D$6))-1)*100,0)</f>
        <v>2.7960571932020839</v>
      </c>
      <c r="J109" s="25">
        <f t="shared" ref="J109" si="114">IF($F$6-$D$6 &lt;&gt; 0,(EXP(LN(1+(J72/100))/($F$6-$D$6))-1)*100,0)</f>
        <v>3.1994766525636598</v>
      </c>
      <c r="L109" s="23" t="str">
        <f>L35</f>
        <v>All occupations</v>
      </c>
      <c r="M109" s="25">
        <f>IF(AND(N$6-M$6 &lt;&gt; 0,M35&lt;&gt;0,N35&lt;&gt;0),(EXP(LN(N35/M35)/(N$6-M$6))-1)*100,0)</f>
        <v>1.7599085845796392</v>
      </c>
      <c r="N109" s="25">
        <f>IF(AND(O$6-N$6 &lt;&gt; 0,N35&lt;&gt;0,O35&lt;&gt;0),(EXP(LN(O35/N35)/(O$6-N$6))-1)*100,0)</f>
        <v>-1.5465193902851393</v>
      </c>
      <c r="O109" s="25">
        <f>IF(AND(P$6-O$6 &lt;&gt; 0,O35&lt;&gt;0,P35&lt;&gt;0),(EXP(LN(P35/O35)/(P$6-O$6))-1)*100,0)</f>
        <v>0.8557017850007842</v>
      </c>
      <c r="P109" s="25">
        <f>IF(AND(Q$6-P$6 &lt;&gt; 0,P35&lt;&gt;0,Q35&lt;&gt;0),(EXP(LN(Q35/P35)/(Q$6-P$6))-1)*100,0)</f>
        <v>0.47566000660146379</v>
      </c>
      <c r="Q109" s="25">
        <f t="shared" ref="Q109" si="115">IF(AND(Q$6-O$6 &lt;&gt; 0,O35&lt;&gt;0,Q35&lt;&gt;0),(EXP(LN(Q35/O35)/(Q$6-O$6))-1)*100,0)</f>
        <v>0.60218121418280646</v>
      </c>
      <c r="S109" s="25">
        <f t="shared" ref="S109" si="116">IF($F$6-$D$6 &lt;&gt; 0,(EXP(LN(1+(S72/100))/($F$6-$D$6))-1)*100,0)</f>
        <v>0.60218121418280646</v>
      </c>
      <c r="T109" s="25">
        <f t="shared" ref="T109" si="117">IF(O35&gt;0,((1+(T35/O35))^(1/($F$6-$D$6))-1)*100,0)</f>
        <v>2.4580298908200016</v>
      </c>
      <c r="U109" s="25">
        <f t="shared" ref="U109" si="118">IF($F$6-$D$6 &lt;&gt; 0,(EXP(LN(1+(U72/100))/($F$6-$D$6))-1)*100,0)</f>
        <v>2.8920966326440478</v>
      </c>
      <c r="W109" s="23" t="str">
        <f>W35</f>
        <v>All occupations</v>
      </c>
      <c r="X109" s="25">
        <f>IF(AND(Y$6-X$6 &lt;&gt; 0,X35&lt;&gt;0,Y35&lt;&gt;0),(EXP(LN(Y35/X35)/(Y$6-X$6))-1)*100,0)</f>
        <v>1.703121496365978</v>
      </c>
      <c r="Y109" s="25">
        <f>IF(AND(Z$6-Y$6 &lt;&gt; 0,Y35&lt;&gt;0,Z35&lt;&gt;0),(EXP(LN(Z35/Y35)/(Z$6-Y$6))-1)*100,0)</f>
        <v>0.57575114383392467</v>
      </c>
      <c r="Z109" s="25">
        <f>IF(AND(AA$6-Z$6 &lt;&gt; 0,Z35&lt;&gt;0,AA35&lt;&gt;0),(EXP(LN(AA35/Z35)/(AA$6-Z$6))-1)*100,0)</f>
        <v>0.74251937821057101</v>
      </c>
      <c r="AA109" s="25">
        <f>IF(AND(AB$6-AA$6 &lt;&gt; 0,AA35&lt;&gt;0,AB35&lt;&gt;0),(EXP(LN(AB35/AA35)/(AB$6-AA$6))-1)*100,0)</f>
        <v>0.47938897359525168</v>
      </c>
      <c r="AB109" s="25">
        <f t="shared" ref="AB109" si="119">IF(AND(AB$6-Z$6 &lt;&gt; 0,Z35&lt;&gt;0,AB35&lt;&gt;0),(EXP(LN(AB35/Z35)/(AB$6-Z$6))-1)*100,0)</f>
        <v>0.56702265602246449</v>
      </c>
      <c r="AD109" s="25">
        <f t="shared" ref="AD109" si="120">IF($F$6-$D$6 &lt;&gt; 0,(EXP(LN(1+(AD72/100))/($F$6-$D$6))-1)*100,0)</f>
        <v>0.56702265602246449</v>
      </c>
      <c r="AE109" s="25">
        <f t="shared" ref="AE109" si="121">IF(Z35&gt;0,((1+(AE35/Z35))^(1/($F$6-$D$6))-1)*100,0)</f>
        <v>3.151495360809009</v>
      </c>
      <c r="AF109" s="25">
        <f t="shared" ref="AF109" si="122">IF($F$6-$D$6 &lt;&gt; 0,(EXP(LN(1+(AF72/100))/($F$6-$D$6))-1)*100,0)</f>
        <v>3.5240993673079757</v>
      </c>
    </row>
    <row r="112" spans="1:32" ht="15.75" x14ac:dyDescent="0.25">
      <c r="A112" s="18" t="str">
        <f>CONCATENATE(A$1," (Continued)")</f>
        <v>Occupation Table 2  Employment Change by Occupation (SOC 2020) and Replacement Demand, 2015-2035, London (Continued)</v>
      </c>
      <c r="L112" s="18" t="str">
        <f>CONCATENATE(L$1," (Continued)")</f>
        <v>Occupation Table 2.1  Males: Employment Change by Occupation (SOC 2020) and Replacement Demand, 2015-2035, London (Continued)</v>
      </c>
      <c r="W112" s="18" t="str">
        <f>CONCATENATE(W$1," (Continued)")</f>
        <v>Occupation Table 2.2  Females: Employment Change by Occupation (SOC 2020) and Replacement Demand, 2015-2035, London (Continued)</v>
      </c>
    </row>
    <row r="114" spans="1:28" x14ac:dyDescent="0.2">
      <c r="F114" s="15" t="s">
        <v>35</v>
      </c>
      <c r="Q114" s="15" t="s">
        <v>35</v>
      </c>
      <c r="AB114" s="15" t="s">
        <v>35</v>
      </c>
    </row>
    <row r="115" spans="1:28" x14ac:dyDescent="0.2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</row>
    <row r="117" spans="1:28" x14ac:dyDescent="0.2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</row>
    <row r="118" spans="1:28" x14ac:dyDescent="0.2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</row>
    <row r="119" spans="1:28" x14ac:dyDescent="0.2">
      <c r="A119" t="str">
        <f t="shared" ref="A119:A144" si="123">A8</f>
        <v>11 Corporate managers and directors</v>
      </c>
      <c r="B119" s="26">
        <f t="shared" ref="B119:E144" si="124">C8-B8</f>
        <v>83.891222657662752</v>
      </c>
      <c r="C119" s="26">
        <f t="shared" si="124"/>
        <v>3.3604502156023273</v>
      </c>
      <c r="D119" s="26">
        <f t="shared" si="124"/>
        <v>-23.26980452498384</v>
      </c>
      <c r="E119" s="26">
        <f t="shared" si="124"/>
        <v>39.912078442930863</v>
      </c>
      <c r="F119" s="26">
        <f t="shared" ref="F119:F144" si="125">F8-D8</f>
        <v>16.642273917947023</v>
      </c>
      <c r="L119" t="str">
        <f t="shared" ref="L119:L144" si="126">L8</f>
        <v>11 Corporate managers and directors</v>
      </c>
      <c r="M119" s="26">
        <f t="shared" ref="M119:P144" si="127">N8-M8</f>
        <v>45.417615814528062</v>
      </c>
      <c r="N119" s="26">
        <f t="shared" si="127"/>
        <v>-1.4821208974555589</v>
      </c>
      <c r="O119" s="26">
        <f t="shared" si="127"/>
        <v>-25.603243113604549</v>
      </c>
      <c r="P119" s="26">
        <f t="shared" si="127"/>
        <v>14.446956960396676</v>
      </c>
      <c r="Q119" s="26">
        <f t="shared" ref="Q119:Q144" si="128">Q8-O8</f>
        <v>-11.156286153207873</v>
      </c>
      <c r="W119" t="str">
        <f t="shared" ref="W119:W144" si="129">W8</f>
        <v>11 Corporate managers and directors</v>
      </c>
      <c r="X119" s="26">
        <f t="shared" ref="X119:AA144" si="130">Y8-X8</f>
        <v>38.473606843134291</v>
      </c>
      <c r="Y119" s="26">
        <f t="shared" si="130"/>
        <v>4.8425711130586251</v>
      </c>
      <c r="Z119" s="26">
        <f t="shared" si="130"/>
        <v>2.3334385886218172</v>
      </c>
      <c r="AA119" s="26">
        <f t="shared" si="130"/>
        <v>25.465121482532197</v>
      </c>
      <c r="AB119" s="26">
        <f t="shared" ref="AB119:AB144" si="131">AB8-Z8</f>
        <v>27.798560071154014</v>
      </c>
    </row>
    <row r="120" spans="1:28" x14ac:dyDescent="0.2">
      <c r="A120" t="str">
        <f t="shared" si="123"/>
        <v>12 Other managers and proprietors</v>
      </c>
      <c r="B120" s="26">
        <f t="shared" si="124"/>
        <v>14.51771071201722</v>
      </c>
      <c r="C120" s="26">
        <f t="shared" si="124"/>
        <v>-3.158143214309149</v>
      </c>
      <c r="D120" s="26">
        <f t="shared" si="124"/>
        <v>52.287198453020807</v>
      </c>
      <c r="E120" s="26">
        <f t="shared" si="124"/>
        <v>31.424055230723241</v>
      </c>
      <c r="F120" s="26">
        <f t="shared" si="125"/>
        <v>83.711253683744047</v>
      </c>
      <c r="L120" t="str">
        <f t="shared" si="126"/>
        <v>12 Other managers and proprietors</v>
      </c>
      <c r="M120" s="26">
        <f t="shared" si="127"/>
        <v>9.8124131340131981</v>
      </c>
      <c r="N120" s="26">
        <f t="shared" si="127"/>
        <v>-4.6322540389246001</v>
      </c>
      <c r="O120" s="26">
        <f t="shared" si="127"/>
        <v>35.361968567578643</v>
      </c>
      <c r="P120" s="26">
        <f t="shared" si="127"/>
        <v>18.620678836465771</v>
      </c>
      <c r="Q120" s="26">
        <f t="shared" si="128"/>
        <v>53.982647404044414</v>
      </c>
      <c r="W120" t="str">
        <f t="shared" si="129"/>
        <v>12 Other managers and proprietors</v>
      </c>
      <c r="X120" s="26">
        <f t="shared" si="130"/>
        <v>4.7052975780041351</v>
      </c>
      <c r="Y120" s="26">
        <f t="shared" si="130"/>
        <v>1.4741108246147547</v>
      </c>
      <c r="Z120" s="26">
        <f t="shared" si="130"/>
        <v>16.92522988544286</v>
      </c>
      <c r="AA120" s="26">
        <f t="shared" si="130"/>
        <v>12.803376394257299</v>
      </c>
      <c r="AB120" s="26">
        <f t="shared" si="131"/>
        <v>29.728606279700159</v>
      </c>
    </row>
    <row r="121" spans="1:28" x14ac:dyDescent="0.2">
      <c r="A121" t="str">
        <f t="shared" si="123"/>
        <v>21 Science, research, engineering and technology professionals</v>
      </c>
      <c r="B121" s="26">
        <f t="shared" si="124"/>
        <v>64.182314347767942</v>
      </c>
      <c r="C121" s="26">
        <f t="shared" si="124"/>
        <v>18.059344864806803</v>
      </c>
      <c r="D121" s="26">
        <f t="shared" si="124"/>
        <v>37.907307926242311</v>
      </c>
      <c r="E121" s="26">
        <f t="shared" si="124"/>
        <v>49.823696349220711</v>
      </c>
      <c r="F121" s="26">
        <f t="shared" si="125"/>
        <v>87.731004275463022</v>
      </c>
      <c r="L121" t="str">
        <f t="shared" si="126"/>
        <v>21 Science, research, engineering and technology professionals</v>
      </c>
      <c r="M121" s="26">
        <f t="shared" si="127"/>
        <v>52.254158121928754</v>
      </c>
      <c r="N121" s="26">
        <f t="shared" si="127"/>
        <v>-4.2915650725542491</v>
      </c>
      <c r="O121" s="26">
        <f t="shared" si="127"/>
        <v>14.910515271562531</v>
      </c>
      <c r="P121" s="26">
        <f t="shared" si="127"/>
        <v>27.09595153820112</v>
      </c>
      <c r="Q121" s="26">
        <f t="shared" si="128"/>
        <v>42.006466809763651</v>
      </c>
      <c r="W121" t="str">
        <f t="shared" si="129"/>
        <v>21 Science, research, engineering and technology professionals</v>
      </c>
      <c r="X121" s="26">
        <f t="shared" si="130"/>
        <v>11.928156225841576</v>
      </c>
      <c r="Y121" s="26">
        <f t="shared" si="130"/>
        <v>22.350909937358878</v>
      </c>
      <c r="Z121" s="26">
        <f t="shared" si="130"/>
        <v>22.996792654681016</v>
      </c>
      <c r="AA121" s="26">
        <f t="shared" si="130"/>
        <v>22.727744811020216</v>
      </c>
      <c r="AB121" s="26">
        <f t="shared" si="131"/>
        <v>45.724537465701232</v>
      </c>
    </row>
    <row r="122" spans="1:28" x14ac:dyDescent="0.2">
      <c r="A122" t="str">
        <f t="shared" si="123"/>
        <v>22 Health professionals</v>
      </c>
      <c r="B122" s="26">
        <f t="shared" si="124"/>
        <v>39.482403422150554</v>
      </c>
      <c r="C122" s="26">
        <f t="shared" si="124"/>
        <v>-2.9988909628470424</v>
      </c>
      <c r="D122" s="26">
        <f t="shared" si="124"/>
        <v>17.004231656332934</v>
      </c>
      <c r="E122" s="26">
        <f t="shared" si="124"/>
        <v>7.7645348097059355</v>
      </c>
      <c r="F122" s="26">
        <f t="shared" si="125"/>
        <v>24.768766466038869</v>
      </c>
      <c r="L122" t="str">
        <f t="shared" si="126"/>
        <v>22 Health professionals</v>
      </c>
      <c r="M122" s="26">
        <f t="shared" si="127"/>
        <v>14.103906165237738</v>
      </c>
      <c r="N122" s="26">
        <f t="shared" si="127"/>
        <v>8.499516584980924</v>
      </c>
      <c r="O122" s="26">
        <f t="shared" si="127"/>
        <v>4.4045788816552687</v>
      </c>
      <c r="P122" s="26">
        <f t="shared" si="127"/>
        <v>3.0087535753106067</v>
      </c>
      <c r="Q122" s="26">
        <f t="shared" si="128"/>
        <v>7.4133324569658754</v>
      </c>
      <c r="W122" t="str">
        <f t="shared" si="129"/>
        <v>22 Health professionals</v>
      </c>
      <c r="X122" s="26">
        <f t="shared" si="130"/>
        <v>25.378497256912851</v>
      </c>
      <c r="Y122" s="26">
        <f t="shared" si="130"/>
        <v>-11.498407547827668</v>
      </c>
      <c r="Z122" s="26">
        <f t="shared" si="130"/>
        <v>12.599652774677907</v>
      </c>
      <c r="AA122" s="26">
        <f t="shared" si="130"/>
        <v>4.7557812343950445</v>
      </c>
      <c r="AB122" s="26">
        <f t="shared" si="131"/>
        <v>17.355434009072951</v>
      </c>
    </row>
    <row r="123" spans="1:28" x14ac:dyDescent="0.2">
      <c r="A123" t="str">
        <f t="shared" si="123"/>
        <v>23 Teaching and other educational professionals</v>
      </c>
      <c r="B123" s="26">
        <f t="shared" si="124"/>
        <v>5.0910692102014536</v>
      </c>
      <c r="C123" s="26">
        <f t="shared" si="124"/>
        <v>22.933235129578463</v>
      </c>
      <c r="D123" s="26">
        <f t="shared" si="124"/>
        <v>7.5092320186951156</v>
      </c>
      <c r="E123" s="26">
        <f t="shared" si="124"/>
        <v>27.15072539986329</v>
      </c>
      <c r="F123" s="26">
        <f t="shared" si="125"/>
        <v>34.659957418558406</v>
      </c>
      <c r="L123" t="str">
        <f t="shared" si="126"/>
        <v>23 Teaching and other educational professionals</v>
      </c>
      <c r="M123" s="26">
        <f t="shared" si="127"/>
        <v>-4.1295169708099309</v>
      </c>
      <c r="N123" s="26">
        <f t="shared" si="127"/>
        <v>12.263135422756577</v>
      </c>
      <c r="O123" s="26">
        <f t="shared" si="127"/>
        <v>9.2153258104698494</v>
      </c>
      <c r="P123" s="26">
        <f t="shared" si="127"/>
        <v>10.191231169515135</v>
      </c>
      <c r="Q123" s="26">
        <f t="shared" si="128"/>
        <v>19.406556979984984</v>
      </c>
      <c r="W123" t="str">
        <f t="shared" si="129"/>
        <v>23 Teaching and other educational professionals</v>
      </c>
      <c r="X123" s="26">
        <f t="shared" si="130"/>
        <v>9.2205861810115834</v>
      </c>
      <c r="Y123" s="26">
        <f t="shared" si="130"/>
        <v>10.670099706820622</v>
      </c>
      <c r="Z123" s="26">
        <f t="shared" si="130"/>
        <v>-1.7060937917743217</v>
      </c>
      <c r="AA123" s="26">
        <f t="shared" si="130"/>
        <v>16.959494230349122</v>
      </c>
      <c r="AB123" s="26">
        <f t="shared" si="131"/>
        <v>15.253400438574801</v>
      </c>
    </row>
    <row r="124" spans="1:28" x14ac:dyDescent="0.2">
      <c r="A124" t="str">
        <f t="shared" si="123"/>
        <v>24 Business, media and public service professionals</v>
      </c>
      <c r="B124" s="26">
        <f t="shared" si="124"/>
        <v>115.93373184731399</v>
      </c>
      <c r="C124" s="26">
        <f t="shared" si="124"/>
        <v>35.064285124811477</v>
      </c>
      <c r="D124" s="26">
        <f t="shared" si="124"/>
        <v>100.56119034256062</v>
      </c>
      <c r="E124" s="26">
        <f t="shared" si="124"/>
        <v>80.430489941765131</v>
      </c>
      <c r="F124" s="26">
        <f t="shared" si="125"/>
        <v>180.99168028432575</v>
      </c>
      <c r="L124" t="str">
        <f t="shared" si="126"/>
        <v>24 Business, media and public service professionals</v>
      </c>
      <c r="M124" s="26">
        <f t="shared" si="127"/>
        <v>59.561621298954037</v>
      </c>
      <c r="N124" s="26">
        <f t="shared" si="127"/>
        <v>8.9722206042040966</v>
      </c>
      <c r="O124" s="26">
        <f t="shared" si="127"/>
        <v>57.199671394411666</v>
      </c>
      <c r="P124" s="26">
        <f t="shared" si="127"/>
        <v>38.043200032555887</v>
      </c>
      <c r="Q124" s="26">
        <f t="shared" si="128"/>
        <v>95.242871426967554</v>
      </c>
      <c r="W124" t="str">
        <f t="shared" si="129"/>
        <v>24 Business, media and public service professionals</v>
      </c>
      <c r="X124" s="26">
        <f t="shared" si="130"/>
        <v>56.372110548359672</v>
      </c>
      <c r="Y124" s="26">
        <f t="shared" si="130"/>
        <v>26.092064520609085</v>
      </c>
      <c r="Z124" s="26">
        <f t="shared" si="130"/>
        <v>43.361518948145942</v>
      </c>
      <c r="AA124" s="26">
        <f t="shared" si="130"/>
        <v>42.387289909212996</v>
      </c>
      <c r="AB124" s="26">
        <f t="shared" si="131"/>
        <v>85.748808857358938</v>
      </c>
    </row>
    <row r="125" spans="1:28" x14ac:dyDescent="0.2">
      <c r="A125" t="str">
        <f t="shared" si="123"/>
        <v>31 Science, engineering and technology associate professionals</v>
      </c>
      <c r="B125" s="26">
        <f t="shared" si="124"/>
        <v>17.409045419914236</v>
      </c>
      <c r="C125" s="26">
        <f t="shared" si="124"/>
        <v>6.1294728775278458</v>
      </c>
      <c r="D125" s="26">
        <f t="shared" si="124"/>
        <v>-9.0701704966261474</v>
      </c>
      <c r="E125" s="26">
        <f t="shared" si="124"/>
        <v>7.3525375125894499</v>
      </c>
      <c r="F125" s="26">
        <f t="shared" si="125"/>
        <v>-1.7176329840366975</v>
      </c>
      <c r="L125" t="str">
        <f t="shared" si="126"/>
        <v>31 Science, engineering and technology associate professionals</v>
      </c>
      <c r="M125" s="26">
        <f t="shared" si="127"/>
        <v>14.417219107848553</v>
      </c>
      <c r="N125" s="26">
        <f t="shared" si="127"/>
        <v>0.38182223670904136</v>
      </c>
      <c r="O125" s="26">
        <f t="shared" si="127"/>
        <v>-11.056165486790356</v>
      </c>
      <c r="P125" s="26">
        <f t="shared" si="127"/>
        <v>1.1402016555002561</v>
      </c>
      <c r="Q125" s="26">
        <f t="shared" si="128"/>
        <v>-9.9159638312900995</v>
      </c>
      <c r="W125" t="str">
        <f t="shared" si="129"/>
        <v>31 Science, engineering and technology associate professionals</v>
      </c>
      <c r="X125" s="26">
        <f t="shared" si="130"/>
        <v>2.9918263120658146</v>
      </c>
      <c r="Y125" s="26">
        <f t="shared" si="130"/>
        <v>5.7476506408189003</v>
      </c>
      <c r="Z125" s="26">
        <f t="shared" si="130"/>
        <v>1.985994990164194</v>
      </c>
      <c r="AA125" s="26">
        <f t="shared" si="130"/>
        <v>6.2123358570891511</v>
      </c>
      <c r="AB125" s="26">
        <f t="shared" si="131"/>
        <v>8.1983308472533452</v>
      </c>
    </row>
    <row r="126" spans="1:28" x14ac:dyDescent="0.2">
      <c r="A126" t="str">
        <f t="shared" si="123"/>
        <v>32 Health and social care associate professionals</v>
      </c>
      <c r="B126" s="26">
        <f t="shared" si="124"/>
        <v>11.699730129974256</v>
      </c>
      <c r="C126" s="26">
        <f t="shared" si="124"/>
        <v>1.3413208525809637</v>
      </c>
      <c r="D126" s="26">
        <f t="shared" si="124"/>
        <v>-0.52582261530827168</v>
      </c>
      <c r="E126" s="26">
        <f t="shared" si="124"/>
        <v>3.8889070799891243</v>
      </c>
      <c r="F126" s="26">
        <f t="shared" si="125"/>
        <v>3.3630844646808526</v>
      </c>
      <c r="L126" t="str">
        <f t="shared" si="126"/>
        <v>32 Health and social care associate professionals</v>
      </c>
      <c r="M126" s="26">
        <f t="shared" si="127"/>
        <v>2.542968033254958</v>
      </c>
      <c r="N126" s="26">
        <f t="shared" si="127"/>
        <v>2.6878854851968441</v>
      </c>
      <c r="O126" s="26">
        <f t="shared" si="127"/>
        <v>-2.9496184899676514</v>
      </c>
      <c r="P126" s="26">
        <f t="shared" si="127"/>
        <v>0.32504474703375053</v>
      </c>
      <c r="Q126" s="26">
        <f t="shared" si="128"/>
        <v>-2.6245737429339009</v>
      </c>
      <c r="W126" t="str">
        <f t="shared" si="129"/>
        <v>32 Health and social care associate professionals</v>
      </c>
      <c r="X126" s="26">
        <f t="shared" si="130"/>
        <v>9.1567620967194472</v>
      </c>
      <c r="Y126" s="26">
        <f t="shared" si="130"/>
        <v>-1.3465646326158662</v>
      </c>
      <c r="Z126" s="26">
        <f t="shared" si="130"/>
        <v>2.4237958746594046</v>
      </c>
      <c r="AA126" s="26">
        <f t="shared" si="130"/>
        <v>3.5638623329555372</v>
      </c>
      <c r="AB126" s="26">
        <f t="shared" si="131"/>
        <v>5.9876582076149418</v>
      </c>
    </row>
    <row r="127" spans="1:28" x14ac:dyDescent="0.2">
      <c r="A127" t="str">
        <f t="shared" si="123"/>
        <v>33 Protective service occupations</v>
      </c>
      <c r="B127" s="26">
        <f t="shared" si="124"/>
        <v>4.3215949466244581</v>
      </c>
      <c r="C127" s="26">
        <f t="shared" si="124"/>
        <v>5.0710355854587448</v>
      </c>
      <c r="D127" s="26">
        <f t="shared" si="124"/>
        <v>13.238620248012381</v>
      </c>
      <c r="E127" s="26">
        <f t="shared" si="124"/>
        <v>12.560657371345002</v>
      </c>
      <c r="F127" s="26">
        <f t="shared" si="125"/>
        <v>25.799277619357383</v>
      </c>
      <c r="L127" t="str">
        <f t="shared" si="126"/>
        <v>33 Protective service occupations</v>
      </c>
      <c r="M127" s="26">
        <f t="shared" si="127"/>
        <v>2.2420828883189401</v>
      </c>
      <c r="N127" s="26">
        <f t="shared" si="127"/>
        <v>2.6401354996466182</v>
      </c>
      <c r="O127" s="26">
        <f t="shared" si="127"/>
        <v>6.578351658128355</v>
      </c>
      <c r="P127" s="26">
        <f t="shared" si="127"/>
        <v>4.5403988500193577</v>
      </c>
      <c r="Q127" s="26">
        <f t="shared" si="128"/>
        <v>11.118750508147713</v>
      </c>
      <c r="W127" t="str">
        <f t="shared" si="129"/>
        <v>33 Protective service occupations</v>
      </c>
      <c r="X127" s="26">
        <f t="shared" si="130"/>
        <v>2.0795120583057134</v>
      </c>
      <c r="Y127" s="26">
        <f t="shared" si="130"/>
        <v>2.4309000858119845</v>
      </c>
      <c r="Z127" s="26">
        <f t="shared" si="130"/>
        <v>6.6602685898840228</v>
      </c>
      <c r="AA127" s="26">
        <f t="shared" si="130"/>
        <v>8.0202585213255375</v>
      </c>
      <c r="AB127" s="26">
        <f t="shared" si="131"/>
        <v>14.68052711120956</v>
      </c>
    </row>
    <row r="128" spans="1:28" x14ac:dyDescent="0.2">
      <c r="A128" t="str">
        <f t="shared" si="123"/>
        <v>34 Culture, media and sports occupations</v>
      </c>
      <c r="B128" s="26">
        <f t="shared" si="124"/>
        <v>-10.933179049738186</v>
      </c>
      <c r="C128" s="26">
        <f t="shared" si="124"/>
        <v>31.923310612373371</v>
      </c>
      <c r="D128" s="26">
        <f t="shared" si="124"/>
        <v>8.551467604656267</v>
      </c>
      <c r="E128" s="26">
        <f t="shared" si="124"/>
        <v>25.543412510515822</v>
      </c>
      <c r="F128" s="26">
        <f t="shared" si="125"/>
        <v>34.094880115172089</v>
      </c>
      <c r="L128" t="str">
        <f t="shared" si="126"/>
        <v>34 Culture, media and sports occupations</v>
      </c>
      <c r="M128" s="26">
        <f t="shared" si="127"/>
        <v>-10.146545751405981</v>
      </c>
      <c r="N128" s="26">
        <f t="shared" si="127"/>
        <v>12.454947992216873</v>
      </c>
      <c r="O128" s="26">
        <f t="shared" si="127"/>
        <v>6.6118886732710678</v>
      </c>
      <c r="P128" s="26">
        <f t="shared" si="127"/>
        <v>13.74593207802863</v>
      </c>
      <c r="Q128" s="26">
        <f t="shared" si="128"/>
        <v>20.357820751299698</v>
      </c>
      <c r="W128" t="str">
        <f t="shared" si="129"/>
        <v>34 Culture, media and sports occupations</v>
      </c>
      <c r="X128" s="26">
        <f t="shared" si="130"/>
        <v>-0.78663329833231899</v>
      </c>
      <c r="Y128" s="26">
        <f t="shared" si="130"/>
        <v>19.468362620156881</v>
      </c>
      <c r="Z128" s="26">
        <f t="shared" si="130"/>
        <v>1.9395789313848724</v>
      </c>
      <c r="AA128" s="26">
        <f t="shared" si="130"/>
        <v>11.797480432487447</v>
      </c>
      <c r="AB128" s="26">
        <f t="shared" si="131"/>
        <v>13.737059363872319</v>
      </c>
    </row>
    <row r="129" spans="1:28" x14ac:dyDescent="0.2">
      <c r="A129" t="str">
        <f t="shared" si="123"/>
        <v>35 Business and public service associate professionals</v>
      </c>
      <c r="B129" s="26">
        <f t="shared" si="124"/>
        <v>40.559295142141821</v>
      </c>
      <c r="C129" s="26">
        <f t="shared" si="124"/>
        <v>6.0951423598190786</v>
      </c>
      <c r="D129" s="26">
        <f t="shared" si="124"/>
        <v>-14.425390331051062</v>
      </c>
      <c r="E129" s="26">
        <f t="shared" si="124"/>
        <v>18.276545626541747</v>
      </c>
      <c r="F129" s="26">
        <f t="shared" si="125"/>
        <v>3.8511552954906847</v>
      </c>
      <c r="L129" t="str">
        <f t="shared" si="126"/>
        <v>35 Business and public service associate professionals</v>
      </c>
      <c r="M129" s="26">
        <f t="shared" si="127"/>
        <v>17.719347787306447</v>
      </c>
      <c r="N129" s="26">
        <f t="shared" si="127"/>
        <v>4.1021253506737025</v>
      </c>
      <c r="O129" s="26">
        <f t="shared" si="127"/>
        <v>-14.573290761158944</v>
      </c>
      <c r="P129" s="26">
        <f t="shared" si="127"/>
        <v>2.6787949446251673</v>
      </c>
      <c r="Q129" s="26">
        <f t="shared" si="128"/>
        <v>-11.894495816533777</v>
      </c>
      <c r="W129" t="str">
        <f t="shared" si="129"/>
        <v>35 Business and public service associate professionals</v>
      </c>
      <c r="X129" s="26">
        <f t="shared" si="130"/>
        <v>22.839947354835545</v>
      </c>
      <c r="Y129" s="26">
        <f t="shared" si="130"/>
        <v>1.9930170091460013</v>
      </c>
      <c r="Z129" s="26">
        <f t="shared" si="130"/>
        <v>0.14790043010691534</v>
      </c>
      <c r="AA129" s="26">
        <f t="shared" si="130"/>
        <v>15.59775068191567</v>
      </c>
      <c r="AB129" s="26">
        <f t="shared" si="131"/>
        <v>15.745651112022585</v>
      </c>
    </row>
    <row r="130" spans="1:28" x14ac:dyDescent="0.2">
      <c r="A130" t="str">
        <f t="shared" si="123"/>
        <v>41 Administrative occupations</v>
      </c>
      <c r="B130" s="26">
        <f t="shared" si="124"/>
        <v>-8.0947601727312986</v>
      </c>
      <c r="C130" s="26">
        <f t="shared" si="124"/>
        <v>11.895810034990006</v>
      </c>
      <c r="D130" s="26">
        <f t="shared" si="124"/>
        <v>-37.92976852009366</v>
      </c>
      <c r="E130" s="26">
        <f t="shared" si="124"/>
        <v>-30.085868744492984</v>
      </c>
      <c r="F130" s="26">
        <f t="shared" si="125"/>
        <v>-68.015637264586644</v>
      </c>
      <c r="L130" t="str">
        <f t="shared" si="126"/>
        <v>41 Administrative occupations</v>
      </c>
      <c r="M130" s="26">
        <f t="shared" si="127"/>
        <v>-2.7842015995157965</v>
      </c>
      <c r="N130" s="26">
        <f t="shared" si="127"/>
        <v>16.327306336540076</v>
      </c>
      <c r="O130" s="26">
        <f t="shared" si="127"/>
        <v>-10.034795758691985</v>
      </c>
      <c r="P130" s="26">
        <f t="shared" si="127"/>
        <v>1.5564635120374959</v>
      </c>
      <c r="Q130" s="26">
        <f t="shared" si="128"/>
        <v>-8.4783322466544888</v>
      </c>
      <c r="W130" t="str">
        <f t="shared" si="129"/>
        <v>41 Administrative occupations</v>
      </c>
      <c r="X130" s="26">
        <f t="shared" si="130"/>
        <v>-5.3105585732149621</v>
      </c>
      <c r="Y130" s="26">
        <f t="shared" si="130"/>
        <v>-4.4314963015496573</v>
      </c>
      <c r="Z130" s="26">
        <f t="shared" si="130"/>
        <v>-27.894972761401561</v>
      </c>
      <c r="AA130" s="26">
        <f t="shared" si="130"/>
        <v>-31.642332256530892</v>
      </c>
      <c r="AB130" s="26">
        <f t="shared" si="131"/>
        <v>-59.537305017932454</v>
      </c>
    </row>
    <row r="131" spans="1:28" x14ac:dyDescent="0.2">
      <c r="A131" t="str">
        <f t="shared" si="123"/>
        <v>42 Secretarial and related occupations</v>
      </c>
      <c r="B131" s="26">
        <f t="shared" si="124"/>
        <v>-8.6789786879084261</v>
      </c>
      <c r="C131" s="26">
        <f t="shared" si="124"/>
        <v>-4.468068663033975</v>
      </c>
      <c r="D131" s="26">
        <f t="shared" si="124"/>
        <v>-0.57250530081380191</v>
      </c>
      <c r="E131" s="26">
        <f t="shared" si="124"/>
        <v>-9.6176898226184306</v>
      </c>
      <c r="F131" s="26">
        <f t="shared" si="125"/>
        <v>-10.190195123432233</v>
      </c>
      <c r="L131" t="str">
        <f t="shared" si="126"/>
        <v>42 Secretarial and related occupations</v>
      </c>
      <c r="M131" s="26">
        <f t="shared" si="127"/>
        <v>-0.96473240014517003</v>
      </c>
      <c r="N131" s="26">
        <f t="shared" si="127"/>
        <v>-0.40960634153988718</v>
      </c>
      <c r="O131" s="26">
        <f t="shared" si="127"/>
        <v>1.0083587679678265</v>
      </c>
      <c r="P131" s="26">
        <f t="shared" si="127"/>
        <v>0.59134930806589736</v>
      </c>
      <c r="Q131" s="26">
        <f t="shared" si="128"/>
        <v>1.5997080760337239</v>
      </c>
      <c r="W131" t="str">
        <f t="shared" si="129"/>
        <v>42 Secretarial and related occupations</v>
      </c>
      <c r="X131" s="26">
        <f t="shared" si="130"/>
        <v>-7.714246287763217</v>
      </c>
      <c r="Y131" s="26">
        <f t="shared" si="130"/>
        <v>-4.0584623214940763</v>
      </c>
      <c r="Z131" s="26">
        <f t="shared" si="130"/>
        <v>-1.5808640687816364</v>
      </c>
      <c r="AA131" s="26">
        <f t="shared" si="130"/>
        <v>-10.209039130684275</v>
      </c>
      <c r="AB131" s="26">
        <f t="shared" si="131"/>
        <v>-11.789903199465911</v>
      </c>
    </row>
    <row r="132" spans="1:28" x14ac:dyDescent="0.2">
      <c r="A132" t="str">
        <f t="shared" si="123"/>
        <v>51 Skilled agricultural and related trades</v>
      </c>
      <c r="B132" s="26">
        <f t="shared" si="124"/>
        <v>0.16924993326975013</v>
      </c>
      <c r="C132" s="26">
        <f t="shared" si="124"/>
        <v>-1.2389172236109403</v>
      </c>
      <c r="D132" s="26">
        <f t="shared" si="124"/>
        <v>1.9868164825568044</v>
      </c>
      <c r="E132" s="26">
        <f t="shared" si="124"/>
        <v>5.2634080895392223</v>
      </c>
      <c r="F132" s="26">
        <f t="shared" si="125"/>
        <v>7.2502245720960268</v>
      </c>
      <c r="L132" t="str">
        <f t="shared" si="126"/>
        <v>51 Skilled agricultural and related trades</v>
      </c>
      <c r="M132" s="26">
        <f t="shared" si="127"/>
        <v>0.70742088222469235</v>
      </c>
      <c r="N132" s="26">
        <f t="shared" si="127"/>
        <v>-3.4389926265913324</v>
      </c>
      <c r="O132" s="26">
        <f t="shared" si="127"/>
        <v>0.48411457723434026</v>
      </c>
      <c r="P132" s="26">
        <f t="shared" si="127"/>
        <v>2.5275213314173008</v>
      </c>
      <c r="Q132" s="26">
        <f t="shared" si="128"/>
        <v>3.0116359086516411</v>
      </c>
      <c r="W132" t="str">
        <f t="shared" si="129"/>
        <v>51 Skilled agricultural and related trades</v>
      </c>
      <c r="X132" s="26">
        <f t="shared" si="130"/>
        <v>-0.5381709489548534</v>
      </c>
      <c r="Y132" s="26">
        <f t="shared" si="130"/>
        <v>2.2000754029803233</v>
      </c>
      <c r="Z132" s="26">
        <f t="shared" si="130"/>
        <v>1.5027019053225121</v>
      </c>
      <c r="AA132" s="26">
        <f t="shared" si="130"/>
        <v>2.7358867581219046</v>
      </c>
      <c r="AB132" s="26">
        <f t="shared" si="131"/>
        <v>4.2385886634444168</v>
      </c>
    </row>
    <row r="133" spans="1:28" x14ac:dyDescent="0.2">
      <c r="A133" t="str">
        <f t="shared" si="123"/>
        <v>52 Skilled metal, electrical and electronic trades</v>
      </c>
      <c r="B133" s="26">
        <f t="shared" si="124"/>
        <v>6.4461376101673551</v>
      </c>
      <c r="C133" s="26">
        <f t="shared" si="124"/>
        <v>-15.187022927684595</v>
      </c>
      <c r="D133" s="26">
        <f t="shared" si="124"/>
        <v>4.5719375286646766</v>
      </c>
      <c r="E133" s="26">
        <f t="shared" si="124"/>
        <v>-3.7796838164996558</v>
      </c>
      <c r="F133" s="26">
        <f t="shared" si="125"/>
        <v>0.79225371216502083</v>
      </c>
      <c r="L133" t="str">
        <f t="shared" si="126"/>
        <v>52 Skilled metal, electrical and electronic trades</v>
      </c>
      <c r="M133" s="26">
        <f t="shared" si="127"/>
        <v>4.3616511727492764</v>
      </c>
      <c r="N133" s="26">
        <f t="shared" si="127"/>
        <v>-14.0367471899647</v>
      </c>
      <c r="O133" s="26">
        <f t="shared" si="127"/>
        <v>-0.39205220962763576</v>
      </c>
      <c r="P133" s="26">
        <f t="shared" si="127"/>
        <v>-4.9045070452402797</v>
      </c>
      <c r="Q133" s="26">
        <f t="shared" si="128"/>
        <v>-5.2965592548679155</v>
      </c>
      <c r="W133" t="str">
        <f t="shared" si="129"/>
        <v>52 Skilled metal, electrical and electronic trades</v>
      </c>
      <c r="X133" s="26">
        <f t="shared" si="130"/>
        <v>2.0844864374185219</v>
      </c>
      <c r="Y133" s="26">
        <f t="shared" si="130"/>
        <v>-1.1502757377202859</v>
      </c>
      <c r="Z133" s="26">
        <f t="shared" si="130"/>
        <v>4.9639897382924651</v>
      </c>
      <c r="AA133" s="26">
        <f t="shared" si="130"/>
        <v>1.1248232287407429</v>
      </c>
      <c r="AB133" s="26">
        <f t="shared" si="131"/>
        <v>6.0888129670332081</v>
      </c>
    </row>
    <row r="134" spans="1:28" x14ac:dyDescent="0.2">
      <c r="A134" t="str">
        <f t="shared" si="123"/>
        <v>53 Skilled construction and building trades</v>
      </c>
      <c r="B134" s="26">
        <f t="shared" si="124"/>
        <v>-20.492706874832521</v>
      </c>
      <c r="C134" s="26">
        <f t="shared" si="124"/>
        <v>-30.381593750206292</v>
      </c>
      <c r="D134" s="26">
        <f t="shared" si="124"/>
        <v>16.511394787529355</v>
      </c>
      <c r="E134" s="26">
        <f t="shared" si="124"/>
        <v>8.7028874288042459</v>
      </c>
      <c r="F134" s="26">
        <f t="shared" si="125"/>
        <v>25.214282216333601</v>
      </c>
      <c r="L134" t="str">
        <f t="shared" si="126"/>
        <v>53 Skilled construction and building trades</v>
      </c>
      <c r="M134" s="26">
        <f t="shared" si="127"/>
        <v>-22.930794891335808</v>
      </c>
      <c r="N134" s="26">
        <f t="shared" si="127"/>
        <v>-28.807613214874976</v>
      </c>
      <c r="O134" s="26">
        <f t="shared" si="127"/>
        <v>15.201942059177711</v>
      </c>
      <c r="P134" s="26">
        <f t="shared" si="127"/>
        <v>6.7827566937395289</v>
      </c>
      <c r="Q134" s="26">
        <f t="shared" si="128"/>
        <v>21.98469875291724</v>
      </c>
      <c r="W134" t="str">
        <f t="shared" si="129"/>
        <v>53 Skilled construction and building trades</v>
      </c>
      <c r="X134" s="26">
        <f t="shared" si="130"/>
        <v>2.4380880165034036</v>
      </c>
      <c r="Y134" s="26">
        <f t="shared" si="130"/>
        <v>-1.573980535331633</v>
      </c>
      <c r="Z134" s="26">
        <f t="shared" si="130"/>
        <v>1.3094527283518902</v>
      </c>
      <c r="AA134" s="26">
        <f t="shared" si="130"/>
        <v>1.9201307350646619</v>
      </c>
      <c r="AB134" s="26">
        <f t="shared" si="131"/>
        <v>3.2295834634165521</v>
      </c>
    </row>
    <row r="135" spans="1:28" x14ac:dyDescent="0.2">
      <c r="A135" t="str">
        <f t="shared" si="123"/>
        <v>54 Textiles, printing and other skilled trades</v>
      </c>
      <c r="B135" s="26">
        <f t="shared" si="124"/>
        <v>-3.5298748128496982E-2</v>
      </c>
      <c r="C135" s="26">
        <f t="shared" si="124"/>
        <v>-15.771248931860029</v>
      </c>
      <c r="D135" s="26">
        <f t="shared" si="124"/>
        <v>4.4578426324943763</v>
      </c>
      <c r="E135" s="26">
        <f t="shared" si="124"/>
        <v>9.0469246049910481</v>
      </c>
      <c r="F135" s="26">
        <f t="shared" si="125"/>
        <v>13.504767237485424</v>
      </c>
      <c r="L135" t="str">
        <f t="shared" si="126"/>
        <v>54 Textiles, printing and other skilled trades</v>
      </c>
      <c r="M135" s="26">
        <f t="shared" si="127"/>
        <v>1.1681076812500635</v>
      </c>
      <c r="N135" s="26">
        <f t="shared" si="127"/>
        <v>-17.483241503456696</v>
      </c>
      <c r="O135" s="26">
        <f t="shared" si="127"/>
        <v>3.5552916651981548</v>
      </c>
      <c r="P135" s="26">
        <f t="shared" si="127"/>
        <v>8.1080805328466994</v>
      </c>
      <c r="Q135" s="26">
        <f t="shared" si="128"/>
        <v>11.663372198044854</v>
      </c>
      <c r="W135" t="str">
        <f t="shared" si="129"/>
        <v>54 Textiles, printing and other skilled trades</v>
      </c>
      <c r="X135" s="26">
        <f t="shared" si="130"/>
        <v>-1.2034064293785747</v>
      </c>
      <c r="Y135" s="26">
        <f t="shared" si="130"/>
        <v>1.7119925715969657</v>
      </c>
      <c r="Z135" s="26">
        <f t="shared" si="130"/>
        <v>0.9025509672959231</v>
      </c>
      <c r="AA135" s="26">
        <f t="shared" si="130"/>
        <v>0.9388440721444411</v>
      </c>
      <c r="AB135" s="26">
        <f t="shared" si="131"/>
        <v>1.8413950394403642</v>
      </c>
    </row>
    <row r="136" spans="1:28" x14ac:dyDescent="0.2">
      <c r="A136" t="str">
        <f t="shared" si="123"/>
        <v>61 Caring personal service occupations</v>
      </c>
      <c r="B136" s="26">
        <f t="shared" si="124"/>
        <v>11.851539089936864</v>
      </c>
      <c r="C136" s="26">
        <f t="shared" si="124"/>
        <v>-12.692797885977029</v>
      </c>
      <c r="D136" s="26">
        <f t="shared" si="124"/>
        <v>21.162091865636853</v>
      </c>
      <c r="E136" s="26">
        <f t="shared" si="124"/>
        <v>15.353167693798866</v>
      </c>
      <c r="F136" s="26">
        <f t="shared" si="125"/>
        <v>36.515259559435719</v>
      </c>
      <c r="L136" t="str">
        <f t="shared" si="126"/>
        <v>61 Caring personal service occupations</v>
      </c>
      <c r="M136" s="26">
        <f t="shared" si="127"/>
        <v>6.590883334787577</v>
      </c>
      <c r="N136" s="26">
        <f t="shared" si="127"/>
        <v>-2.8328419815804082</v>
      </c>
      <c r="O136" s="26">
        <f t="shared" si="127"/>
        <v>13.492252829474047</v>
      </c>
      <c r="P136" s="26">
        <f t="shared" si="127"/>
        <v>10.157214121677072</v>
      </c>
      <c r="Q136" s="26">
        <f t="shared" si="128"/>
        <v>23.649466951151119</v>
      </c>
      <c r="W136" t="str">
        <f t="shared" si="129"/>
        <v>61 Caring personal service occupations</v>
      </c>
      <c r="X136" s="26">
        <f t="shared" si="130"/>
        <v>5.2606557551489743</v>
      </c>
      <c r="Y136" s="26">
        <f t="shared" si="130"/>
        <v>-9.8599559043958322</v>
      </c>
      <c r="Z136" s="26">
        <f t="shared" si="130"/>
        <v>7.6698390361623865</v>
      </c>
      <c r="AA136" s="26">
        <f t="shared" si="130"/>
        <v>5.1959535721217378</v>
      </c>
      <c r="AB136" s="26">
        <f t="shared" si="131"/>
        <v>12.865792608284124</v>
      </c>
    </row>
    <row r="137" spans="1:28" x14ac:dyDescent="0.2">
      <c r="A137" t="str">
        <f t="shared" si="123"/>
        <v>62 Leisure, travel and related personal service occupations</v>
      </c>
      <c r="B137" s="26">
        <f t="shared" si="124"/>
        <v>9.7851978912575959</v>
      </c>
      <c r="C137" s="26">
        <f t="shared" si="124"/>
        <v>-10.478424714608067</v>
      </c>
      <c r="D137" s="26">
        <f t="shared" si="124"/>
        <v>6.3935801452443854</v>
      </c>
      <c r="E137" s="26">
        <f t="shared" si="124"/>
        <v>7.894243611881862</v>
      </c>
      <c r="F137" s="26">
        <f t="shared" si="125"/>
        <v>14.287823757126247</v>
      </c>
      <c r="L137" t="str">
        <f t="shared" si="126"/>
        <v>62 Leisure, travel and related personal service occupations</v>
      </c>
      <c r="M137" s="26">
        <f t="shared" si="127"/>
        <v>5.663724891654681</v>
      </c>
      <c r="N137" s="26">
        <f t="shared" si="127"/>
        <v>-1.6690791523043345</v>
      </c>
      <c r="O137" s="26">
        <f t="shared" si="127"/>
        <v>2.5178531602699366</v>
      </c>
      <c r="P137" s="26">
        <f t="shared" si="127"/>
        <v>4.1595852993387226</v>
      </c>
      <c r="Q137" s="26">
        <f t="shared" si="128"/>
        <v>6.6774384596086591</v>
      </c>
      <c r="W137" t="str">
        <f t="shared" si="129"/>
        <v>62 Leisure, travel and related personal service occupations</v>
      </c>
      <c r="X137" s="26">
        <f t="shared" si="130"/>
        <v>4.1214729996029718</v>
      </c>
      <c r="Y137" s="26">
        <f t="shared" si="130"/>
        <v>-8.8093455623035908</v>
      </c>
      <c r="Z137" s="26">
        <f t="shared" si="130"/>
        <v>3.8757269849743494</v>
      </c>
      <c r="AA137" s="26">
        <f t="shared" si="130"/>
        <v>3.7346583125431465</v>
      </c>
      <c r="AB137" s="26">
        <f t="shared" si="131"/>
        <v>7.6103852975174959</v>
      </c>
    </row>
    <row r="138" spans="1:28" x14ac:dyDescent="0.2">
      <c r="A138" t="str">
        <f t="shared" si="123"/>
        <v>63 Community and civil enforcement occupations</v>
      </c>
      <c r="B138" s="26">
        <f t="shared" si="124"/>
        <v>-0.56766444714261954</v>
      </c>
      <c r="C138" s="26">
        <f t="shared" si="124"/>
        <v>1.3683952395709982</v>
      </c>
      <c r="D138" s="26">
        <f t="shared" si="124"/>
        <v>-1.1032622505105421</v>
      </c>
      <c r="E138" s="26">
        <f t="shared" si="124"/>
        <v>0.35407983927797027</v>
      </c>
      <c r="F138" s="26">
        <f t="shared" si="125"/>
        <v>-0.74918241123257179</v>
      </c>
      <c r="L138" t="str">
        <f t="shared" si="126"/>
        <v>63 Community and civil enforcement occupations</v>
      </c>
      <c r="M138" s="26">
        <f t="shared" si="127"/>
        <v>-0.95377672278693026</v>
      </c>
      <c r="N138" s="26">
        <f t="shared" si="127"/>
        <v>1.665546120855387</v>
      </c>
      <c r="O138" s="26">
        <f t="shared" si="127"/>
        <v>-1.7314782961892536</v>
      </c>
      <c r="P138" s="26">
        <f t="shared" si="127"/>
        <v>0.43894431209283313</v>
      </c>
      <c r="Q138" s="26">
        <f t="shared" si="128"/>
        <v>-1.2925339840964205</v>
      </c>
      <c r="W138" t="str">
        <f t="shared" si="129"/>
        <v>63 Community and civil enforcement occupations</v>
      </c>
      <c r="X138" s="26">
        <f t="shared" si="130"/>
        <v>0.38611227564430961</v>
      </c>
      <c r="Y138" s="26">
        <f t="shared" si="130"/>
        <v>-0.2971508812843906</v>
      </c>
      <c r="Z138" s="26">
        <f t="shared" si="130"/>
        <v>0.62821604567872269</v>
      </c>
      <c r="AA138" s="26">
        <f t="shared" si="130"/>
        <v>-8.4864472814868641E-2</v>
      </c>
      <c r="AB138" s="26">
        <f t="shared" si="131"/>
        <v>0.54335157286385405</v>
      </c>
    </row>
    <row r="139" spans="1:28" x14ac:dyDescent="0.2">
      <c r="A139" t="str">
        <f t="shared" si="123"/>
        <v>71 Sales occupations</v>
      </c>
      <c r="B139" s="26">
        <f t="shared" si="124"/>
        <v>-33.819515376421975</v>
      </c>
      <c r="C139" s="26">
        <f t="shared" si="124"/>
        <v>-6.7295367121723189</v>
      </c>
      <c r="D139" s="26">
        <f t="shared" si="124"/>
        <v>-21.861204389912672</v>
      </c>
      <c r="E139" s="26">
        <f t="shared" si="124"/>
        <v>-11.563421030384774</v>
      </c>
      <c r="F139" s="26">
        <f t="shared" si="125"/>
        <v>-33.424625420297446</v>
      </c>
      <c r="L139" t="str">
        <f t="shared" si="126"/>
        <v>71 Sales occupations</v>
      </c>
      <c r="M139" s="26">
        <f t="shared" si="127"/>
        <v>-8.1165104062423268</v>
      </c>
      <c r="N139" s="26">
        <f t="shared" si="127"/>
        <v>-3.713659785934027</v>
      </c>
      <c r="O139" s="26">
        <f t="shared" si="127"/>
        <v>-8.4742470544542812</v>
      </c>
      <c r="P139" s="26">
        <f t="shared" si="127"/>
        <v>-1.1003225091168076</v>
      </c>
      <c r="Q139" s="26">
        <f t="shared" si="128"/>
        <v>-9.5745695635710888</v>
      </c>
      <c r="W139" t="str">
        <f t="shared" si="129"/>
        <v>71 Sales occupations</v>
      </c>
      <c r="X139" s="26">
        <f t="shared" si="130"/>
        <v>-25.703004970180274</v>
      </c>
      <c r="Y139" s="26">
        <f t="shared" si="130"/>
        <v>-3.0158769262383203</v>
      </c>
      <c r="Z139" s="26">
        <f t="shared" si="130"/>
        <v>-13.38695733545859</v>
      </c>
      <c r="AA139" s="26">
        <f t="shared" si="130"/>
        <v>-10.463098521267582</v>
      </c>
      <c r="AB139" s="26">
        <f t="shared" si="131"/>
        <v>-23.850055856726172</v>
      </c>
    </row>
    <row r="140" spans="1:28" x14ac:dyDescent="0.2">
      <c r="A140" t="str">
        <f t="shared" si="123"/>
        <v>72 Customer service occupations</v>
      </c>
      <c r="B140" s="26">
        <f t="shared" si="124"/>
        <v>6.3188380389959775</v>
      </c>
      <c r="C140" s="26">
        <f t="shared" si="124"/>
        <v>0.4800211822867908</v>
      </c>
      <c r="D140" s="26">
        <f t="shared" si="124"/>
        <v>23.092707707691858</v>
      </c>
      <c r="E140" s="26">
        <f t="shared" si="124"/>
        <v>9.739108744500939</v>
      </c>
      <c r="F140" s="26">
        <f t="shared" si="125"/>
        <v>32.831816452192797</v>
      </c>
      <c r="L140" t="str">
        <f t="shared" si="126"/>
        <v>72 Customer service occupations</v>
      </c>
      <c r="M140" s="26">
        <f t="shared" si="127"/>
        <v>-1.6904319008266491</v>
      </c>
      <c r="N140" s="26">
        <f t="shared" si="127"/>
        <v>3.9526835182972988</v>
      </c>
      <c r="O140" s="26">
        <f t="shared" si="127"/>
        <v>10.877531898781605</v>
      </c>
      <c r="P140" s="26">
        <f t="shared" si="127"/>
        <v>4.6480103341154404</v>
      </c>
      <c r="Q140" s="26">
        <f t="shared" si="128"/>
        <v>15.525542232897045</v>
      </c>
      <c r="W140" t="str">
        <f t="shared" si="129"/>
        <v>72 Customer service occupations</v>
      </c>
      <c r="X140" s="26">
        <f t="shared" si="130"/>
        <v>8.0092699398228078</v>
      </c>
      <c r="Y140" s="26">
        <f t="shared" si="130"/>
        <v>-3.4726623360108064</v>
      </c>
      <c r="Z140" s="26">
        <f t="shared" si="130"/>
        <v>12.215175808910146</v>
      </c>
      <c r="AA140" s="26">
        <f t="shared" si="130"/>
        <v>5.0910984103857118</v>
      </c>
      <c r="AB140" s="26">
        <f t="shared" si="131"/>
        <v>17.306274219295858</v>
      </c>
    </row>
    <row r="141" spans="1:28" x14ac:dyDescent="0.2">
      <c r="A141" t="str">
        <f t="shared" si="123"/>
        <v>81 Process, plant and machine operatives</v>
      </c>
      <c r="B141" s="26">
        <f t="shared" si="124"/>
        <v>-1.4667034852473151</v>
      </c>
      <c r="C141" s="26">
        <f t="shared" si="124"/>
        <v>-2.8618761986622623</v>
      </c>
      <c r="D141" s="26">
        <f t="shared" si="124"/>
        <v>7.0333224693862455</v>
      </c>
      <c r="E141" s="26">
        <f t="shared" si="124"/>
        <v>2.8597729905412734</v>
      </c>
      <c r="F141" s="26">
        <f t="shared" si="125"/>
        <v>9.8930954599275189</v>
      </c>
      <c r="L141" t="str">
        <f t="shared" si="126"/>
        <v>81 Process, plant and machine operatives</v>
      </c>
      <c r="M141" s="26">
        <f t="shared" si="127"/>
        <v>-1.3871944489472021</v>
      </c>
      <c r="N141" s="26">
        <f t="shared" si="127"/>
        <v>-2.825674901362099</v>
      </c>
      <c r="O141" s="26">
        <f t="shared" si="127"/>
        <v>4.4719039849518296</v>
      </c>
      <c r="P141" s="26">
        <f t="shared" si="127"/>
        <v>0.99068858292601902</v>
      </c>
      <c r="Q141" s="26">
        <f t="shared" si="128"/>
        <v>5.4625925678778486</v>
      </c>
      <c r="W141" t="str">
        <f t="shared" si="129"/>
        <v>81 Process, plant and machine operatives</v>
      </c>
      <c r="X141" s="26">
        <f t="shared" si="130"/>
        <v>-7.9509036300338565E-2</v>
      </c>
      <c r="Y141" s="26">
        <f t="shared" si="130"/>
        <v>-3.6201297300001656E-2</v>
      </c>
      <c r="Z141" s="26">
        <f t="shared" si="130"/>
        <v>2.5614184844343626</v>
      </c>
      <c r="AA141" s="26">
        <f t="shared" si="130"/>
        <v>1.8690844076151976</v>
      </c>
      <c r="AB141" s="26">
        <f t="shared" si="131"/>
        <v>4.4305028920495602</v>
      </c>
    </row>
    <row r="142" spans="1:28" x14ac:dyDescent="0.2">
      <c r="A142" t="str">
        <f t="shared" si="123"/>
        <v>82 Transport and mobile machine drivers and operatives</v>
      </c>
      <c r="B142" s="26">
        <f t="shared" si="124"/>
        <v>24.167756954902671</v>
      </c>
      <c r="C142" s="26">
        <f t="shared" si="124"/>
        <v>-22.958828360765153</v>
      </c>
      <c r="D142" s="26">
        <f t="shared" si="124"/>
        <v>21.407747403309685</v>
      </c>
      <c r="E142" s="26">
        <f t="shared" si="124"/>
        <v>-3.0799229993199049</v>
      </c>
      <c r="F142" s="26">
        <f t="shared" si="125"/>
        <v>18.32782440398978</v>
      </c>
      <c r="L142" t="str">
        <f t="shared" si="126"/>
        <v>82 Transport and mobile machine drivers and operatives</v>
      </c>
      <c r="M142" s="26">
        <f t="shared" si="127"/>
        <v>25.522216902773948</v>
      </c>
      <c r="N142" s="26">
        <f t="shared" si="127"/>
        <v>-23.844287791510737</v>
      </c>
      <c r="O142" s="26">
        <f t="shared" si="127"/>
        <v>15.814853941305216</v>
      </c>
      <c r="P142" s="26">
        <f t="shared" si="127"/>
        <v>-4.9097477813326122</v>
      </c>
      <c r="Q142" s="26">
        <f t="shared" si="128"/>
        <v>10.905106159972604</v>
      </c>
      <c r="W142" t="str">
        <f t="shared" si="129"/>
        <v>82 Transport and mobile machine drivers and operatives</v>
      </c>
      <c r="X142" s="26">
        <f t="shared" si="130"/>
        <v>-1.3544599478716748</v>
      </c>
      <c r="Y142" s="26">
        <f t="shared" si="130"/>
        <v>0.88545943074542954</v>
      </c>
      <c r="Z142" s="26">
        <f t="shared" si="130"/>
        <v>5.5928934620042181</v>
      </c>
      <c r="AA142" s="26">
        <f t="shared" si="130"/>
        <v>1.8298247820136417</v>
      </c>
      <c r="AB142" s="26">
        <f t="shared" si="131"/>
        <v>7.4227182440178598</v>
      </c>
    </row>
    <row r="143" spans="1:28" x14ac:dyDescent="0.2">
      <c r="A143" t="str">
        <f t="shared" si="123"/>
        <v>91 Elementary trades and related occupations</v>
      </c>
      <c r="B143" s="26">
        <f t="shared" si="124"/>
        <v>-4.1154498718120252</v>
      </c>
      <c r="C143" s="26">
        <f t="shared" si="124"/>
        <v>-4.1504512072755588</v>
      </c>
      <c r="D143" s="26">
        <f t="shared" si="124"/>
        <v>-6.7693144734394153</v>
      </c>
      <c r="E143" s="26">
        <f t="shared" si="124"/>
        <v>-1.8243817577413459</v>
      </c>
      <c r="F143" s="26">
        <f t="shared" si="125"/>
        <v>-8.5936962311807612</v>
      </c>
      <c r="L143" t="str">
        <f t="shared" si="126"/>
        <v>91 Elementary trades and related occupations</v>
      </c>
      <c r="M143" s="26">
        <f t="shared" si="127"/>
        <v>-2.6155245770964726</v>
      </c>
      <c r="N143" s="26">
        <f t="shared" si="127"/>
        <v>-3.3672876219289058</v>
      </c>
      <c r="O143" s="26">
        <f t="shared" si="127"/>
        <v>-6.3341581038856489</v>
      </c>
      <c r="P143" s="26">
        <f t="shared" si="127"/>
        <v>-1.8062201980760975</v>
      </c>
      <c r="Q143" s="26">
        <f t="shared" si="128"/>
        <v>-8.1403783019617464</v>
      </c>
      <c r="W143" t="str">
        <f t="shared" si="129"/>
        <v>91 Elementary trades and related occupations</v>
      </c>
      <c r="X143" s="26">
        <f t="shared" si="130"/>
        <v>-1.4999252947155153</v>
      </c>
      <c r="Y143" s="26">
        <f t="shared" si="130"/>
        <v>-0.78316358534667163</v>
      </c>
      <c r="Z143" s="26">
        <f t="shared" si="130"/>
        <v>-0.43515636955368198</v>
      </c>
      <c r="AA143" s="26">
        <f t="shared" si="130"/>
        <v>-1.8161559665336391E-2</v>
      </c>
      <c r="AB143" s="26">
        <f t="shared" si="131"/>
        <v>-0.45331792921901837</v>
      </c>
    </row>
    <row r="144" spans="1:28" x14ac:dyDescent="0.2">
      <c r="A144" t="str">
        <f t="shared" si="123"/>
        <v>92 Elementary administration and service occupations</v>
      </c>
      <c r="B144" s="26">
        <f t="shared" si="124"/>
        <v>28.938419353819938</v>
      </c>
      <c r="C144" s="26">
        <f t="shared" si="124"/>
        <v>-43.382023319328823</v>
      </c>
      <c r="D144" s="26">
        <f t="shared" si="124"/>
        <v>13.767553636075718</v>
      </c>
      <c r="E144" s="26">
        <f t="shared" si="124"/>
        <v>-1.9532651107074912</v>
      </c>
      <c r="F144" s="26">
        <f t="shared" si="125"/>
        <v>11.814288525368227</v>
      </c>
      <c r="L144" t="str">
        <f t="shared" si="126"/>
        <v>92 Elementary administration and service occupations</v>
      </c>
      <c r="M144" s="26">
        <f t="shared" si="127"/>
        <v>6.7768924476490042</v>
      </c>
      <c r="N144" s="26">
        <f t="shared" si="127"/>
        <v>-10.015353023694018</v>
      </c>
      <c r="O144" s="26">
        <f t="shared" si="127"/>
        <v>14.941646136244032</v>
      </c>
      <c r="P144" s="26">
        <f t="shared" si="127"/>
        <v>-3.197960884971792</v>
      </c>
      <c r="Q144" s="26">
        <f t="shared" si="128"/>
        <v>11.74368525127224</v>
      </c>
      <c r="W144" t="str">
        <f t="shared" si="129"/>
        <v>92 Elementary administration and service occupations</v>
      </c>
      <c r="X144" s="26">
        <f t="shared" si="130"/>
        <v>22.161526906168945</v>
      </c>
      <c r="Y144" s="26">
        <f t="shared" si="130"/>
        <v>-33.366670295633554</v>
      </c>
      <c r="Z144" s="26">
        <f t="shared" si="130"/>
        <v>-1.1740925001685696</v>
      </c>
      <c r="AA144" s="26">
        <f t="shared" si="130"/>
        <v>1.244695774263846</v>
      </c>
      <c r="AB144" s="26">
        <f t="shared" si="131"/>
        <v>7.0603274095276447E-2</v>
      </c>
    </row>
    <row r="145" spans="1:31" x14ac:dyDescent="0.2">
      <c r="C145" s="26"/>
      <c r="F145" s="26"/>
      <c r="N145" s="26"/>
      <c r="Q145" s="26"/>
      <c r="Y145" s="26"/>
      <c r="AB145" s="26"/>
    </row>
    <row r="146" spans="1:31" x14ac:dyDescent="0.2">
      <c r="A146" s="23" t="str">
        <f>A35</f>
        <v>All occupations</v>
      </c>
      <c r="B146" s="28">
        <f>C35-B35</f>
        <v>396.56099999415619</v>
      </c>
      <c r="C146" s="28">
        <f t="shared" ref="C146" si="132">D35-C35</f>
        <v>-32.735999992933102</v>
      </c>
      <c r="D146" s="28">
        <f>E35-D35</f>
        <v>241.91700000536821</v>
      </c>
      <c r="E146" s="28">
        <f>F35-E35</f>
        <v>301.43699999676301</v>
      </c>
      <c r="F146" s="28">
        <f t="shared" ref="F146" si="133">F35-D35</f>
        <v>543.35400000213122</v>
      </c>
      <c r="L146" s="23" t="str">
        <f>L35</f>
        <v>All occupations</v>
      </c>
      <c r="M146" s="28">
        <f>N35-M35</f>
        <v>213.14299999536888</v>
      </c>
      <c r="N146" s="28">
        <f t="shared" ref="N146" si="134">O35-N35</f>
        <v>-48.902999991599245</v>
      </c>
      <c r="O146" s="28">
        <f>P35-O35</f>
        <v>135.49900000331172</v>
      </c>
      <c r="P146" s="28">
        <f>Q35-P35</f>
        <v>157.87899999717138</v>
      </c>
      <c r="Q146" s="28">
        <f t="shared" ref="Q146" si="135">Q35-O35</f>
        <v>293.3780000004831</v>
      </c>
      <c r="W146" s="23" t="str">
        <f>W35</f>
        <v>All occupations</v>
      </c>
      <c r="X146" s="28">
        <f>Y35-X35</f>
        <v>183.41799999878913</v>
      </c>
      <c r="Y146" s="28">
        <f t="shared" ref="Y146" si="136">Z35-Y35</f>
        <v>16.166999998666142</v>
      </c>
      <c r="Z146" s="28">
        <f>AA35-Z35</f>
        <v>106.4180000020574</v>
      </c>
      <c r="AA146" s="28">
        <f>AB35-AA35</f>
        <v>143.55799999959163</v>
      </c>
      <c r="AB146" s="28">
        <f t="shared" ref="AB146" si="137">AB35-Z35</f>
        <v>249.97600000164903</v>
      </c>
    </row>
    <row r="150" spans="1:31" x14ac:dyDescent="0.2">
      <c r="D150" s="1" t="s">
        <v>13</v>
      </c>
      <c r="H150" s="40" t="s">
        <v>41</v>
      </c>
      <c r="O150" s="1" t="s">
        <v>13</v>
      </c>
      <c r="S150" s="40" t="s">
        <v>41</v>
      </c>
      <c r="Z150" s="1" t="s">
        <v>13</v>
      </c>
      <c r="AD150" s="40" t="s">
        <v>41</v>
      </c>
    </row>
    <row r="151" spans="1:31" x14ac:dyDescent="0.2">
      <c r="A151" s="21"/>
      <c r="B151" s="22">
        <f>B6</f>
        <v>2015</v>
      </c>
      <c r="C151" s="22">
        <f t="shared" ref="C151:F151" si="138">C6</f>
        <v>2019</v>
      </c>
      <c r="D151" s="22">
        <f t="shared" si="138"/>
        <v>2020</v>
      </c>
      <c r="E151" s="22">
        <f t="shared" si="138"/>
        <v>2025</v>
      </c>
      <c r="F151" s="22">
        <f t="shared" si="138"/>
        <v>2035</v>
      </c>
      <c r="H151" s="74" t="str">
        <f>CONCATENATE(B$6,"-",D$6)</f>
        <v>2015-2020</v>
      </c>
      <c r="I151" s="74" t="str">
        <f>CONCATENATE(D$6,"-",F$6)</f>
        <v>2020-2035</v>
      </c>
      <c r="L151" s="21"/>
      <c r="M151" s="22">
        <f>M6</f>
        <v>2015</v>
      </c>
      <c r="N151" s="22">
        <f t="shared" ref="N151:Q151" si="139">N6</f>
        <v>2019</v>
      </c>
      <c r="O151" s="22">
        <f t="shared" si="139"/>
        <v>2020</v>
      </c>
      <c r="P151" s="22">
        <f t="shared" si="139"/>
        <v>2025</v>
      </c>
      <c r="Q151" s="22">
        <f t="shared" si="139"/>
        <v>2035</v>
      </c>
      <c r="S151" s="74" t="str">
        <f>CONCATENATE(M$6,"-",O$6)</f>
        <v>2015-2020</v>
      </c>
      <c r="T151" s="74" t="str">
        <f>CONCATENATE(O$6,"-",Q$6)</f>
        <v>2020-2035</v>
      </c>
      <c r="W151" s="21"/>
      <c r="X151" s="22">
        <f>X6</f>
        <v>2015</v>
      </c>
      <c r="Y151" s="22">
        <f t="shared" ref="Y151:AB151" si="140">Y6</f>
        <v>2019</v>
      </c>
      <c r="Z151" s="22">
        <f t="shared" si="140"/>
        <v>2020</v>
      </c>
      <c r="AA151" s="22">
        <f t="shared" si="140"/>
        <v>2025</v>
      </c>
      <c r="AB151" s="22">
        <f t="shared" si="140"/>
        <v>2035</v>
      </c>
      <c r="AD151" s="74" t="str">
        <f>CONCATENATE(X$6,"-",Z$6)</f>
        <v>2015-2020</v>
      </c>
      <c r="AE151" s="74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39"/>
      <c r="I152" s="39"/>
      <c r="L152" s="10"/>
      <c r="M152" s="11"/>
      <c r="N152" s="11"/>
      <c r="O152" s="11"/>
      <c r="P152" s="11"/>
      <c r="Q152" s="11"/>
      <c r="S152" s="39"/>
      <c r="T152" s="39"/>
      <c r="W152" s="10"/>
      <c r="X152" s="11"/>
      <c r="Y152" s="11"/>
      <c r="Z152" s="11"/>
      <c r="AA152" s="11"/>
      <c r="AB152" s="11"/>
      <c r="AD152" s="39"/>
      <c r="AE152" s="39"/>
    </row>
    <row r="153" spans="1:31" x14ac:dyDescent="0.2">
      <c r="A153" s="10" t="str">
        <f t="shared" ref="A153:B178" si="141">A8</f>
        <v>11 Corporate managers and directors</v>
      </c>
      <c r="B153" s="11">
        <f t="shared" si="141"/>
        <v>439.61936541253647</v>
      </c>
      <c r="C153" s="11">
        <f t="shared" ref="C153:F153" si="142">C8</f>
        <v>523.51058807019922</v>
      </c>
      <c r="D153" s="11">
        <f t="shared" si="142"/>
        <v>526.87103828580155</v>
      </c>
      <c r="E153" s="11">
        <f t="shared" si="142"/>
        <v>503.60123376081771</v>
      </c>
      <c r="F153" s="11">
        <f t="shared" si="142"/>
        <v>543.51331220374857</v>
      </c>
      <c r="H153" s="39">
        <f>IF(D$151-B$151 &lt;&gt; 0,(EXP(LN(D153/B153)/(D$151-B$151))-1)*100,0)</f>
        <v>3.687284863990592</v>
      </c>
      <c r="I153" s="39">
        <f>IF(F$151-D$151 &lt;&gt; 0,(EXP(LN(F153/D153)/(F$151-D$151))-1)*100,0)</f>
        <v>0.20753766374692617</v>
      </c>
      <c r="L153" s="10" t="str">
        <f>L8</f>
        <v>11 Corporate managers and directors</v>
      </c>
      <c r="M153" s="11">
        <f>M8</f>
        <v>289.72428530659084</v>
      </c>
      <c r="N153" s="11">
        <f t="shared" ref="N153:Q153" si="143">N8</f>
        <v>335.14190112111891</v>
      </c>
      <c r="O153" s="11">
        <f t="shared" si="143"/>
        <v>333.65978022366335</v>
      </c>
      <c r="P153" s="11">
        <f t="shared" si="143"/>
        <v>308.0565371100588</v>
      </c>
      <c r="Q153" s="11">
        <f t="shared" si="143"/>
        <v>322.50349407045547</v>
      </c>
      <c r="S153" s="39">
        <f>IF(O$151-M$151 &lt;&gt; 0,(EXP(LN(O153/M153)/(O$151-M$151))-1)*100,0)</f>
        <v>2.8640908139224042</v>
      </c>
      <c r="T153" s="39">
        <f>IF(Q$151-O$151 &lt;&gt; 0,(EXP(LN(Q153/O153)/(Q$151-O$151))-1)*100,0)</f>
        <v>-0.22646239438635085</v>
      </c>
      <c r="W153" s="10" t="str">
        <f>W8</f>
        <v>11 Corporate managers and directors</v>
      </c>
      <c r="X153" s="11">
        <f>X8</f>
        <v>149.89508010594568</v>
      </c>
      <c r="Y153" s="11">
        <f t="shared" ref="Y153:AB153" si="144">Y8</f>
        <v>188.36868694907997</v>
      </c>
      <c r="Z153" s="11">
        <f t="shared" si="144"/>
        <v>193.2112580621386</v>
      </c>
      <c r="AA153" s="11">
        <f t="shared" si="144"/>
        <v>195.54469665076041</v>
      </c>
      <c r="AB153" s="11">
        <f t="shared" si="144"/>
        <v>221.00981813329261</v>
      </c>
      <c r="AD153" s="39">
        <f>IF(Z$151-X$151 &lt;&gt; 0,(EXP(LN(Z153/X153)/(Z$151-X$151))-1)*100,0)</f>
        <v>5.2080593998338642</v>
      </c>
      <c r="AE153" s="39">
        <f>IF(AB$151-Z$151 &lt;&gt; 0,(EXP(LN(AB153/Z153)/(AB$151-Z$151))-1)*100,0)</f>
        <v>0.90018037086796454</v>
      </c>
    </row>
    <row r="154" spans="1:31" x14ac:dyDescent="0.2">
      <c r="A154" s="10" t="str">
        <f t="shared" si="141"/>
        <v>12 Other managers and proprietors</v>
      </c>
      <c r="B154" s="11">
        <f t="shared" si="141"/>
        <v>186.84262660144509</v>
      </c>
      <c r="C154" s="11">
        <f t="shared" ref="C154:F178" si="145">C9</f>
        <v>201.36033731346231</v>
      </c>
      <c r="D154" s="11">
        <f t="shared" si="145"/>
        <v>198.20219409915316</v>
      </c>
      <c r="E154" s="11">
        <f t="shared" si="145"/>
        <v>250.48939255217397</v>
      </c>
      <c r="F154" s="11">
        <f t="shared" si="145"/>
        <v>281.91344778289721</v>
      </c>
      <c r="H154" s="39">
        <f t="shared" ref="H154:H180" si="146">IF(D$151-B$151 &lt;&gt; 0,(EXP(LN(D154/B154)/(D$151-B$151))-1)*100,0)</f>
        <v>1.1874144187313806</v>
      </c>
      <c r="I154" s="39">
        <f t="shared" ref="I154:I180" si="147">IF(F$151-D$151 &lt;&gt; 0,(EXP(LN(F154/D154)/(F$151-D$151))-1)*100,0)</f>
        <v>2.3765497394548474</v>
      </c>
      <c r="L154" s="10" t="str">
        <f t="shared" ref="L154:Q154" si="148">L9</f>
        <v>12 Other managers and proprietors</v>
      </c>
      <c r="M154" s="11">
        <f t="shared" si="148"/>
        <v>117.11055659265449</v>
      </c>
      <c r="N154" s="11">
        <f t="shared" si="148"/>
        <v>126.92296972666769</v>
      </c>
      <c r="O154" s="11">
        <f t="shared" si="148"/>
        <v>122.29071568774309</v>
      </c>
      <c r="P154" s="11">
        <f t="shared" si="148"/>
        <v>157.65268425532173</v>
      </c>
      <c r="Q154" s="11">
        <f t="shared" si="148"/>
        <v>176.2733630917875</v>
      </c>
      <c r="S154" s="39">
        <f t="shared" ref="S154:S177" si="149">IF(O$151-M$151 &lt;&gt; 0,(EXP(LN(O154/M154)/(O$151-M$151))-1)*100,0)</f>
        <v>0.86941179638435617</v>
      </c>
      <c r="T154" s="39">
        <f t="shared" ref="T154:T177" si="150">IF(Q$151-O$151 &lt;&gt; 0,(EXP(LN(Q154/O154)/(Q$151-O$151))-1)*100,0)</f>
        <v>2.4675172607969698</v>
      </c>
      <c r="W154" s="10" t="str">
        <f t="shared" ref="W154:AB154" si="151">W9</f>
        <v>12 Other managers and proprietors</v>
      </c>
      <c r="X154" s="11">
        <f t="shared" si="151"/>
        <v>69.732070008791112</v>
      </c>
      <c r="Y154" s="11">
        <f t="shared" si="151"/>
        <v>74.437367586795247</v>
      </c>
      <c r="Z154" s="11">
        <f t="shared" si="151"/>
        <v>75.911478411410002</v>
      </c>
      <c r="AA154" s="11">
        <f t="shared" si="151"/>
        <v>92.836708296852862</v>
      </c>
      <c r="AB154" s="11">
        <f t="shared" si="151"/>
        <v>105.64008469111016</v>
      </c>
      <c r="AD154" s="39">
        <f t="shared" ref="AD154:AD177" si="152">IF(Z$151-X$151 &lt;&gt; 0,(EXP(LN(Z154/X154)/(Z$151-X$151))-1)*100,0)</f>
        <v>1.7126520940899947</v>
      </c>
      <c r="AE154" s="39">
        <f t="shared" ref="AE154:AE177" si="153">IF(AB$151-Z$151 &lt;&gt; 0,(EXP(LN(AB154/Z154)/(AB$151-Z$151))-1)*100,0)</f>
        <v>2.2275814285199091</v>
      </c>
    </row>
    <row r="155" spans="1:31" x14ac:dyDescent="0.2">
      <c r="A155" s="10" t="str">
        <f t="shared" si="141"/>
        <v>21 Science, research, engineering and technology professionals</v>
      </c>
      <c r="B155" s="11">
        <f t="shared" si="141"/>
        <v>341.5971984313648</v>
      </c>
      <c r="C155" s="11">
        <f t="shared" si="145"/>
        <v>405.77951277913274</v>
      </c>
      <c r="D155" s="11">
        <f t="shared" si="145"/>
        <v>423.83885764393955</v>
      </c>
      <c r="E155" s="11">
        <f t="shared" si="145"/>
        <v>461.74616557018186</v>
      </c>
      <c r="F155" s="11">
        <f t="shared" si="145"/>
        <v>511.56986191940257</v>
      </c>
      <c r="H155" s="39">
        <f t="shared" si="146"/>
        <v>4.408845610371781</v>
      </c>
      <c r="I155" s="39">
        <f t="shared" si="147"/>
        <v>1.2621036641635719</v>
      </c>
      <c r="L155" s="10" t="str">
        <f t="shared" ref="L155:Q155" si="154">L10</f>
        <v>21 Science, research, engineering and technology professionals</v>
      </c>
      <c r="M155" s="11">
        <f t="shared" si="154"/>
        <v>250.16438166963553</v>
      </c>
      <c r="N155" s="11">
        <f t="shared" si="154"/>
        <v>302.41853979156429</v>
      </c>
      <c r="O155" s="11">
        <f t="shared" si="154"/>
        <v>298.12697471901004</v>
      </c>
      <c r="P155" s="11">
        <f t="shared" si="154"/>
        <v>313.03748999057257</v>
      </c>
      <c r="Q155" s="11">
        <f t="shared" si="154"/>
        <v>340.13344152877369</v>
      </c>
      <c r="S155" s="39">
        <f t="shared" si="149"/>
        <v>3.5702822055958539</v>
      </c>
      <c r="T155" s="39">
        <f t="shared" si="150"/>
        <v>0.88266289894638472</v>
      </c>
      <c r="W155" s="10" t="str">
        <f t="shared" ref="W155:AB155" si="155">W10</f>
        <v>21 Science, research, engineering and technology professionals</v>
      </c>
      <c r="X155" s="11">
        <f t="shared" si="155"/>
        <v>91.432816761728361</v>
      </c>
      <c r="Y155" s="11">
        <f t="shared" si="155"/>
        <v>103.36097298756994</v>
      </c>
      <c r="Z155" s="11">
        <f t="shared" si="155"/>
        <v>125.71188292492882</v>
      </c>
      <c r="AA155" s="11">
        <f t="shared" si="155"/>
        <v>148.70867557960983</v>
      </c>
      <c r="AB155" s="11">
        <f t="shared" si="155"/>
        <v>171.43642039063005</v>
      </c>
      <c r="AD155" s="39">
        <f t="shared" si="152"/>
        <v>6.5748785529413878</v>
      </c>
      <c r="AE155" s="39">
        <f t="shared" si="153"/>
        <v>2.0896662224294538</v>
      </c>
    </row>
    <row r="156" spans="1:31" x14ac:dyDescent="0.2">
      <c r="A156" s="10" t="str">
        <f t="shared" si="141"/>
        <v>22 Health professionals</v>
      </c>
      <c r="B156" s="11">
        <f t="shared" si="141"/>
        <v>253.3802593272118</v>
      </c>
      <c r="C156" s="11">
        <f t="shared" si="145"/>
        <v>292.86266274936236</v>
      </c>
      <c r="D156" s="11">
        <f t="shared" si="145"/>
        <v>289.86377178651531</v>
      </c>
      <c r="E156" s="11">
        <f t="shared" si="145"/>
        <v>306.86800344284825</v>
      </c>
      <c r="F156" s="11">
        <f t="shared" si="145"/>
        <v>314.63253825255418</v>
      </c>
      <c r="H156" s="39">
        <f t="shared" si="146"/>
        <v>2.7269118245508261</v>
      </c>
      <c r="I156" s="39">
        <f t="shared" si="147"/>
        <v>0.54812575904370497</v>
      </c>
      <c r="L156" s="10" t="str">
        <f t="shared" ref="L156:Q156" si="156">L11</f>
        <v>22 Health professionals</v>
      </c>
      <c r="M156" s="11">
        <f t="shared" si="156"/>
        <v>58.337248749641851</v>
      </c>
      <c r="N156" s="11">
        <f t="shared" si="156"/>
        <v>72.44115491487959</v>
      </c>
      <c r="O156" s="11">
        <f t="shared" si="156"/>
        <v>80.940671499860514</v>
      </c>
      <c r="P156" s="11">
        <f t="shared" si="156"/>
        <v>85.345250381515783</v>
      </c>
      <c r="Q156" s="11">
        <f t="shared" si="156"/>
        <v>88.354003956826389</v>
      </c>
      <c r="S156" s="39">
        <f t="shared" si="149"/>
        <v>6.7687533659795518</v>
      </c>
      <c r="T156" s="39">
        <f t="shared" si="150"/>
        <v>0.5859438500393388</v>
      </c>
      <c r="W156" s="10" t="str">
        <f t="shared" ref="W156:AB156" si="157">W11</f>
        <v>22 Health professionals</v>
      </c>
      <c r="X156" s="11">
        <f t="shared" si="157"/>
        <v>195.04301057756976</v>
      </c>
      <c r="Y156" s="11">
        <f t="shared" si="157"/>
        <v>220.42150783448261</v>
      </c>
      <c r="Z156" s="11">
        <f t="shared" si="157"/>
        <v>208.92310028665494</v>
      </c>
      <c r="AA156" s="11">
        <f t="shared" si="157"/>
        <v>221.52275306133285</v>
      </c>
      <c r="AB156" s="11">
        <f t="shared" si="157"/>
        <v>226.27853429572789</v>
      </c>
      <c r="AD156" s="39">
        <f t="shared" si="152"/>
        <v>1.3844183676254396</v>
      </c>
      <c r="AE156" s="39">
        <f t="shared" si="153"/>
        <v>0.53342064893227015</v>
      </c>
    </row>
    <row r="157" spans="1:31" x14ac:dyDescent="0.2">
      <c r="A157" s="10" t="str">
        <f t="shared" si="141"/>
        <v>23 Teaching and other educational professionals</v>
      </c>
      <c r="B157" s="11">
        <f t="shared" si="141"/>
        <v>342.63322989670951</v>
      </c>
      <c r="C157" s="11">
        <f t="shared" si="145"/>
        <v>347.72429910691096</v>
      </c>
      <c r="D157" s="11">
        <f t="shared" si="145"/>
        <v>370.65753423648943</v>
      </c>
      <c r="E157" s="11">
        <f t="shared" si="145"/>
        <v>378.16676625518454</v>
      </c>
      <c r="F157" s="11">
        <f t="shared" si="145"/>
        <v>405.31749165504783</v>
      </c>
      <c r="H157" s="39">
        <f t="shared" si="146"/>
        <v>1.584786086936707</v>
      </c>
      <c r="I157" s="39">
        <f t="shared" si="147"/>
        <v>0.59772691405810541</v>
      </c>
      <c r="L157" s="10" t="str">
        <f t="shared" ref="L157:Q157" si="158">L12</f>
        <v>23 Teaching and other educational professionals</v>
      </c>
      <c r="M157" s="11">
        <f t="shared" si="158"/>
        <v>114.00588280294517</v>
      </c>
      <c r="N157" s="11">
        <f t="shared" si="158"/>
        <v>109.87636583213524</v>
      </c>
      <c r="O157" s="11">
        <f t="shared" si="158"/>
        <v>122.13950125489181</v>
      </c>
      <c r="P157" s="11">
        <f t="shared" si="158"/>
        <v>131.35482706536166</v>
      </c>
      <c r="Q157" s="11">
        <f t="shared" si="158"/>
        <v>141.5460582348768</v>
      </c>
      <c r="S157" s="39">
        <f t="shared" si="149"/>
        <v>1.3878178859648926</v>
      </c>
      <c r="T157" s="39">
        <f t="shared" si="150"/>
        <v>0.98792352461478661</v>
      </c>
      <c r="W157" s="10" t="str">
        <f t="shared" ref="W157:AB157" si="159">W12</f>
        <v>23 Teaching and other educational professionals</v>
      </c>
      <c r="X157" s="11">
        <f t="shared" si="159"/>
        <v>228.62734709376494</v>
      </c>
      <c r="Y157" s="11">
        <f t="shared" si="159"/>
        <v>237.84793327477652</v>
      </c>
      <c r="Z157" s="11">
        <f t="shared" si="159"/>
        <v>248.51803298159714</v>
      </c>
      <c r="AA157" s="11">
        <f t="shared" si="159"/>
        <v>246.81193918982282</v>
      </c>
      <c r="AB157" s="11">
        <f t="shared" si="159"/>
        <v>263.77143342017195</v>
      </c>
      <c r="AD157" s="39">
        <f t="shared" si="152"/>
        <v>1.6824369527084215</v>
      </c>
      <c r="AE157" s="39">
        <f t="shared" si="153"/>
        <v>0.39790645668797975</v>
      </c>
    </row>
    <row r="158" spans="1:31" x14ac:dyDescent="0.2">
      <c r="A158" s="10" t="str">
        <f t="shared" si="141"/>
        <v>24 Business, media and public service professionals</v>
      </c>
      <c r="B158" s="11">
        <f t="shared" si="141"/>
        <v>578.85510824114158</v>
      </c>
      <c r="C158" s="11">
        <f t="shared" si="145"/>
        <v>694.78884008845557</v>
      </c>
      <c r="D158" s="11">
        <f t="shared" si="145"/>
        <v>729.85312521326705</v>
      </c>
      <c r="E158" s="11">
        <f t="shared" si="145"/>
        <v>830.41431555582767</v>
      </c>
      <c r="F158" s="11">
        <f t="shared" si="145"/>
        <v>910.8448054975928</v>
      </c>
      <c r="H158" s="39">
        <f t="shared" si="146"/>
        <v>4.7449564103496877</v>
      </c>
      <c r="I158" s="39">
        <f t="shared" si="147"/>
        <v>1.487820890278968</v>
      </c>
      <c r="L158" s="10" t="str">
        <f t="shared" ref="L158:Q158" si="160">L13</f>
        <v>24 Business, media and public service professionals</v>
      </c>
      <c r="M158" s="11">
        <f t="shared" si="160"/>
        <v>333.68171080825311</v>
      </c>
      <c r="N158" s="11">
        <f t="shared" si="160"/>
        <v>393.24333210720715</v>
      </c>
      <c r="O158" s="11">
        <f t="shared" si="160"/>
        <v>402.21555271141125</v>
      </c>
      <c r="P158" s="11">
        <f t="shared" si="160"/>
        <v>459.41522410582292</v>
      </c>
      <c r="Q158" s="11">
        <f t="shared" si="160"/>
        <v>497.4584241383788</v>
      </c>
      <c r="S158" s="39">
        <f t="shared" si="149"/>
        <v>3.8066775650362317</v>
      </c>
      <c r="T158" s="39">
        <f t="shared" si="150"/>
        <v>1.4269101298561404</v>
      </c>
      <c r="W158" s="10" t="str">
        <f t="shared" ref="W158:AB158" si="161">W13</f>
        <v>24 Business, media and public service professionals</v>
      </c>
      <c r="X158" s="11">
        <f t="shared" si="161"/>
        <v>245.17339743288704</v>
      </c>
      <c r="Y158" s="11">
        <f t="shared" si="161"/>
        <v>301.54550798124671</v>
      </c>
      <c r="Z158" s="11">
        <f t="shared" si="161"/>
        <v>327.6375725018558</v>
      </c>
      <c r="AA158" s="11">
        <f t="shared" si="161"/>
        <v>370.99909145000174</v>
      </c>
      <c r="AB158" s="11">
        <f t="shared" si="161"/>
        <v>413.38638135921474</v>
      </c>
      <c r="AD158" s="39">
        <f t="shared" si="152"/>
        <v>5.9702773185586144</v>
      </c>
      <c r="AE158" s="39">
        <f t="shared" si="153"/>
        <v>1.5619032887215223</v>
      </c>
    </row>
    <row r="159" spans="1:31" x14ac:dyDescent="0.2">
      <c r="A159" s="10" t="str">
        <f t="shared" si="141"/>
        <v>31 Science, engineering and technology associate professionals</v>
      </c>
      <c r="B159" s="11">
        <f t="shared" si="141"/>
        <v>81.903763878624659</v>
      </c>
      <c r="C159" s="11">
        <f t="shared" si="145"/>
        <v>99.312809298538895</v>
      </c>
      <c r="D159" s="11">
        <f t="shared" si="145"/>
        <v>105.44228217606674</v>
      </c>
      <c r="E159" s="11">
        <f t="shared" si="145"/>
        <v>96.372111679440593</v>
      </c>
      <c r="F159" s="11">
        <f t="shared" si="145"/>
        <v>103.72464919203004</v>
      </c>
      <c r="H159" s="39">
        <f t="shared" si="146"/>
        <v>5.182184761858033</v>
      </c>
      <c r="I159" s="39">
        <f t="shared" si="147"/>
        <v>-0.10943294985110708</v>
      </c>
      <c r="L159" s="10" t="str">
        <f t="shared" ref="L159:Q159" si="162">L14</f>
        <v>31 Science, engineering and technology associate professionals</v>
      </c>
      <c r="M159" s="11">
        <f t="shared" si="162"/>
        <v>54.165515823230848</v>
      </c>
      <c r="N159" s="11">
        <f t="shared" si="162"/>
        <v>68.582734931079401</v>
      </c>
      <c r="O159" s="11">
        <f t="shared" si="162"/>
        <v>68.964557167788442</v>
      </c>
      <c r="P159" s="11">
        <f t="shared" si="162"/>
        <v>57.908391680998086</v>
      </c>
      <c r="Q159" s="11">
        <f t="shared" si="162"/>
        <v>59.048593336498342</v>
      </c>
      <c r="S159" s="39">
        <f t="shared" si="149"/>
        <v>4.949557961254869</v>
      </c>
      <c r="T159" s="39">
        <f t="shared" si="150"/>
        <v>-1.029543459614668</v>
      </c>
      <c r="W159" s="10" t="str">
        <f t="shared" ref="W159:AB159" si="163">W14</f>
        <v>31 Science, engineering and technology associate professionals</v>
      </c>
      <c r="X159" s="11">
        <f t="shared" si="163"/>
        <v>27.73824805539364</v>
      </c>
      <c r="Y159" s="11">
        <f t="shared" si="163"/>
        <v>30.730074367459455</v>
      </c>
      <c r="Z159" s="11">
        <f t="shared" si="163"/>
        <v>36.477725008278355</v>
      </c>
      <c r="AA159" s="11">
        <f t="shared" si="163"/>
        <v>38.463719998442549</v>
      </c>
      <c r="AB159" s="11">
        <f t="shared" si="163"/>
        <v>44.6760558555317</v>
      </c>
      <c r="AD159" s="39">
        <f t="shared" si="152"/>
        <v>5.6305992263348204</v>
      </c>
      <c r="AE159" s="39">
        <f t="shared" si="153"/>
        <v>1.3607476610915326</v>
      </c>
    </row>
    <row r="160" spans="1:31" x14ac:dyDescent="0.2">
      <c r="A160" s="10" t="str">
        <f t="shared" si="141"/>
        <v>32 Health and social care associate professionals</v>
      </c>
      <c r="B160" s="11">
        <f t="shared" si="141"/>
        <v>96.617057225558284</v>
      </c>
      <c r="C160" s="11">
        <f t="shared" si="145"/>
        <v>108.31678735553254</v>
      </c>
      <c r="D160" s="11">
        <f t="shared" si="145"/>
        <v>109.6581082081135</v>
      </c>
      <c r="E160" s="11">
        <f t="shared" si="145"/>
        <v>109.13228559280523</v>
      </c>
      <c r="F160" s="11">
        <f t="shared" si="145"/>
        <v>113.02119267279436</v>
      </c>
      <c r="H160" s="39">
        <f t="shared" si="146"/>
        <v>2.5645759397642243</v>
      </c>
      <c r="I160" s="39">
        <f t="shared" si="147"/>
        <v>0.20158910823686593</v>
      </c>
      <c r="L160" s="10" t="str">
        <f t="shared" ref="L160:Q160" si="164">L15</f>
        <v>32 Health and social care associate professionals</v>
      </c>
      <c r="M160" s="11">
        <f t="shared" si="164"/>
        <v>24.771426591613032</v>
      </c>
      <c r="N160" s="11">
        <f t="shared" si="164"/>
        <v>27.31439462486799</v>
      </c>
      <c r="O160" s="11">
        <f t="shared" si="164"/>
        <v>30.002280110064834</v>
      </c>
      <c r="P160" s="11">
        <f t="shared" si="164"/>
        <v>27.052661620097183</v>
      </c>
      <c r="Q160" s="11">
        <f t="shared" si="164"/>
        <v>27.377706367130934</v>
      </c>
      <c r="S160" s="39">
        <f t="shared" si="149"/>
        <v>3.906005312798122</v>
      </c>
      <c r="T160" s="39">
        <f t="shared" si="150"/>
        <v>-0.60843705573574436</v>
      </c>
      <c r="W160" s="10" t="str">
        <f t="shared" ref="W160:AB160" si="165">W15</f>
        <v>32 Health and social care associate professionals</v>
      </c>
      <c r="X160" s="11">
        <f t="shared" si="165"/>
        <v>71.845630633945149</v>
      </c>
      <c r="Y160" s="11">
        <f t="shared" si="165"/>
        <v>81.002392730664596</v>
      </c>
      <c r="Z160" s="11">
        <f t="shared" si="165"/>
        <v>79.65582809804873</v>
      </c>
      <c r="AA160" s="11">
        <f t="shared" si="165"/>
        <v>82.079623972708134</v>
      </c>
      <c r="AB160" s="11">
        <f t="shared" si="165"/>
        <v>85.643486305663671</v>
      </c>
      <c r="AD160" s="39">
        <f t="shared" si="152"/>
        <v>2.085354004549389</v>
      </c>
      <c r="AE160" s="39">
        <f t="shared" si="153"/>
        <v>0.48435567286426728</v>
      </c>
    </row>
    <row r="161" spans="1:31" x14ac:dyDescent="0.2">
      <c r="A161" s="10" t="str">
        <f t="shared" si="141"/>
        <v>33 Protective service occupations</v>
      </c>
      <c r="B161" s="11">
        <f t="shared" si="141"/>
        <v>66.411785193429807</v>
      </c>
      <c r="C161" s="11">
        <f t="shared" si="145"/>
        <v>70.733380140054265</v>
      </c>
      <c r="D161" s="11">
        <f t="shared" si="145"/>
        <v>75.80441572551301</v>
      </c>
      <c r="E161" s="11">
        <f t="shared" si="145"/>
        <v>89.043035973525392</v>
      </c>
      <c r="F161" s="11">
        <f t="shared" si="145"/>
        <v>101.60369334487039</v>
      </c>
      <c r="H161" s="39">
        <f t="shared" si="146"/>
        <v>2.6809480949242515</v>
      </c>
      <c r="I161" s="39">
        <f t="shared" si="147"/>
        <v>1.9720145703349345</v>
      </c>
      <c r="L161" s="10" t="str">
        <f t="shared" ref="L161:Q161" si="166">L16</f>
        <v>33 Protective service occupations</v>
      </c>
      <c r="M161" s="11">
        <f t="shared" si="166"/>
        <v>50.698588031641854</v>
      </c>
      <c r="N161" s="11">
        <f t="shared" si="166"/>
        <v>52.940670919960795</v>
      </c>
      <c r="O161" s="11">
        <f t="shared" si="166"/>
        <v>55.580806419607413</v>
      </c>
      <c r="P161" s="11">
        <f t="shared" si="166"/>
        <v>62.159158077735768</v>
      </c>
      <c r="Q161" s="11">
        <f t="shared" si="166"/>
        <v>66.699556927755125</v>
      </c>
      <c r="S161" s="39">
        <f t="shared" si="149"/>
        <v>1.8558074329646956</v>
      </c>
      <c r="T161" s="39">
        <f t="shared" si="150"/>
        <v>1.2231559524327418</v>
      </c>
      <c r="W161" s="10" t="str">
        <f t="shared" ref="W161:AB161" si="167">W16</f>
        <v>33 Protective service occupations</v>
      </c>
      <c r="X161" s="11">
        <f t="shared" si="167"/>
        <v>15.713197161787875</v>
      </c>
      <c r="Y161" s="11">
        <f t="shared" si="167"/>
        <v>17.792709220093588</v>
      </c>
      <c r="Z161" s="11">
        <f t="shared" si="167"/>
        <v>20.223609305905573</v>
      </c>
      <c r="AA161" s="11">
        <f t="shared" si="167"/>
        <v>26.883877895789595</v>
      </c>
      <c r="AB161" s="11">
        <f t="shared" si="167"/>
        <v>34.904136417115133</v>
      </c>
      <c r="AD161" s="39">
        <f t="shared" si="152"/>
        <v>5.176525872739357</v>
      </c>
      <c r="AE161" s="39">
        <f t="shared" si="153"/>
        <v>3.7053628529240656</v>
      </c>
    </row>
    <row r="162" spans="1:31" x14ac:dyDescent="0.2">
      <c r="A162" s="10" t="str">
        <f t="shared" si="141"/>
        <v>34 Culture, media and sports occupations</v>
      </c>
      <c r="B162" s="11">
        <f t="shared" si="141"/>
        <v>223.52526281482929</v>
      </c>
      <c r="C162" s="11">
        <f t="shared" si="145"/>
        <v>212.5920837650911</v>
      </c>
      <c r="D162" s="11">
        <f t="shared" si="145"/>
        <v>244.51539437746447</v>
      </c>
      <c r="E162" s="11">
        <f t="shared" si="145"/>
        <v>253.06686198212074</v>
      </c>
      <c r="F162" s="11">
        <f t="shared" si="145"/>
        <v>278.61027449263656</v>
      </c>
      <c r="H162" s="39">
        <f t="shared" si="146"/>
        <v>1.8112849230487615</v>
      </c>
      <c r="I162" s="39">
        <f t="shared" si="147"/>
        <v>0.87403537750601057</v>
      </c>
      <c r="L162" s="10" t="str">
        <f t="shared" ref="L162:Q162" si="168">L17</f>
        <v>34 Culture, media and sports occupations</v>
      </c>
      <c r="M162" s="11">
        <f t="shared" si="168"/>
        <v>128.30939833447187</v>
      </c>
      <c r="N162" s="11">
        <f t="shared" si="168"/>
        <v>118.16285258306588</v>
      </c>
      <c r="O162" s="11">
        <f t="shared" si="168"/>
        <v>130.61780057528276</v>
      </c>
      <c r="P162" s="11">
        <f t="shared" si="168"/>
        <v>137.22968924855383</v>
      </c>
      <c r="Q162" s="11">
        <f t="shared" si="168"/>
        <v>150.97562132658246</v>
      </c>
      <c r="S162" s="39">
        <f t="shared" si="149"/>
        <v>0.35725632950314168</v>
      </c>
      <c r="T162" s="39">
        <f t="shared" si="150"/>
        <v>0.97029627470870405</v>
      </c>
      <c r="W162" s="10" t="str">
        <f t="shared" ref="W162:AB162" si="169">W17</f>
        <v>34 Culture, media and sports occupations</v>
      </c>
      <c r="X162" s="11">
        <f t="shared" si="169"/>
        <v>95.215864480357538</v>
      </c>
      <c r="Y162" s="11">
        <f t="shared" si="169"/>
        <v>94.429231182025219</v>
      </c>
      <c r="Z162" s="11">
        <f t="shared" si="169"/>
        <v>113.8975938021821</v>
      </c>
      <c r="AA162" s="11">
        <f t="shared" si="169"/>
        <v>115.83717273356697</v>
      </c>
      <c r="AB162" s="11">
        <f t="shared" si="169"/>
        <v>127.63465316605442</v>
      </c>
      <c r="AD162" s="39">
        <f t="shared" si="152"/>
        <v>3.6480287743730466</v>
      </c>
      <c r="AE162" s="39">
        <f t="shared" si="153"/>
        <v>0.76203660475424595</v>
      </c>
    </row>
    <row r="163" spans="1:31" x14ac:dyDescent="0.2">
      <c r="A163" s="10" t="str">
        <f t="shared" si="141"/>
        <v>35 Business and public service associate professionals</v>
      </c>
      <c r="B163" s="11">
        <f t="shared" si="141"/>
        <v>503.40328903988308</v>
      </c>
      <c r="C163" s="11">
        <f t="shared" si="145"/>
        <v>543.9625841820249</v>
      </c>
      <c r="D163" s="11">
        <f t="shared" si="145"/>
        <v>550.05772654184398</v>
      </c>
      <c r="E163" s="11">
        <f t="shared" si="145"/>
        <v>535.63233621079291</v>
      </c>
      <c r="F163" s="11">
        <f t="shared" si="145"/>
        <v>553.90888183733466</v>
      </c>
      <c r="H163" s="39">
        <f t="shared" si="146"/>
        <v>1.7884366470028779</v>
      </c>
      <c r="I163" s="39">
        <f t="shared" si="147"/>
        <v>4.652395193225356E-2</v>
      </c>
      <c r="L163" s="10" t="str">
        <f t="shared" ref="L163:Q163" si="170">L18</f>
        <v>35 Business and public service associate professionals</v>
      </c>
      <c r="M163" s="11">
        <f t="shared" si="170"/>
        <v>271.68777631983016</v>
      </c>
      <c r="N163" s="11">
        <f t="shared" si="170"/>
        <v>289.40712410713661</v>
      </c>
      <c r="O163" s="11">
        <f t="shared" si="170"/>
        <v>293.50924945781031</v>
      </c>
      <c r="P163" s="11">
        <f t="shared" si="170"/>
        <v>278.93595869665137</v>
      </c>
      <c r="Q163" s="11">
        <f t="shared" si="170"/>
        <v>281.61475364127654</v>
      </c>
      <c r="S163" s="39">
        <f t="shared" si="149"/>
        <v>1.5571111276369676</v>
      </c>
      <c r="T163" s="39">
        <f t="shared" si="150"/>
        <v>-0.27541429039965593</v>
      </c>
      <c r="W163" s="10" t="str">
        <f t="shared" ref="W163:AB163" si="171">W18</f>
        <v>35 Business and public service associate professionals</v>
      </c>
      <c r="X163" s="11">
        <f t="shared" si="171"/>
        <v>231.71551272005343</v>
      </c>
      <c r="Y163" s="11">
        <f t="shared" si="171"/>
        <v>254.55546007488897</v>
      </c>
      <c r="Z163" s="11">
        <f t="shared" si="171"/>
        <v>256.54847708403497</v>
      </c>
      <c r="AA163" s="11">
        <f t="shared" si="171"/>
        <v>256.69637751414189</v>
      </c>
      <c r="AB163" s="11">
        <f t="shared" si="171"/>
        <v>272.29412819605756</v>
      </c>
      <c r="AD163" s="39">
        <f t="shared" si="152"/>
        <v>2.0570160551716565</v>
      </c>
      <c r="AE163" s="39">
        <f t="shared" si="153"/>
        <v>0.39789078843326386</v>
      </c>
    </row>
    <row r="164" spans="1:31" x14ac:dyDescent="0.2">
      <c r="A164" s="10" t="str">
        <f t="shared" si="141"/>
        <v>41 Administrative occupations</v>
      </c>
      <c r="B164" s="11">
        <f t="shared" si="141"/>
        <v>399.8387719269964</v>
      </c>
      <c r="C164" s="11">
        <f t="shared" si="145"/>
        <v>391.7440117542651</v>
      </c>
      <c r="D164" s="11">
        <f t="shared" si="145"/>
        <v>403.63982178925511</v>
      </c>
      <c r="E164" s="11">
        <f t="shared" si="145"/>
        <v>365.71005326916145</v>
      </c>
      <c r="F164" s="11">
        <f t="shared" si="145"/>
        <v>335.62418452466846</v>
      </c>
      <c r="H164" s="39">
        <f t="shared" si="146"/>
        <v>0.18941024333676282</v>
      </c>
      <c r="I164" s="39">
        <f t="shared" si="147"/>
        <v>-1.2226699966289556</v>
      </c>
      <c r="L164" s="10" t="str">
        <f t="shared" ref="L164:Q164" si="172">L19</f>
        <v>41 Administrative occupations</v>
      </c>
      <c r="M164" s="11">
        <f t="shared" si="172"/>
        <v>105.14087780194761</v>
      </c>
      <c r="N164" s="11">
        <f t="shared" si="172"/>
        <v>102.35667620243181</v>
      </c>
      <c r="O164" s="11">
        <f t="shared" si="172"/>
        <v>118.68398253897189</v>
      </c>
      <c r="P164" s="11">
        <f t="shared" si="172"/>
        <v>108.6491867802799</v>
      </c>
      <c r="Q164" s="11">
        <f t="shared" si="172"/>
        <v>110.2056502923174</v>
      </c>
      <c r="S164" s="39">
        <f t="shared" si="149"/>
        <v>2.4528638060983265</v>
      </c>
      <c r="T164" s="39">
        <f t="shared" si="150"/>
        <v>-0.49288918394527759</v>
      </c>
      <c r="W164" s="10" t="str">
        <f t="shared" ref="W164:AB164" si="173">W19</f>
        <v>41 Administrative occupations</v>
      </c>
      <c r="X164" s="11">
        <f t="shared" si="173"/>
        <v>294.69789412504809</v>
      </c>
      <c r="Y164" s="11">
        <f t="shared" si="173"/>
        <v>289.38733555183313</v>
      </c>
      <c r="Z164" s="11">
        <f t="shared" si="173"/>
        <v>284.95583925028347</v>
      </c>
      <c r="AA164" s="11">
        <f t="shared" si="173"/>
        <v>257.06086648888191</v>
      </c>
      <c r="AB164" s="11">
        <f t="shared" si="173"/>
        <v>225.41853423235102</v>
      </c>
      <c r="AD164" s="39">
        <f t="shared" si="152"/>
        <v>-0.67007542768149353</v>
      </c>
      <c r="AE164" s="39">
        <f t="shared" si="153"/>
        <v>-1.5503588713311034</v>
      </c>
    </row>
    <row r="165" spans="1:31" x14ac:dyDescent="0.2">
      <c r="A165" s="10" t="str">
        <f t="shared" si="141"/>
        <v>42 Secretarial and related occupations</v>
      </c>
      <c r="B165" s="11">
        <f t="shared" si="141"/>
        <v>101.86485631189477</v>
      </c>
      <c r="C165" s="11">
        <f t="shared" si="145"/>
        <v>93.185877623986343</v>
      </c>
      <c r="D165" s="11">
        <f t="shared" si="145"/>
        <v>88.717808960952368</v>
      </c>
      <c r="E165" s="11">
        <f t="shared" si="145"/>
        <v>88.145303660138566</v>
      </c>
      <c r="F165" s="11">
        <f t="shared" si="145"/>
        <v>78.527613837520136</v>
      </c>
      <c r="H165" s="39">
        <f t="shared" si="146"/>
        <v>-2.7258854795243037</v>
      </c>
      <c r="I165" s="39">
        <f t="shared" si="147"/>
        <v>-0.81010293674509404</v>
      </c>
      <c r="L165" s="10" t="str">
        <f t="shared" ref="L165:Q165" si="174">L20</f>
        <v>42 Secretarial and related occupations</v>
      </c>
      <c r="M165" s="11">
        <f t="shared" si="174"/>
        <v>5.4011333891717932</v>
      </c>
      <c r="N165" s="11">
        <f t="shared" si="174"/>
        <v>4.4364009890266232</v>
      </c>
      <c r="O165" s="11">
        <f t="shared" si="174"/>
        <v>4.026794647486736</v>
      </c>
      <c r="P165" s="11">
        <f t="shared" si="174"/>
        <v>5.0351534154545625</v>
      </c>
      <c r="Q165" s="11">
        <f t="shared" si="174"/>
        <v>5.6265027235204599</v>
      </c>
      <c r="S165" s="39">
        <f t="shared" si="149"/>
        <v>-5.7036427393492133</v>
      </c>
      <c r="T165" s="39">
        <f t="shared" si="150"/>
        <v>2.2551688176151163</v>
      </c>
      <c r="W165" s="10" t="str">
        <f t="shared" ref="W165:AB165" si="175">W20</f>
        <v>42 Secretarial and related occupations</v>
      </c>
      <c r="X165" s="11">
        <f t="shared" si="175"/>
        <v>96.463722922722908</v>
      </c>
      <c r="Y165" s="11">
        <f t="shared" si="175"/>
        <v>88.749476634959692</v>
      </c>
      <c r="Z165" s="11">
        <f t="shared" si="175"/>
        <v>84.691014313465615</v>
      </c>
      <c r="AA165" s="11">
        <f t="shared" si="175"/>
        <v>83.110150244683979</v>
      </c>
      <c r="AB165" s="11">
        <f t="shared" si="175"/>
        <v>72.901111113999704</v>
      </c>
      <c r="AD165" s="39">
        <f t="shared" si="152"/>
        <v>-2.5695601806698276</v>
      </c>
      <c r="AE165" s="39">
        <f t="shared" si="153"/>
        <v>-0.99439373079101001</v>
      </c>
    </row>
    <row r="166" spans="1:31" x14ac:dyDescent="0.2">
      <c r="A166" s="10" t="str">
        <f t="shared" si="141"/>
        <v>51 Skilled agricultural and related trades</v>
      </c>
      <c r="B166" s="11">
        <f t="shared" si="141"/>
        <v>26.294453584726924</v>
      </c>
      <c r="C166" s="11">
        <f t="shared" si="145"/>
        <v>26.463703517996674</v>
      </c>
      <c r="D166" s="11">
        <f t="shared" si="145"/>
        <v>25.224786294385733</v>
      </c>
      <c r="E166" s="11">
        <f t="shared" si="145"/>
        <v>27.211602776942538</v>
      </c>
      <c r="F166" s="11">
        <f t="shared" si="145"/>
        <v>32.47501086648176</v>
      </c>
      <c r="H166" s="39">
        <f t="shared" si="146"/>
        <v>-0.82717854264899859</v>
      </c>
      <c r="I166" s="39">
        <f t="shared" si="147"/>
        <v>1.6985561885287215</v>
      </c>
      <c r="L166" s="10" t="str">
        <f t="shared" ref="L166:Q166" si="176">L21</f>
        <v>51 Skilled agricultural and related trades</v>
      </c>
      <c r="M166" s="11">
        <f t="shared" si="176"/>
        <v>22.352981876434843</v>
      </c>
      <c r="N166" s="11">
        <f t="shared" si="176"/>
        <v>23.060402758659535</v>
      </c>
      <c r="O166" s="11">
        <f t="shared" si="176"/>
        <v>19.621410132068203</v>
      </c>
      <c r="P166" s="11">
        <f t="shared" si="176"/>
        <v>20.105524709302543</v>
      </c>
      <c r="Q166" s="11">
        <f t="shared" si="176"/>
        <v>22.633046040719844</v>
      </c>
      <c r="S166" s="39">
        <f t="shared" si="149"/>
        <v>-2.5730852273445848</v>
      </c>
      <c r="T166" s="39">
        <f t="shared" si="150"/>
        <v>0.95647680431452109</v>
      </c>
      <c r="W166" s="10" t="str">
        <f t="shared" ref="W166:AB166" si="177">W21</f>
        <v>51 Skilled agricultural and related trades</v>
      </c>
      <c r="X166" s="11">
        <f t="shared" si="177"/>
        <v>3.9414717082920316</v>
      </c>
      <c r="Y166" s="11">
        <f t="shared" si="177"/>
        <v>3.4033007593371782</v>
      </c>
      <c r="Z166" s="11">
        <f t="shared" si="177"/>
        <v>5.6033761623175016</v>
      </c>
      <c r="AA166" s="11">
        <f t="shared" si="177"/>
        <v>7.1060780676400137</v>
      </c>
      <c r="AB166" s="11">
        <f t="shared" si="177"/>
        <v>9.8419648257619183</v>
      </c>
      <c r="AD166" s="39">
        <f t="shared" si="152"/>
        <v>7.2897597847257245</v>
      </c>
      <c r="AE166" s="39">
        <f t="shared" si="153"/>
        <v>3.8266405407723747</v>
      </c>
    </row>
    <row r="167" spans="1:31" x14ac:dyDescent="0.2">
      <c r="A167" s="10" t="str">
        <f t="shared" si="141"/>
        <v>52 Skilled metal, electrical and electronic trades</v>
      </c>
      <c r="B167" s="11">
        <f t="shared" si="141"/>
        <v>119.88160092800702</v>
      </c>
      <c r="C167" s="11">
        <f t="shared" si="145"/>
        <v>126.32773853817437</v>
      </c>
      <c r="D167" s="11">
        <f t="shared" si="145"/>
        <v>111.14071561048978</v>
      </c>
      <c r="E167" s="11">
        <f t="shared" si="145"/>
        <v>115.71265313915445</v>
      </c>
      <c r="F167" s="11">
        <f t="shared" si="145"/>
        <v>111.9329693226548</v>
      </c>
      <c r="H167" s="39">
        <f t="shared" si="146"/>
        <v>-1.5027441930260177</v>
      </c>
      <c r="I167" s="39">
        <f t="shared" si="147"/>
        <v>4.7365195685378225E-2</v>
      </c>
      <c r="L167" s="10" t="str">
        <f t="shared" ref="L167:Q167" si="178">L22</f>
        <v>52 Skilled metal, electrical and electronic trades</v>
      </c>
      <c r="M167" s="11">
        <f t="shared" si="178"/>
        <v>116.88286262513803</v>
      </c>
      <c r="N167" s="11">
        <f t="shared" si="178"/>
        <v>121.24451379788731</v>
      </c>
      <c r="O167" s="11">
        <f t="shared" si="178"/>
        <v>107.20776660792261</v>
      </c>
      <c r="P167" s="11">
        <f t="shared" si="178"/>
        <v>106.81571439829497</v>
      </c>
      <c r="Q167" s="11">
        <f t="shared" si="178"/>
        <v>101.91120735305469</v>
      </c>
      <c r="S167" s="39">
        <f t="shared" si="149"/>
        <v>-1.7132257537663564</v>
      </c>
      <c r="T167" s="39">
        <f t="shared" si="150"/>
        <v>-0.33720868809610227</v>
      </c>
      <c r="W167" s="10" t="str">
        <f t="shared" ref="W167:AB167" si="179">W22</f>
        <v>52 Skilled metal, electrical and electronic trades</v>
      </c>
      <c r="X167" s="11">
        <f t="shared" si="179"/>
        <v>2.9987383028687251</v>
      </c>
      <c r="Y167" s="11">
        <f t="shared" si="179"/>
        <v>5.083224740287247</v>
      </c>
      <c r="Z167" s="11">
        <f t="shared" si="179"/>
        <v>3.9329490025669611</v>
      </c>
      <c r="AA167" s="11">
        <f t="shared" si="179"/>
        <v>8.8969387408594258</v>
      </c>
      <c r="AB167" s="11">
        <f t="shared" si="179"/>
        <v>10.021761969600169</v>
      </c>
      <c r="AD167" s="39">
        <f t="shared" si="152"/>
        <v>5.573750382906506</v>
      </c>
      <c r="AE167" s="39">
        <f t="shared" si="153"/>
        <v>6.4343268766864581</v>
      </c>
    </row>
    <row r="168" spans="1:31" x14ac:dyDescent="0.2">
      <c r="A168" s="10" t="str">
        <f t="shared" si="141"/>
        <v>53 Skilled construction and building trades</v>
      </c>
      <c r="B168" s="11">
        <f t="shared" si="141"/>
        <v>163.13365486178674</v>
      </c>
      <c r="C168" s="11">
        <f t="shared" si="145"/>
        <v>142.64094798695422</v>
      </c>
      <c r="D168" s="11">
        <f t="shared" si="145"/>
        <v>112.25935423674792</v>
      </c>
      <c r="E168" s="11">
        <f t="shared" si="145"/>
        <v>128.77074902427728</v>
      </c>
      <c r="F168" s="11">
        <f t="shared" si="145"/>
        <v>137.47363645308153</v>
      </c>
      <c r="H168" s="39">
        <f t="shared" si="146"/>
        <v>-7.202602914515877</v>
      </c>
      <c r="I168" s="39">
        <f t="shared" si="147"/>
        <v>1.3599665941593786</v>
      </c>
      <c r="L168" s="10" t="str">
        <f t="shared" ref="L168:Q168" si="180">L23</f>
        <v>53 Skilled construction and building trades</v>
      </c>
      <c r="M168" s="11">
        <f t="shared" si="180"/>
        <v>158.59780417392574</v>
      </c>
      <c r="N168" s="11">
        <f t="shared" si="180"/>
        <v>135.66700928258993</v>
      </c>
      <c r="O168" s="11">
        <f t="shared" si="180"/>
        <v>106.85939606771495</v>
      </c>
      <c r="P168" s="11">
        <f t="shared" si="180"/>
        <v>122.06133812689266</v>
      </c>
      <c r="Q168" s="11">
        <f t="shared" si="180"/>
        <v>128.84409482063219</v>
      </c>
      <c r="S168" s="39">
        <f t="shared" si="149"/>
        <v>-7.5933749126401384</v>
      </c>
      <c r="T168" s="39">
        <f t="shared" si="150"/>
        <v>1.2550720183295283</v>
      </c>
      <c r="W168" s="10" t="str">
        <f t="shared" ref="W168:AB168" si="181">W23</f>
        <v>53 Skilled construction and building trades</v>
      </c>
      <c r="X168" s="11">
        <f t="shared" si="181"/>
        <v>4.5358506878609983</v>
      </c>
      <c r="Y168" s="11">
        <f t="shared" si="181"/>
        <v>6.9739387043644019</v>
      </c>
      <c r="Z168" s="11">
        <f t="shared" si="181"/>
        <v>5.3999581690327689</v>
      </c>
      <c r="AA168" s="11">
        <f t="shared" si="181"/>
        <v>6.7094108973846591</v>
      </c>
      <c r="AB168" s="11">
        <f t="shared" si="181"/>
        <v>8.629541632449321</v>
      </c>
      <c r="AD168" s="39">
        <f t="shared" si="152"/>
        <v>3.5491001347740303</v>
      </c>
      <c r="AE168" s="39">
        <f t="shared" si="153"/>
        <v>3.1746859260665783</v>
      </c>
    </row>
    <row r="169" spans="1:31" x14ac:dyDescent="0.2">
      <c r="A169" s="10" t="str">
        <f t="shared" si="141"/>
        <v>54 Textiles, printing and other skilled trades</v>
      </c>
      <c r="B169" s="11">
        <f t="shared" si="141"/>
        <v>128.98513495746371</v>
      </c>
      <c r="C169" s="11">
        <f t="shared" si="145"/>
        <v>128.94983620933522</v>
      </c>
      <c r="D169" s="11">
        <f t="shared" si="145"/>
        <v>113.17858727747519</v>
      </c>
      <c r="E169" s="11">
        <f t="shared" si="145"/>
        <v>117.63642990996956</v>
      </c>
      <c r="F169" s="11">
        <f t="shared" si="145"/>
        <v>126.68335451496061</v>
      </c>
      <c r="H169" s="39">
        <f t="shared" si="146"/>
        <v>-2.5807187082415028</v>
      </c>
      <c r="I169" s="39">
        <f t="shared" si="147"/>
        <v>0.75432219661022426</v>
      </c>
      <c r="L169" s="10" t="str">
        <f t="shared" ref="L169:Q169" si="182">L24</f>
        <v>54 Textiles, printing and other skilled trades</v>
      </c>
      <c r="M169" s="11">
        <f t="shared" si="182"/>
        <v>92.570900007369474</v>
      </c>
      <c r="N169" s="11">
        <f t="shared" si="182"/>
        <v>93.739007688619537</v>
      </c>
      <c r="O169" s="11">
        <f t="shared" si="182"/>
        <v>76.255766185162841</v>
      </c>
      <c r="P169" s="11">
        <f t="shared" si="182"/>
        <v>79.811057850360996</v>
      </c>
      <c r="Q169" s="11">
        <f t="shared" si="182"/>
        <v>87.919138383207695</v>
      </c>
      <c r="S169" s="39">
        <f t="shared" si="149"/>
        <v>-3.8034181402365141</v>
      </c>
      <c r="T169" s="39">
        <f t="shared" si="150"/>
        <v>0.95334549635923693</v>
      </c>
      <c r="W169" s="10" t="str">
        <f t="shared" ref="W169:AB169" si="183">W24</f>
        <v>54 Textiles, printing and other skilled trades</v>
      </c>
      <c r="X169" s="11">
        <f t="shared" si="183"/>
        <v>36.414234950094183</v>
      </c>
      <c r="Y169" s="11">
        <f t="shared" si="183"/>
        <v>35.210828520715609</v>
      </c>
      <c r="Z169" s="11">
        <f t="shared" si="183"/>
        <v>36.922821092312574</v>
      </c>
      <c r="AA169" s="11">
        <f t="shared" si="183"/>
        <v>37.825372059608497</v>
      </c>
      <c r="AB169" s="11">
        <f t="shared" si="183"/>
        <v>38.764216131752939</v>
      </c>
      <c r="AD169" s="39">
        <f t="shared" si="152"/>
        <v>0.27778610084649991</v>
      </c>
      <c r="AE169" s="39">
        <f t="shared" si="153"/>
        <v>0.32497850567949627</v>
      </c>
    </row>
    <row r="170" spans="1:31" x14ac:dyDescent="0.2">
      <c r="A170" s="10" t="str">
        <f t="shared" si="141"/>
        <v>61 Caring personal service occupations</v>
      </c>
      <c r="B170" s="11">
        <f t="shared" si="141"/>
        <v>253.00446871969206</v>
      </c>
      <c r="C170" s="11">
        <f t="shared" si="145"/>
        <v>264.85600780962892</v>
      </c>
      <c r="D170" s="11">
        <f t="shared" si="145"/>
        <v>252.16320992365189</v>
      </c>
      <c r="E170" s="11">
        <f t="shared" si="145"/>
        <v>273.32530178928874</v>
      </c>
      <c r="F170" s="11">
        <f t="shared" si="145"/>
        <v>288.67846948308761</v>
      </c>
      <c r="H170" s="39">
        <f t="shared" si="146"/>
        <v>-6.6590122866416745E-2</v>
      </c>
      <c r="I170" s="39">
        <f t="shared" si="147"/>
        <v>0.90565627312546582</v>
      </c>
      <c r="L170" s="10" t="str">
        <f t="shared" ref="L170:Q170" si="184">L25</f>
        <v>61 Caring personal service occupations</v>
      </c>
      <c r="M170" s="11">
        <f t="shared" si="184"/>
        <v>58.287637311930169</v>
      </c>
      <c r="N170" s="11">
        <f t="shared" si="184"/>
        <v>64.878520646717746</v>
      </c>
      <c r="O170" s="11">
        <f t="shared" si="184"/>
        <v>62.045678665137338</v>
      </c>
      <c r="P170" s="11">
        <f t="shared" si="184"/>
        <v>75.537931494611385</v>
      </c>
      <c r="Q170" s="11">
        <f t="shared" si="184"/>
        <v>85.695145616288457</v>
      </c>
      <c r="S170" s="39">
        <f t="shared" si="149"/>
        <v>1.2574573076546303</v>
      </c>
      <c r="T170" s="39">
        <f t="shared" si="150"/>
        <v>2.1761761207754082</v>
      </c>
      <c r="W170" s="10" t="str">
        <f t="shared" ref="W170:AB170" si="185">W25</f>
        <v>61 Caring personal service occupations</v>
      </c>
      <c r="X170" s="11">
        <f t="shared" si="185"/>
        <v>194.71683140776176</v>
      </c>
      <c r="Y170" s="11">
        <f t="shared" si="185"/>
        <v>199.97748716291073</v>
      </c>
      <c r="Z170" s="11">
        <f t="shared" si="185"/>
        <v>190.1175312585149</v>
      </c>
      <c r="AA170" s="11">
        <f t="shared" si="185"/>
        <v>197.78737029467729</v>
      </c>
      <c r="AB170" s="11">
        <f t="shared" si="185"/>
        <v>202.98332386679903</v>
      </c>
      <c r="AD170" s="39">
        <f t="shared" si="152"/>
        <v>-0.47693682832399276</v>
      </c>
      <c r="AE170" s="39">
        <f t="shared" si="153"/>
        <v>0.43749663934107286</v>
      </c>
    </row>
    <row r="171" spans="1:31" x14ac:dyDescent="0.2">
      <c r="A171" s="10" t="str">
        <f t="shared" si="141"/>
        <v>62 Leisure, travel and related personal service occupations</v>
      </c>
      <c r="B171" s="11">
        <f t="shared" si="141"/>
        <v>100.18519998138873</v>
      </c>
      <c r="C171" s="11">
        <f t="shared" si="145"/>
        <v>109.97039787264633</v>
      </c>
      <c r="D171" s="11">
        <f t="shared" si="145"/>
        <v>99.491973158038263</v>
      </c>
      <c r="E171" s="11">
        <f t="shared" si="145"/>
        <v>105.88555330328265</v>
      </c>
      <c r="F171" s="11">
        <f t="shared" si="145"/>
        <v>113.77979691516451</v>
      </c>
      <c r="H171" s="39">
        <f t="shared" si="146"/>
        <v>-0.13877369678618745</v>
      </c>
      <c r="I171" s="39">
        <f t="shared" si="147"/>
        <v>0.89860008763829047</v>
      </c>
      <c r="L171" s="10" t="str">
        <f t="shared" ref="L171:Q171" si="186">L26</f>
        <v>62 Leisure, travel and related personal service occupations</v>
      </c>
      <c r="M171" s="11">
        <f t="shared" si="186"/>
        <v>33.616432888697418</v>
      </c>
      <c r="N171" s="11">
        <f t="shared" si="186"/>
        <v>39.280157780352098</v>
      </c>
      <c r="O171" s="11">
        <f t="shared" si="186"/>
        <v>37.611078628047764</v>
      </c>
      <c r="P171" s="11">
        <f t="shared" si="186"/>
        <v>40.128931788317701</v>
      </c>
      <c r="Q171" s="11">
        <f t="shared" si="186"/>
        <v>44.288517087656423</v>
      </c>
      <c r="S171" s="39">
        <f t="shared" si="149"/>
        <v>2.2710776396144494</v>
      </c>
      <c r="T171" s="39">
        <f t="shared" si="150"/>
        <v>1.0954686887619358</v>
      </c>
      <c r="W171" s="10" t="str">
        <f t="shared" ref="W171:AB171" si="187">W26</f>
        <v>62 Leisure, travel and related personal service occupations</v>
      </c>
      <c r="X171" s="11">
        <f t="shared" si="187"/>
        <v>66.568767092691232</v>
      </c>
      <c r="Y171" s="11">
        <f t="shared" si="187"/>
        <v>70.690240092294204</v>
      </c>
      <c r="Z171" s="11">
        <f t="shared" si="187"/>
        <v>61.880894529990613</v>
      </c>
      <c r="AA171" s="11">
        <f t="shared" si="187"/>
        <v>65.756621514964962</v>
      </c>
      <c r="AB171" s="11">
        <f t="shared" si="187"/>
        <v>69.491279827508109</v>
      </c>
      <c r="AD171" s="39">
        <f t="shared" si="152"/>
        <v>-1.4498671850099454</v>
      </c>
      <c r="AE171" s="39">
        <f t="shared" si="153"/>
        <v>0.77626270442636702</v>
      </c>
    </row>
    <row r="172" spans="1:31" x14ac:dyDescent="0.2">
      <c r="A172" s="10" t="str">
        <f t="shared" si="141"/>
        <v>63 Community and civil enforcement occupations</v>
      </c>
      <c r="B172" s="11">
        <f t="shared" si="141"/>
        <v>5.9382957218516932</v>
      </c>
      <c r="C172" s="11">
        <f t="shared" si="145"/>
        <v>5.3706312747090736</v>
      </c>
      <c r="D172" s="11">
        <f t="shared" si="145"/>
        <v>6.7390265142800718</v>
      </c>
      <c r="E172" s="11">
        <f t="shared" si="145"/>
        <v>5.6357642637695298</v>
      </c>
      <c r="F172" s="11">
        <f t="shared" si="145"/>
        <v>5.9898441030475</v>
      </c>
      <c r="H172" s="39">
        <f t="shared" si="146"/>
        <v>2.5621387633103732</v>
      </c>
      <c r="I172" s="39">
        <f t="shared" si="147"/>
        <v>-0.78258900030340195</v>
      </c>
      <c r="L172" s="10" t="str">
        <f t="shared" ref="L172:Q172" si="188">L27</f>
        <v>63 Community and civil enforcement occupations</v>
      </c>
      <c r="M172" s="11">
        <f t="shared" si="188"/>
        <v>4.4040554952449291</v>
      </c>
      <c r="N172" s="11">
        <f t="shared" si="188"/>
        <v>3.4502787724579989</v>
      </c>
      <c r="O172" s="11">
        <f t="shared" si="188"/>
        <v>5.1158248933133859</v>
      </c>
      <c r="P172" s="11">
        <f t="shared" si="188"/>
        <v>3.3843465971241322</v>
      </c>
      <c r="Q172" s="11">
        <f t="shared" si="188"/>
        <v>3.8232909092169653</v>
      </c>
      <c r="S172" s="39">
        <f t="shared" si="149"/>
        <v>3.041596187385931</v>
      </c>
      <c r="T172" s="39">
        <f t="shared" si="150"/>
        <v>-1.9227880645693585</v>
      </c>
      <c r="W172" s="10" t="str">
        <f t="shared" ref="W172:AB172" si="189">W27</f>
        <v>63 Community and civil enforcement occupations</v>
      </c>
      <c r="X172" s="11">
        <f t="shared" si="189"/>
        <v>1.5342402266067612</v>
      </c>
      <c r="Y172" s="11">
        <f t="shared" si="189"/>
        <v>1.9203525022510708</v>
      </c>
      <c r="Z172" s="11">
        <f t="shared" si="189"/>
        <v>1.6232016209666802</v>
      </c>
      <c r="AA172" s="11">
        <f t="shared" si="189"/>
        <v>2.2514176666454029</v>
      </c>
      <c r="AB172" s="11">
        <f t="shared" si="189"/>
        <v>2.1665531938305342</v>
      </c>
      <c r="AD172" s="39">
        <f t="shared" si="152"/>
        <v>1.1336823397904094</v>
      </c>
      <c r="AE172" s="39">
        <f t="shared" si="153"/>
        <v>1.9435592821052117</v>
      </c>
    </row>
    <row r="173" spans="1:31" x14ac:dyDescent="0.2">
      <c r="A173" s="10" t="str">
        <f t="shared" si="141"/>
        <v>71 Sales occupations</v>
      </c>
      <c r="B173" s="11">
        <f t="shared" si="141"/>
        <v>317.65918909274848</v>
      </c>
      <c r="C173" s="11">
        <f t="shared" si="145"/>
        <v>283.8396737163265</v>
      </c>
      <c r="D173" s="11">
        <f t="shared" si="145"/>
        <v>277.11013700415418</v>
      </c>
      <c r="E173" s="11">
        <f t="shared" si="145"/>
        <v>255.24893261424151</v>
      </c>
      <c r="F173" s="11">
        <f t="shared" si="145"/>
        <v>243.68551158385674</v>
      </c>
      <c r="H173" s="39">
        <f t="shared" si="146"/>
        <v>-2.6943186427201171</v>
      </c>
      <c r="I173" s="39">
        <f t="shared" si="147"/>
        <v>-0.85324916714627497</v>
      </c>
      <c r="L173" s="10" t="str">
        <f t="shared" ref="L173:Q173" si="190">L28</f>
        <v>71 Sales occupations</v>
      </c>
      <c r="M173" s="11">
        <f t="shared" si="190"/>
        <v>150.33066372150327</v>
      </c>
      <c r="N173" s="11">
        <f t="shared" si="190"/>
        <v>142.21415331526094</v>
      </c>
      <c r="O173" s="11">
        <f t="shared" si="190"/>
        <v>138.50049352932692</v>
      </c>
      <c r="P173" s="11">
        <f t="shared" si="190"/>
        <v>130.02624647487264</v>
      </c>
      <c r="Q173" s="11">
        <f t="shared" si="190"/>
        <v>128.92592396575583</v>
      </c>
      <c r="S173" s="39">
        <f t="shared" si="149"/>
        <v>-1.6259051926994394</v>
      </c>
      <c r="T173" s="39">
        <f t="shared" si="150"/>
        <v>-0.47643398488815825</v>
      </c>
      <c r="W173" s="10" t="str">
        <f t="shared" ref="W173:AB173" si="191">W28</f>
        <v>71 Sales occupations</v>
      </c>
      <c r="X173" s="11">
        <f t="shared" si="191"/>
        <v>167.32852537124563</v>
      </c>
      <c r="Y173" s="11">
        <f t="shared" si="191"/>
        <v>141.62552040106536</v>
      </c>
      <c r="Z173" s="11">
        <f t="shared" si="191"/>
        <v>138.60964347482704</v>
      </c>
      <c r="AA173" s="11">
        <f t="shared" si="191"/>
        <v>125.22268613936845</v>
      </c>
      <c r="AB173" s="11">
        <f t="shared" si="191"/>
        <v>114.75958761810087</v>
      </c>
      <c r="AD173" s="39">
        <f t="shared" si="152"/>
        <v>-3.6959187151608175</v>
      </c>
      <c r="AE173" s="39">
        <f t="shared" si="153"/>
        <v>-1.2509251600257176</v>
      </c>
    </row>
    <row r="174" spans="1:31" x14ac:dyDescent="0.2">
      <c r="A174" s="10" t="str">
        <f t="shared" si="141"/>
        <v>72 Customer service occupations</v>
      </c>
      <c r="B174" s="11">
        <f t="shared" si="141"/>
        <v>78.11547202864962</v>
      </c>
      <c r="C174" s="11">
        <f t="shared" si="145"/>
        <v>84.434310067645598</v>
      </c>
      <c r="D174" s="11">
        <f t="shared" si="145"/>
        <v>84.914331249932388</v>
      </c>
      <c r="E174" s="11">
        <f t="shared" si="145"/>
        <v>108.00703895762425</v>
      </c>
      <c r="F174" s="11">
        <f t="shared" si="145"/>
        <v>117.74614770212519</v>
      </c>
      <c r="H174" s="39">
        <f t="shared" si="146"/>
        <v>1.6831019696085914</v>
      </c>
      <c r="I174" s="39">
        <f t="shared" si="147"/>
        <v>2.2031734214792431</v>
      </c>
      <c r="L174" s="10" t="str">
        <f t="shared" ref="L174:Q174" si="192">L29</f>
        <v>72 Customer service occupations</v>
      </c>
      <c r="M174" s="11">
        <f t="shared" si="192"/>
        <v>29.008701792190312</v>
      </c>
      <c r="N174" s="11">
        <f t="shared" si="192"/>
        <v>27.318269891363663</v>
      </c>
      <c r="O174" s="11">
        <f t="shared" si="192"/>
        <v>31.270953409660962</v>
      </c>
      <c r="P174" s="11">
        <f t="shared" si="192"/>
        <v>42.148485308442567</v>
      </c>
      <c r="Q174" s="11">
        <f t="shared" si="192"/>
        <v>46.796495642558007</v>
      </c>
      <c r="S174" s="39">
        <f t="shared" si="149"/>
        <v>1.5132111122110103</v>
      </c>
      <c r="T174" s="39">
        <f t="shared" si="150"/>
        <v>2.7238955640301876</v>
      </c>
      <c r="W174" s="10" t="str">
        <f t="shared" ref="W174:AB174" si="193">W29</f>
        <v>72 Customer service occupations</v>
      </c>
      <c r="X174" s="11">
        <f t="shared" si="193"/>
        <v>49.106770236459312</v>
      </c>
      <c r="Y174" s="11">
        <f t="shared" si="193"/>
        <v>57.116040176282119</v>
      </c>
      <c r="Z174" s="11">
        <f t="shared" si="193"/>
        <v>53.643377840271313</v>
      </c>
      <c r="AA174" s="11">
        <f t="shared" si="193"/>
        <v>65.858553649181459</v>
      </c>
      <c r="AB174" s="11">
        <f t="shared" si="193"/>
        <v>70.949652059567171</v>
      </c>
      <c r="AD174" s="39">
        <f t="shared" si="152"/>
        <v>1.7829301051099922</v>
      </c>
      <c r="AE174" s="39">
        <f t="shared" si="153"/>
        <v>1.8815656283360793</v>
      </c>
    </row>
    <row r="175" spans="1:31" x14ac:dyDescent="0.2">
      <c r="A175" s="10" t="str">
        <f t="shared" si="141"/>
        <v>81 Process, plant and machine operatives</v>
      </c>
      <c r="B175" s="11">
        <f t="shared" si="141"/>
        <v>35.434452802600624</v>
      </c>
      <c r="C175" s="11">
        <f t="shared" si="145"/>
        <v>33.967749317353309</v>
      </c>
      <c r="D175" s="11">
        <f t="shared" si="145"/>
        <v>31.105873118691047</v>
      </c>
      <c r="E175" s="11">
        <f t="shared" si="145"/>
        <v>38.139195588077293</v>
      </c>
      <c r="F175" s="11">
        <f t="shared" si="145"/>
        <v>40.998968578618566</v>
      </c>
      <c r="H175" s="39">
        <f t="shared" si="146"/>
        <v>-2.5721019221459973</v>
      </c>
      <c r="I175" s="39">
        <f t="shared" si="147"/>
        <v>1.8580526599982328</v>
      </c>
      <c r="L175" s="10" t="str">
        <f t="shared" ref="L175:Q175" si="194">L30</f>
        <v>81 Process, plant and machine operatives</v>
      </c>
      <c r="M175" s="11">
        <f t="shared" si="194"/>
        <v>27.051044524149052</v>
      </c>
      <c r="N175" s="11">
        <f t="shared" si="194"/>
        <v>25.66385007520185</v>
      </c>
      <c r="O175" s="11">
        <f t="shared" si="194"/>
        <v>22.838175173839751</v>
      </c>
      <c r="P175" s="11">
        <f t="shared" si="194"/>
        <v>27.310079158791581</v>
      </c>
      <c r="Q175" s="11">
        <f t="shared" si="194"/>
        <v>28.3007677417176</v>
      </c>
      <c r="S175" s="39">
        <f t="shared" si="149"/>
        <v>-3.3291644975093848</v>
      </c>
      <c r="T175" s="39">
        <f t="shared" si="150"/>
        <v>1.4399721170021085</v>
      </c>
      <c r="W175" s="10" t="str">
        <f t="shared" ref="W175:AB175" si="195">W30</f>
        <v>81 Process, plant and machine operatives</v>
      </c>
      <c r="X175" s="11">
        <f t="shared" si="195"/>
        <v>8.3834082784517214</v>
      </c>
      <c r="Y175" s="11">
        <f t="shared" si="195"/>
        <v>8.3038992421513829</v>
      </c>
      <c r="Z175" s="11">
        <f t="shared" si="195"/>
        <v>8.2676979448513812</v>
      </c>
      <c r="AA175" s="11">
        <f t="shared" si="195"/>
        <v>10.829116429285744</v>
      </c>
      <c r="AB175" s="11">
        <f t="shared" si="195"/>
        <v>12.698200836900941</v>
      </c>
      <c r="AD175" s="39">
        <f t="shared" si="152"/>
        <v>-0.27758281443039934</v>
      </c>
      <c r="AE175" s="39">
        <f t="shared" si="153"/>
        <v>2.9020055827278846</v>
      </c>
    </row>
    <row r="176" spans="1:31" x14ac:dyDescent="0.2">
      <c r="A176" s="10" t="str">
        <f t="shared" si="141"/>
        <v>82 Transport and mobile machine drivers and operatives</v>
      </c>
      <c r="B176" s="11">
        <f t="shared" si="141"/>
        <v>182.23681734593583</v>
      </c>
      <c r="C176" s="11">
        <f t="shared" si="145"/>
        <v>206.4045743008385</v>
      </c>
      <c r="D176" s="11">
        <f t="shared" si="145"/>
        <v>183.44574594007335</v>
      </c>
      <c r="E176" s="11">
        <f t="shared" si="145"/>
        <v>204.85349334338304</v>
      </c>
      <c r="F176" s="11">
        <f t="shared" si="145"/>
        <v>201.77357034406313</v>
      </c>
      <c r="H176" s="39">
        <f t="shared" si="146"/>
        <v>0.1323259908861063</v>
      </c>
      <c r="I176" s="39">
        <f t="shared" si="147"/>
        <v>0.63686721950468872</v>
      </c>
      <c r="L176" s="10" t="str">
        <f t="shared" ref="L176:Q176" si="196">L31</f>
        <v>82 Transport and mobile machine drivers and operatives</v>
      </c>
      <c r="M176" s="11">
        <f t="shared" si="196"/>
        <v>170.2387838592017</v>
      </c>
      <c r="N176" s="11">
        <f t="shared" si="196"/>
        <v>195.76100076197565</v>
      </c>
      <c r="O176" s="11">
        <f t="shared" si="196"/>
        <v>171.91671297046491</v>
      </c>
      <c r="P176" s="11">
        <f t="shared" si="196"/>
        <v>187.73156691177013</v>
      </c>
      <c r="Q176" s="11">
        <f t="shared" si="196"/>
        <v>182.82181913043752</v>
      </c>
      <c r="S176" s="39">
        <f t="shared" si="149"/>
        <v>0.19635392591101919</v>
      </c>
      <c r="T176" s="39">
        <f t="shared" si="150"/>
        <v>0.41085423432036805</v>
      </c>
      <c r="W176" s="10" t="str">
        <f t="shared" ref="W176:AB176" si="197">W31</f>
        <v>82 Transport and mobile machine drivers and operatives</v>
      </c>
      <c r="X176" s="11">
        <f t="shared" si="197"/>
        <v>11.998033486734652</v>
      </c>
      <c r="Y176" s="11">
        <f t="shared" si="197"/>
        <v>10.643573538862977</v>
      </c>
      <c r="Z176" s="11">
        <f t="shared" si="197"/>
        <v>11.529032969608407</v>
      </c>
      <c r="AA176" s="11">
        <f t="shared" si="197"/>
        <v>17.121926431612625</v>
      </c>
      <c r="AB176" s="11">
        <f t="shared" si="197"/>
        <v>18.951751213626267</v>
      </c>
      <c r="AD176" s="39">
        <f t="shared" si="152"/>
        <v>-0.79431452257654467</v>
      </c>
      <c r="AE176" s="39">
        <f t="shared" si="153"/>
        <v>3.3690276425737409</v>
      </c>
    </row>
    <row r="177" spans="1:31" x14ac:dyDescent="0.2">
      <c r="A177" s="10" t="str">
        <f t="shared" si="141"/>
        <v>91 Elementary trades and related occupations</v>
      </c>
      <c r="B177" s="11">
        <f t="shared" si="141"/>
        <v>44.118542088264775</v>
      </c>
      <c r="C177" s="11">
        <f t="shared" si="145"/>
        <v>40.00309221645275</v>
      </c>
      <c r="D177" s="11">
        <f t="shared" si="145"/>
        <v>35.852641009177191</v>
      </c>
      <c r="E177" s="11">
        <f t="shared" si="145"/>
        <v>29.083326535737775</v>
      </c>
      <c r="F177" s="11">
        <f t="shared" si="145"/>
        <v>27.25894477799643</v>
      </c>
      <c r="H177" s="39">
        <f>IF(D$151-B$151 &lt;&gt; 0,(EXP(LN(D177/B177)/(D$151-B$151))-1)*100,0)</f>
        <v>-4.0643549512796024</v>
      </c>
      <c r="I177" s="39">
        <f t="shared" si="147"/>
        <v>-1.8103167248515462</v>
      </c>
      <c r="L177" s="10" t="str">
        <f t="shared" ref="L177:Q178" si="198">L32</f>
        <v>91 Elementary trades and related occupations</v>
      </c>
      <c r="M177" s="11">
        <f t="shared" si="198"/>
        <v>35.561549669945471</v>
      </c>
      <c r="N177" s="11">
        <f t="shared" si="198"/>
        <v>32.946025092848998</v>
      </c>
      <c r="O177" s="11">
        <f t="shared" si="198"/>
        <v>29.578737470920093</v>
      </c>
      <c r="P177" s="11">
        <f t="shared" si="198"/>
        <v>23.244579367034444</v>
      </c>
      <c r="Q177" s="11">
        <f t="shared" si="198"/>
        <v>21.438359168958346</v>
      </c>
      <c r="S177" s="39">
        <f t="shared" si="149"/>
        <v>-3.6171440315648007</v>
      </c>
      <c r="T177" s="39">
        <f t="shared" si="150"/>
        <v>-2.1229674243712915</v>
      </c>
      <c r="W177" s="10" t="str">
        <f t="shared" ref="W177:AB178" si="199">W32</f>
        <v>91 Elementary trades and related occupations</v>
      </c>
      <c r="X177" s="11">
        <f t="shared" si="199"/>
        <v>8.5569924183192541</v>
      </c>
      <c r="Y177" s="11">
        <f t="shared" si="199"/>
        <v>7.0570671236037388</v>
      </c>
      <c r="Z177" s="11">
        <f t="shared" si="199"/>
        <v>6.2739035382570671</v>
      </c>
      <c r="AA177" s="11">
        <f t="shared" si="199"/>
        <v>5.8387471687033852</v>
      </c>
      <c r="AB177" s="11">
        <f t="shared" si="199"/>
        <v>5.8205856090380488</v>
      </c>
      <c r="AD177" s="39">
        <f t="shared" si="152"/>
        <v>-6.0182910340361717</v>
      </c>
      <c r="AE177" s="39">
        <f t="shared" si="153"/>
        <v>-0.49873787208318809</v>
      </c>
    </row>
    <row r="178" spans="1:31" x14ac:dyDescent="0.2">
      <c r="A178" s="10" t="str">
        <f t="shared" si="141"/>
        <v>92 Elementary administration and service occupations</v>
      </c>
      <c r="B178" s="11">
        <f t="shared" si="141"/>
        <v>502.07614358936502</v>
      </c>
      <c r="C178" s="11">
        <f t="shared" si="145"/>
        <v>531.01456294318496</v>
      </c>
      <c r="D178" s="11">
        <f t="shared" si="145"/>
        <v>487.63253962385613</v>
      </c>
      <c r="E178" s="11">
        <f t="shared" si="145"/>
        <v>501.40009325993185</v>
      </c>
      <c r="F178" s="11">
        <f t="shared" si="145"/>
        <v>499.44682814922436</v>
      </c>
      <c r="H178" s="39">
        <f>IF(D$151-B$151 &lt;&gt; 0,(EXP(LN(D178/B178)/(D$151-B$151))-1)*100,0)</f>
        <v>-0.58209241903665054</v>
      </c>
      <c r="I178" s="39">
        <f t="shared" ref="I178" si="200">IF(F$151-D$151 &lt;&gt; 0,(EXP(LN(F178/D178)/(F$151-D$151))-1)*100,0)</f>
        <v>0.15972083562194594</v>
      </c>
      <c r="L178" s="10" t="str">
        <f t="shared" si="198"/>
        <v>92 Elementary administration and service occupations</v>
      </c>
      <c r="M178" s="11">
        <f t="shared" si="198"/>
        <v>246.88779983687851</v>
      </c>
      <c r="N178" s="11">
        <f t="shared" si="198"/>
        <v>253.66469228452752</v>
      </c>
      <c r="O178" s="11">
        <f t="shared" si="198"/>
        <v>243.6493392608335</v>
      </c>
      <c r="P178" s="11">
        <f t="shared" si="198"/>
        <v>258.59098539707753</v>
      </c>
      <c r="Q178" s="11">
        <f t="shared" si="198"/>
        <v>255.39302451210574</v>
      </c>
      <c r="S178" s="39">
        <f t="shared" ref="S178" si="201">IF(O$151-M$151 &lt;&gt; 0,(EXP(LN(O178/M178)/(O$151-M$151))-1)*100,0)</f>
        <v>-0.26373010556686172</v>
      </c>
      <c r="T178" s="39">
        <f t="shared" ref="T178" si="202">IF(Q$151-O$151 &lt;&gt; 0,(EXP(LN(Q178/O178)/(Q$151-O$151))-1)*100,0)</f>
        <v>0.31431676758704175</v>
      </c>
      <c r="W178" s="10" t="str">
        <f t="shared" si="199"/>
        <v>92 Elementary administration and service occupations</v>
      </c>
      <c r="X178" s="11">
        <f t="shared" si="199"/>
        <v>255.18834375248764</v>
      </c>
      <c r="Y178" s="11">
        <f t="shared" si="199"/>
        <v>277.34987065865658</v>
      </c>
      <c r="Z178" s="11">
        <f t="shared" si="199"/>
        <v>243.98320036302303</v>
      </c>
      <c r="AA178" s="11">
        <f t="shared" si="199"/>
        <v>242.80910786285446</v>
      </c>
      <c r="AB178" s="11">
        <f t="shared" si="199"/>
        <v>244.05380363711831</v>
      </c>
      <c r="AD178" s="39">
        <f t="shared" ref="AD178" si="203">IF(Z$151-X$151 &lt;&gt; 0,(EXP(LN(Z178/X178)/(Z$151-X$151))-1)*100,0)</f>
        <v>-0.89402964499624149</v>
      </c>
      <c r="AE178" s="39">
        <f t="shared" ref="AE178" si="204">IF(AB$151-Z$151 &lt;&gt; 0,(EXP(LN(AB178/Z178)/(AB$151-Z$151))-1)*100,0)</f>
        <v>1.9289235569930341E-3</v>
      </c>
    </row>
    <row r="179" spans="1:31" x14ac:dyDescent="0.2">
      <c r="A179" s="10"/>
      <c r="B179" s="11"/>
      <c r="C179" s="11"/>
      <c r="D179" s="11"/>
      <c r="E179" s="11"/>
      <c r="F179" s="11"/>
      <c r="H179" s="39"/>
      <c r="I179" s="39"/>
      <c r="L179" s="10"/>
      <c r="M179" s="11"/>
      <c r="N179" s="11"/>
      <c r="O179" s="11"/>
      <c r="P179" s="11"/>
      <c r="Q179" s="11"/>
      <c r="S179" s="39"/>
      <c r="T179" s="39"/>
      <c r="W179" s="10"/>
      <c r="X179" s="11"/>
      <c r="Y179" s="11"/>
      <c r="Z179" s="11"/>
      <c r="AA179" s="11"/>
      <c r="AB179" s="11"/>
      <c r="AD179" s="39"/>
      <c r="AE179" s="39"/>
    </row>
    <row r="180" spans="1:31" x14ac:dyDescent="0.2">
      <c r="A180" s="231" t="str">
        <f t="shared" ref="A180:F180" si="205">A35</f>
        <v>All occupations</v>
      </c>
      <c r="B180" s="33">
        <f>B35</f>
        <v>5573.5560000041069</v>
      </c>
      <c r="C180" s="33">
        <f t="shared" si="205"/>
        <v>5970.1169999982631</v>
      </c>
      <c r="D180" s="33">
        <f t="shared" si="205"/>
        <v>5937.38100000533</v>
      </c>
      <c r="E180" s="33">
        <f t="shared" si="205"/>
        <v>6179.2980000106982</v>
      </c>
      <c r="F180" s="33">
        <f t="shared" si="205"/>
        <v>6480.7350000074612</v>
      </c>
      <c r="H180" s="42">
        <f t="shared" si="146"/>
        <v>1.2727282491479697</v>
      </c>
      <c r="I180" s="42">
        <f t="shared" si="147"/>
        <v>0.58547928810914751</v>
      </c>
      <c r="L180" s="231" t="str">
        <f t="shared" ref="L180:Q180" si="206">L35</f>
        <v>All occupations</v>
      </c>
      <c r="M180" s="33">
        <f t="shared" si="206"/>
        <v>2948.9900000042367</v>
      </c>
      <c r="N180" s="33">
        <f t="shared" si="206"/>
        <v>3162.1329999996055</v>
      </c>
      <c r="O180" s="33">
        <f t="shared" si="206"/>
        <v>3113.2300000080063</v>
      </c>
      <c r="P180" s="33">
        <f t="shared" si="206"/>
        <v>3248.729000011318</v>
      </c>
      <c r="Q180" s="33">
        <f t="shared" si="206"/>
        <v>3406.6080000084894</v>
      </c>
      <c r="S180" s="42">
        <f t="shared" ref="S180" si="207">IF(O$151-M$151 &lt;&gt; 0,(EXP(LN(O180/M180)/(O$151-M$151))-1)*100,0)</f>
        <v>1.0898568103223205</v>
      </c>
      <c r="T180" s="42">
        <f t="shared" ref="T180" si="208">IF(Q$151-O$151 &lt;&gt; 0,(EXP(LN(Q180/O180)/(Q$151-O$151))-1)*100,0)</f>
        <v>0.60218121418280646</v>
      </c>
      <c r="W180" s="231" t="str">
        <f t="shared" ref="W180:AB180" si="209">W35</f>
        <v>All occupations</v>
      </c>
      <c r="X180" s="33">
        <f t="shared" si="209"/>
        <v>2624.5659999998693</v>
      </c>
      <c r="Y180" s="33">
        <f t="shared" si="209"/>
        <v>2807.9839999986584</v>
      </c>
      <c r="Z180" s="33">
        <f t="shared" si="209"/>
        <v>2824.1509999973246</v>
      </c>
      <c r="AA180" s="33">
        <f t="shared" si="209"/>
        <v>2930.568999999382</v>
      </c>
      <c r="AB180" s="33">
        <f t="shared" si="209"/>
        <v>3074.1269999989736</v>
      </c>
      <c r="AD180" s="42">
        <f t="shared" ref="AD180" si="210">IF(Z$151-X$151 &lt;&gt; 0,(EXP(LN(Z180/X180)/(Z$151-X$151))-1)*100,0)</f>
        <v>1.4766409803091962</v>
      </c>
      <c r="AE180" s="42">
        <f t="shared" ref="AE180" si="211">IF(AB$151-Z$151 &lt;&gt; 0,(EXP(LN(AB180/Z180)/(AB$151-Z$151))-1)*100,0)</f>
        <v>0.56702265602246449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1" man="1"/>
  </rowBreaks>
  <colBreaks count="2" manualBreakCount="2">
    <brk id="10" max="179" man="1"/>
    <brk id="21" max="179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8" t="str">
        <f>CONCATENATE("Occupation Table 3  Employment Change by Occupation in Occupation Group (SOC 2020), ",B$5,"-",F$5,", ",Info!B5)</f>
        <v>Occupation Table 3  Employment Change by Occupation in Occupation Group (SOC 2020), 2015-2035, London</v>
      </c>
    </row>
    <row r="2" spans="1:12" ht="12.75" customHeight="1" x14ac:dyDescent="0.2">
      <c r="A2" s="181" t="s">
        <v>538</v>
      </c>
    </row>
    <row r="3" spans="1:12" ht="12.75" customHeight="1" x14ac:dyDescent="0.25">
      <c r="A3" s="18"/>
      <c r="L3" s="37" t="s">
        <v>19</v>
      </c>
    </row>
    <row r="4" spans="1:12" x14ac:dyDescent="0.2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2">
      <c r="A5" s="23"/>
      <c r="B5" s="34">
        <f>'Occ T1'!B6</f>
        <v>2015</v>
      </c>
      <c r="C5" s="34">
        <f>'Occ T1'!C6</f>
        <v>2019</v>
      </c>
      <c r="D5" s="34">
        <f>'Occ T1'!D6</f>
        <v>2020</v>
      </c>
      <c r="E5" s="34">
        <f>'Occ T1'!E6</f>
        <v>2025</v>
      </c>
      <c r="F5" s="34">
        <f>'Occ T1'!F6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x14ac:dyDescent="0.2">
      <c r="A7" s="29" t="str">
        <f>'Occ T1'!A8</f>
        <v>Managers, directors and senior officials</v>
      </c>
      <c r="B7" s="30">
        <f>'Occ T1'!B8</f>
        <v>626.46199201398156</v>
      </c>
      <c r="C7" s="30">
        <f>'Occ T1'!C8</f>
        <v>724.87092538366153</v>
      </c>
      <c r="D7" s="30">
        <f>'Occ T1'!D8</f>
        <v>725.07323238495474</v>
      </c>
      <c r="E7" s="30">
        <f>'Occ T1'!E8</f>
        <v>754.09062631299162</v>
      </c>
      <c r="F7" s="30">
        <f>'Occ T1'!F8</f>
        <v>825.42675998664572</v>
      </c>
      <c r="H7" s="30">
        <f>C7-B7</f>
        <v>98.408933369679971</v>
      </c>
      <c r="I7" s="30">
        <f>D7-C7</f>
        <v>0.20230700129320667</v>
      </c>
      <c r="J7" s="30">
        <f>E7-D7</f>
        <v>29.017393928036881</v>
      </c>
      <c r="K7" s="30">
        <f>F7-E7</f>
        <v>71.336133673654103</v>
      </c>
      <c r="L7" s="30">
        <f>F7-D7</f>
        <v>100.35352760169098</v>
      </c>
    </row>
    <row r="8" spans="1:12" s="29" customFormat="1" x14ac:dyDescent="0.2">
      <c r="A8" s="10" t="str">
        <f>'Occ T2'!A8</f>
        <v>11 Corporate managers and directors</v>
      </c>
      <c r="B8" s="31">
        <f>'Occ T2'!B8</f>
        <v>439.61936541253647</v>
      </c>
      <c r="C8" s="31">
        <f>'Occ T2'!C8</f>
        <v>523.51058807019922</v>
      </c>
      <c r="D8" s="31">
        <f>'Occ T2'!D8</f>
        <v>526.87103828580155</v>
      </c>
      <c r="E8" s="31">
        <f>'Occ T2'!E8</f>
        <v>503.60123376081771</v>
      </c>
      <c r="F8" s="31">
        <f>'Occ T2'!F8</f>
        <v>543.51331220374857</v>
      </c>
      <c r="H8" s="30">
        <f t="shared" ref="H8:H9" si="0">C8-B8</f>
        <v>83.891222657662752</v>
      </c>
      <c r="I8" s="30">
        <f t="shared" ref="I8:I9" si="1">D8-C8</f>
        <v>3.3604502156023273</v>
      </c>
      <c r="J8" s="30">
        <f t="shared" ref="J8:J9" si="2">E8-D8</f>
        <v>-23.26980452498384</v>
      </c>
      <c r="K8" s="30">
        <f t="shared" ref="K8:K9" si="3">F8-E8</f>
        <v>39.912078442930863</v>
      </c>
      <c r="L8" s="30">
        <f t="shared" ref="L8:L49" si="4">F8-D8</f>
        <v>16.642273917947023</v>
      </c>
    </row>
    <row r="9" spans="1:12" s="29" customFormat="1" x14ac:dyDescent="0.2">
      <c r="A9" s="10" t="str">
        <f>'Occ T2'!A9</f>
        <v>12 Other managers and proprietors</v>
      </c>
      <c r="B9" s="31">
        <f>'Occ T2'!B9</f>
        <v>186.84262660144509</v>
      </c>
      <c r="C9" s="31">
        <f>'Occ T2'!C9</f>
        <v>201.36033731346231</v>
      </c>
      <c r="D9" s="31">
        <f>'Occ T2'!D9</f>
        <v>198.20219409915316</v>
      </c>
      <c r="E9" s="31">
        <f>'Occ T2'!E9</f>
        <v>250.48939255217397</v>
      </c>
      <c r="F9" s="31">
        <f>'Occ T2'!F9</f>
        <v>281.91344778289721</v>
      </c>
      <c r="H9" s="30">
        <f t="shared" si="0"/>
        <v>14.51771071201722</v>
      </c>
      <c r="I9" s="30">
        <f t="shared" si="1"/>
        <v>-3.158143214309149</v>
      </c>
      <c r="J9" s="30">
        <f t="shared" si="2"/>
        <v>52.287198453020807</v>
      </c>
      <c r="K9" s="30">
        <f t="shared" si="3"/>
        <v>31.424055230723241</v>
      </c>
      <c r="L9" s="30">
        <f t="shared" si="4"/>
        <v>83.711253683744047</v>
      </c>
    </row>
    <row r="10" spans="1:12" x14ac:dyDescent="0.2">
      <c r="B10" s="31"/>
      <c r="C10" s="31"/>
      <c r="D10" s="31"/>
      <c r="E10" s="31"/>
      <c r="F10" s="31"/>
      <c r="H10" s="11"/>
      <c r="I10" s="30"/>
      <c r="J10" s="11"/>
      <c r="K10" s="11"/>
      <c r="L10" s="30"/>
    </row>
    <row r="11" spans="1:12" s="29" customFormat="1" x14ac:dyDescent="0.2">
      <c r="A11" s="29" t="str">
        <f>'Occ T1'!A9</f>
        <v>Professional occupations</v>
      </c>
      <c r="B11" s="30">
        <f>'Occ T1'!B9</f>
        <v>1516.4657958964276</v>
      </c>
      <c r="C11" s="30">
        <f>'Occ T1'!C9</f>
        <v>1741.1553147238617</v>
      </c>
      <c r="D11" s="30">
        <f>'Occ T1'!D9</f>
        <v>1814.2132888802114</v>
      </c>
      <c r="E11" s="30">
        <f>'Occ T1'!E9</f>
        <v>1977.1952508240422</v>
      </c>
      <c r="F11" s="30">
        <f>'Occ T1'!F9</f>
        <v>2142.3646973245973</v>
      </c>
      <c r="H11" s="30">
        <f>C11-B11</f>
        <v>224.68951882743409</v>
      </c>
      <c r="I11" s="30">
        <f t="shared" ref="I11:I49" si="5">D11-C11</f>
        <v>73.057974156349701</v>
      </c>
      <c r="J11" s="30">
        <f>E11-D11</f>
        <v>162.98196194383081</v>
      </c>
      <c r="K11" s="30">
        <f>F11-E11</f>
        <v>165.16944650055507</v>
      </c>
      <c r="L11" s="30">
        <f t="shared" si="4"/>
        <v>328.15140844438588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341.5971984313648</v>
      </c>
      <c r="C12" s="10">
        <f>'Occ T2'!C10</f>
        <v>405.77951277913274</v>
      </c>
      <c r="D12" s="10">
        <f>'Occ T2'!D10</f>
        <v>423.83885764393955</v>
      </c>
      <c r="E12" s="10">
        <f>'Occ T2'!E10</f>
        <v>461.74616557018186</v>
      </c>
      <c r="F12" s="10">
        <f>'Occ T2'!F10</f>
        <v>511.56986191940257</v>
      </c>
      <c r="H12" s="11">
        <f t="shared" ref="H12:K14" si="6">C12-B12</f>
        <v>64.182314347767942</v>
      </c>
      <c r="I12" s="30">
        <f t="shared" si="5"/>
        <v>18.059344864806803</v>
      </c>
      <c r="J12" s="11">
        <f t="shared" si="6"/>
        <v>37.907307926242311</v>
      </c>
      <c r="K12" s="11">
        <f t="shared" si="6"/>
        <v>49.823696349220711</v>
      </c>
      <c r="L12" s="30">
        <f t="shared" si="4"/>
        <v>87.731004275463022</v>
      </c>
    </row>
    <row r="13" spans="1:12" x14ac:dyDescent="0.2">
      <c r="A13" s="10" t="str">
        <f>'Occ T2'!A11</f>
        <v>22 Health professionals</v>
      </c>
      <c r="B13" s="10">
        <f>'Occ T2'!B11</f>
        <v>253.3802593272118</v>
      </c>
      <c r="C13" s="10">
        <f>'Occ T2'!C11</f>
        <v>292.86266274936236</v>
      </c>
      <c r="D13" s="10">
        <f>'Occ T2'!D11</f>
        <v>289.86377178651531</v>
      </c>
      <c r="E13" s="10">
        <f>'Occ T2'!E11</f>
        <v>306.86800344284825</v>
      </c>
      <c r="F13" s="10">
        <f>'Occ T2'!F11</f>
        <v>314.63253825255418</v>
      </c>
      <c r="H13" s="11">
        <f t="shared" si="6"/>
        <v>39.482403422150554</v>
      </c>
      <c r="I13" s="30">
        <f t="shared" si="5"/>
        <v>-2.9988909628470424</v>
      </c>
      <c r="J13" s="11">
        <f t="shared" si="6"/>
        <v>17.004231656332934</v>
      </c>
      <c r="K13" s="11">
        <f t="shared" si="6"/>
        <v>7.7645348097059355</v>
      </c>
      <c r="L13" s="30">
        <f t="shared" si="4"/>
        <v>24.768766466038869</v>
      </c>
    </row>
    <row r="14" spans="1:12" x14ac:dyDescent="0.2">
      <c r="A14" s="10" t="str">
        <f>'Occ T2'!A12</f>
        <v>23 Teaching and other educational professionals</v>
      </c>
      <c r="B14" s="10">
        <f>'Occ T2'!B12</f>
        <v>342.63322989670951</v>
      </c>
      <c r="C14" s="10">
        <f>'Occ T2'!C12</f>
        <v>347.72429910691096</v>
      </c>
      <c r="D14" s="10">
        <f>'Occ T2'!D12</f>
        <v>370.65753423648943</v>
      </c>
      <c r="E14" s="10">
        <f>'Occ T2'!E12</f>
        <v>378.16676625518454</v>
      </c>
      <c r="F14" s="10">
        <f>'Occ T2'!F12</f>
        <v>405.31749165504783</v>
      </c>
      <c r="H14" s="11">
        <f t="shared" si="6"/>
        <v>5.0910692102014536</v>
      </c>
      <c r="I14" s="30">
        <f t="shared" si="5"/>
        <v>22.933235129578463</v>
      </c>
      <c r="J14" s="11">
        <f t="shared" si="6"/>
        <v>7.5092320186951156</v>
      </c>
      <c r="K14" s="11">
        <f t="shared" si="6"/>
        <v>27.15072539986329</v>
      </c>
      <c r="L14" s="30">
        <f t="shared" si="4"/>
        <v>34.659957418558406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578.85510824114158</v>
      </c>
      <c r="C15" s="10">
        <f>'Occ T2'!C13</f>
        <v>694.78884008845557</v>
      </c>
      <c r="D15" s="10">
        <f>'Occ T2'!D13</f>
        <v>729.85312521326705</v>
      </c>
      <c r="E15" s="10">
        <f>'Occ T2'!E13</f>
        <v>830.41431555582767</v>
      </c>
      <c r="F15" s="10">
        <f>'Occ T2'!F13</f>
        <v>910.8448054975928</v>
      </c>
      <c r="H15" s="11">
        <f t="shared" ref="H15" si="7">C15-B15</f>
        <v>115.93373184731399</v>
      </c>
      <c r="I15" s="30">
        <f t="shared" si="5"/>
        <v>35.064285124811477</v>
      </c>
      <c r="J15" s="11">
        <f t="shared" ref="J15" si="8">E15-D15</f>
        <v>100.56119034256062</v>
      </c>
      <c r="K15" s="11">
        <f t="shared" ref="K15" si="9">F15-E15</f>
        <v>80.430489941765131</v>
      </c>
      <c r="L15" s="30">
        <f t="shared" si="4"/>
        <v>180.99168028432575</v>
      </c>
    </row>
    <row r="16" spans="1:12" x14ac:dyDescent="0.2">
      <c r="A16" s="10"/>
      <c r="B16" s="31"/>
      <c r="C16" s="31"/>
      <c r="D16" s="31"/>
      <c r="E16" s="31"/>
      <c r="F16" s="31"/>
      <c r="H16" s="11"/>
      <c r="I16" s="30"/>
      <c r="J16" s="11"/>
      <c r="K16" s="11"/>
      <c r="L16" s="30"/>
    </row>
    <row r="17" spans="1:12" s="29" customFormat="1" x14ac:dyDescent="0.2">
      <c r="A17" s="29" t="str">
        <f>'Occ T1'!A10</f>
        <v>Associate professional occupations</v>
      </c>
      <c r="B17" s="30">
        <f>'Occ T1'!B10</f>
        <v>971.86115815232506</v>
      </c>
      <c r="C17" s="30">
        <f>'Occ T1'!C10</f>
        <v>1034.9176447412417</v>
      </c>
      <c r="D17" s="30">
        <f>'Occ T1'!D10</f>
        <v>1085.4779270290016</v>
      </c>
      <c r="E17" s="30">
        <f>'Occ T1'!E10</f>
        <v>1083.2466314386847</v>
      </c>
      <c r="F17" s="30">
        <f>'Occ T1'!F10</f>
        <v>1150.8686915396661</v>
      </c>
      <c r="H17" s="30">
        <f t="shared" ref="H17:K21" si="10">C17-B17</f>
        <v>63.056486588916641</v>
      </c>
      <c r="I17" s="30">
        <f t="shared" si="5"/>
        <v>50.560282287759946</v>
      </c>
      <c r="J17" s="30">
        <f t="shared" si="10"/>
        <v>-2.2312955903169041</v>
      </c>
      <c r="K17" s="30">
        <f t="shared" si="10"/>
        <v>67.622060100981344</v>
      </c>
      <c r="L17" s="30">
        <f t="shared" si="4"/>
        <v>65.39076451066444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81.903763878624659</v>
      </c>
      <c r="C18" s="10">
        <f>'Occ T2'!C14</f>
        <v>99.312809298538895</v>
      </c>
      <c r="D18" s="10">
        <f>'Occ T2'!D14</f>
        <v>105.44228217606674</v>
      </c>
      <c r="E18" s="10">
        <f>'Occ T2'!E14</f>
        <v>96.372111679440593</v>
      </c>
      <c r="F18" s="10">
        <f>'Occ T2'!F14</f>
        <v>103.72464919203004</v>
      </c>
      <c r="H18" s="11">
        <f t="shared" si="10"/>
        <v>17.409045419914236</v>
      </c>
      <c r="I18" s="30">
        <f t="shared" si="5"/>
        <v>6.1294728775278458</v>
      </c>
      <c r="J18" s="11">
        <f t="shared" si="10"/>
        <v>-9.0701704966261474</v>
      </c>
      <c r="K18" s="11">
        <f t="shared" si="10"/>
        <v>7.3525375125894499</v>
      </c>
      <c r="L18" s="30">
        <f t="shared" si="4"/>
        <v>-1.7176329840366975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96.617057225558284</v>
      </c>
      <c r="C19" s="10">
        <f>'Occ T2'!C15</f>
        <v>108.31678735553254</v>
      </c>
      <c r="D19" s="10">
        <f>'Occ T2'!D15</f>
        <v>109.6581082081135</v>
      </c>
      <c r="E19" s="10">
        <f>'Occ T2'!E15</f>
        <v>109.13228559280523</v>
      </c>
      <c r="F19" s="10">
        <f>'Occ T2'!F15</f>
        <v>113.02119267279436</v>
      </c>
      <c r="H19" s="11">
        <f t="shared" si="10"/>
        <v>11.699730129974256</v>
      </c>
      <c r="I19" s="30">
        <f t="shared" si="5"/>
        <v>1.3413208525809637</v>
      </c>
      <c r="J19" s="11">
        <f t="shared" si="10"/>
        <v>-0.52582261530827168</v>
      </c>
      <c r="K19" s="11">
        <f t="shared" si="10"/>
        <v>3.8889070799891243</v>
      </c>
      <c r="L19" s="30">
        <f t="shared" si="4"/>
        <v>3.3630844646808526</v>
      </c>
    </row>
    <row r="20" spans="1:12" x14ac:dyDescent="0.2">
      <c r="A20" s="10" t="str">
        <f>'Occ T2'!A16</f>
        <v>33 Protective service occupations</v>
      </c>
      <c r="B20" s="10">
        <f>'Occ T2'!B16</f>
        <v>66.411785193429807</v>
      </c>
      <c r="C20" s="10">
        <f>'Occ T2'!C16</f>
        <v>70.733380140054265</v>
      </c>
      <c r="D20" s="10">
        <f>'Occ T2'!D16</f>
        <v>75.80441572551301</v>
      </c>
      <c r="E20" s="10">
        <f>'Occ T2'!E16</f>
        <v>89.043035973525392</v>
      </c>
      <c r="F20" s="10">
        <f>'Occ T2'!F16</f>
        <v>101.60369334487039</v>
      </c>
      <c r="H20" s="11">
        <f t="shared" si="10"/>
        <v>4.3215949466244581</v>
      </c>
      <c r="I20" s="30">
        <f t="shared" si="5"/>
        <v>5.0710355854587448</v>
      </c>
      <c r="J20" s="11">
        <f t="shared" si="10"/>
        <v>13.238620248012381</v>
      </c>
      <c r="K20" s="11">
        <f t="shared" si="10"/>
        <v>12.560657371345002</v>
      </c>
      <c r="L20" s="30">
        <f t="shared" si="4"/>
        <v>25.799277619357383</v>
      </c>
    </row>
    <row r="21" spans="1:12" x14ac:dyDescent="0.2">
      <c r="A21" s="10" t="str">
        <f>'Occ T2'!A17</f>
        <v>34 Culture, media and sports occupations</v>
      </c>
      <c r="B21" s="10">
        <f>'Occ T2'!B17</f>
        <v>223.52526281482929</v>
      </c>
      <c r="C21" s="10">
        <f>'Occ T2'!C17</f>
        <v>212.5920837650911</v>
      </c>
      <c r="D21" s="10">
        <f>'Occ T2'!D17</f>
        <v>244.51539437746447</v>
      </c>
      <c r="E21" s="10">
        <f>'Occ T2'!E17</f>
        <v>253.06686198212074</v>
      </c>
      <c r="F21" s="10">
        <f>'Occ T2'!F17</f>
        <v>278.61027449263656</v>
      </c>
      <c r="H21" s="11">
        <f t="shared" si="10"/>
        <v>-10.933179049738186</v>
      </c>
      <c r="I21" s="30">
        <f t="shared" si="5"/>
        <v>31.923310612373371</v>
      </c>
      <c r="J21" s="11">
        <f t="shared" si="10"/>
        <v>8.551467604656267</v>
      </c>
      <c r="K21" s="11">
        <f t="shared" si="10"/>
        <v>25.543412510515822</v>
      </c>
      <c r="L21" s="30">
        <f t="shared" si="4"/>
        <v>34.094880115172089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503.40328903988308</v>
      </c>
      <c r="C22" s="10">
        <f>'Occ T2'!C18</f>
        <v>543.9625841820249</v>
      </c>
      <c r="D22" s="10">
        <f>'Occ T2'!D18</f>
        <v>550.05772654184398</v>
      </c>
      <c r="E22" s="10">
        <f>'Occ T2'!E18</f>
        <v>535.63233621079291</v>
      </c>
      <c r="F22" s="10">
        <f>'Occ T2'!F18</f>
        <v>553.90888183733466</v>
      </c>
      <c r="H22" s="11">
        <f t="shared" ref="H22" si="11">C22-B22</f>
        <v>40.559295142141821</v>
      </c>
      <c r="I22" s="30">
        <f t="shared" si="5"/>
        <v>6.0951423598190786</v>
      </c>
      <c r="J22" s="11">
        <f t="shared" ref="J22" si="12">E22-D22</f>
        <v>-14.425390331051062</v>
      </c>
      <c r="K22" s="11">
        <f t="shared" ref="K22" si="13">F22-E22</f>
        <v>18.276545626541747</v>
      </c>
      <c r="L22" s="30">
        <f t="shared" si="4"/>
        <v>3.8511552954906847</v>
      </c>
    </row>
    <row r="23" spans="1:12" x14ac:dyDescent="0.2">
      <c r="A23" s="10"/>
      <c r="B23" s="31"/>
      <c r="C23" s="31"/>
      <c r="D23" s="31"/>
      <c r="E23" s="31"/>
      <c r="F23" s="31"/>
      <c r="H23" s="11"/>
      <c r="I23" s="30"/>
      <c r="J23" s="11"/>
      <c r="K23" s="11"/>
      <c r="L23" s="30"/>
    </row>
    <row r="24" spans="1:12" s="29" customFormat="1" x14ac:dyDescent="0.2">
      <c r="A24" s="29" t="str">
        <f>'Occ T1'!A11</f>
        <v>Administrative and secretarial occupations</v>
      </c>
      <c r="B24" s="30">
        <f>'Occ T1'!B11</f>
        <v>501.70362823889116</v>
      </c>
      <c r="C24" s="30">
        <f>'Occ T1'!C11</f>
        <v>484.92988937825146</v>
      </c>
      <c r="D24" s="30">
        <f>'Occ T1'!D11</f>
        <v>492.35763075020748</v>
      </c>
      <c r="E24" s="30">
        <f>'Occ T1'!E11</f>
        <v>453.8553569293</v>
      </c>
      <c r="F24" s="30">
        <f>'Occ T1'!F11</f>
        <v>414.15179836218863</v>
      </c>
      <c r="H24" s="30">
        <f t="shared" ref="H24:K26" si="14">C24-B24</f>
        <v>-16.773738860639696</v>
      </c>
      <c r="I24" s="30">
        <f t="shared" si="5"/>
        <v>7.4277413719560172</v>
      </c>
      <c r="J24" s="30">
        <f t="shared" si="14"/>
        <v>-38.502273820907476</v>
      </c>
      <c r="K24" s="30">
        <f t="shared" si="14"/>
        <v>-39.703558567111372</v>
      </c>
      <c r="L24" s="30">
        <f t="shared" si="4"/>
        <v>-78.205832388018848</v>
      </c>
    </row>
    <row r="25" spans="1:12" x14ac:dyDescent="0.2">
      <c r="A25" t="str">
        <f>'Occ T2'!A19</f>
        <v>41 Administrative occupations</v>
      </c>
      <c r="B25" s="31">
        <f>'Occ T2'!B19</f>
        <v>399.8387719269964</v>
      </c>
      <c r="C25" s="31">
        <f>'Occ T2'!C19</f>
        <v>391.7440117542651</v>
      </c>
      <c r="D25" s="31">
        <f>'Occ T2'!D19</f>
        <v>403.63982178925511</v>
      </c>
      <c r="E25" s="31">
        <f>'Occ T2'!E19</f>
        <v>365.71005326916145</v>
      </c>
      <c r="F25" s="31">
        <f>'Occ T2'!F19</f>
        <v>335.62418452466846</v>
      </c>
      <c r="H25" s="11">
        <f t="shared" si="14"/>
        <v>-8.0947601727312986</v>
      </c>
      <c r="I25" s="30">
        <f t="shared" si="5"/>
        <v>11.895810034990006</v>
      </c>
      <c r="J25" s="11">
        <f t="shared" si="14"/>
        <v>-37.92976852009366</v>
      </c>
      <c r="K25" s="11">
        <f t="shared" si="14"/>
        <v>-30.085868744492984</v>
      </c>
      <c r="L25" s="30">
        <f t="shared" si="4"/>
        <v>-68.015637264586644</v>
      </c>
    </row>
    <row r="26" spans="1:12" x14ac:dyDescent="0.2">
      <c r="A26" t="str">
        <f>'Occ T2'!A20</f>
        <v>42 Secretarial and related occupations</v>
      </c>
      <c r="B26" s="31">
        <f>'Occ T2'!B20</f>
        <v>101.86485631189477</v>
      </c>
      <c r="C26" s="31">
        <f>'Occ T2'!C20</f>
        <v>93.185877623986343</v>
      </c>
      <c r="D26" s="31">
        <f>'Occ T2'!D20</f>
        <v>88.717808960952368</v>
      </c>
      <c r="E26" s="31">
        <f>'Occ T2'!E20</f>
        <v>88.145303660138566</v>
      </c>
      <c r="F26" s="31">
        <f>'Occ T2'!F20</f>
        <v>78.527613837520136</v>
      </c>
      <c r="H26" s="11">
        <f t="shared" si="14"/>
        <v>-8.6789786879084261</v>
      </c>
      <c r="I26" s="30">
        <f t="shared" si="5"/>
        <v>-4.468068663033975</v>
      </c>
      <c r="J26" s="11">
        <f t="shared" si="14"/>
        <v>-0.57250530081380191</v>
      </c>
      <c r="K26" s="11">
        <f t="shared" si="14"/>
        <v>-9.6176898226184306</v>
      </c>
      <c r="L26" s="30">
        <f t="shared" si="4"/>
        <v>-10.190195123432233</v>
      </c>
    </row>
    <row r="27" spans="1:12" x14ac:dyDescent="0.2">
      <c r="B27" s="31"/>
      <c r="C27" s="31"/>
      <c r="D27" s="31"/>
      <c r="E27" s="31"/>
      <c r="F27" s="31"/>
      <c r="H27" s="11"/>
      <c r="I27" s="30"/>
      <c r="J27" s="11"/>
      <c r="K27" s="11"/>
      <c r="L27" s="30"/>
    </row>
    <row r="28" spans="1:12" s="29" customFormat="1" x14ac:dyDescent="0.2">
      <c r="A28" s="29" t="str">
        <f>'Occ T1'!A12</f>
        <v>Skilled trades occupations</v>
      </c>
      <c r="B28" s="30">
        <f>'Occ T1'!B12</f>
        <v>438.29484433198445</v>
      </c>
      <c r="C28" s="30">
        <f>'Occ T1'!C12</f>
        <v>424.38222625246044</v>
      </c>
      <c r="D28" s="30">
        <f>'Occ T1'!D12</f>
        <v>361.80344341909864</v>
      </c>
      <c r="E28" s="30">
        <f>'Occ T1'!E12</f>
        <v>389.33143485034384</v>
      </c>
      <c r="F28" s="30">
        <f>'Occ T1'!F12</f>
        <v>408.56497115717872</v>
      </c>
      <c r="H28" s="30">
        <f t="shared" ref="H28:K30" si="15">C28-B28</f>
        <v>-13.912618079524009</v>
      </c>
      <c r="I28" s="30">
        <f t="shared" si="5"/>
        <v>-62.578782833361799</v>
      </c>
      <c r="J28" s="30">
        <f t="shared" si="15"/>
        <v>27.527991431245198</v>
      </c>
      <c r="K28" s="30">
        <f t="shared" si="15"/>
        <v>19.233536306834878</v>
      </c>
      <c r="L28" s="30">
        <f t="shared" si="4"/>
        <v>46.761527738080076</v>
      </c>
    </row>
    <row r="29" spans="1:12" x14ac:dyDescent="0.2">
      <c r="A29" s="10" t="str">
        <f>'Occ T2'!A21</f>
        <v>51 Skilled agricultural and related trades</v>
      </c>
      <c r="B29" s="10">
        <f>'Occ T2'!B21</f>
        <v>26.294453584726924</v>
      </c>
      <c r="C29" s="10">
        <f>'Occ T2'!C21</f>
        <v>26.463703517996674</v>
      </c>
      <c r="D29" s="10">
        <f>'Occ T2'!D21</f>
        <v>25.224786294385733</v>
      </c>
      <c r="E29" s="10">
        <f>'Occ T2'!E21</f>
        <v>27.211602776942538</v>
      </c>
      <c r="F29" s="10">
        <f>'Occ T2'!F21</f>
        <v>32.47501086648176</v>
      </c>
      <c r="H29" s="11">
        <f t="shared" si="15"/>
        <v>0.16924993326975013</v>
      </c>
      <c r="I29" s="30">
        <f t="shared" si="5"/>
        <v>-1.2389172236109403</v>
      </c>
      <c r="J29" s="11">
        <f t="shared" si="15"/>
        <v>1.9868164825568044</v>
      </c>
      <c r="K29" s="11">
        <f t="shared" si="15"/>
        <v>5.2634080895392223</v>
      </c>
      <c r="L29" s="30">
        <f t="shared" si="4"/>
        <v>7.2502245720960268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119.88160092800702</v>
      </c>
      <c r="C30" s="10">
        <f>'Occ T2'!C22</f>
        <v>126.32773853817437</v>
      </c>
      <c r="D30" s="10">
        <f>'Occ T2'!D22</f>
        <v>111.14071561048978</v>
      </c>
      <c r="E30" s="10">
        <f>'Occ T2'!E22</f>
        <v>115.71265313915445</v>
      </c>
      <c r="F30" s="10">
        <f>'Occ T2'!F22</f>
        <v>111.9329693226548</v>
      </c>
      <c r="H30" s="11">
        <f t="shared" si="15"/>
        <v>6.4461376101673551</v>
      </c>
      <c r="I30" s="30">
        <f t="shared" si="5"/>
        <v>-15.187022927684595</v>
      </c>
      <c r="J30" s="11">
        <f t="shared" si="15"/>
        <v>4.5719375286646766</v>
      </c>
      <c r="K30" s="11">
        <f t="shared" si="15"/>
        <v>-3.7796838164996558</v>
      </c>
      <c r="L30" s="30">
        <f t="shared" si="4"/>
        <v>0.79225371216502083</v>
      </c>
    </row>
    <row r="31" spans="1:12" x14ac:dyDescent="0.2">
      <c r="A31" s="10" t="str">
        <f>'Occ T2'!A23</f>
        <v>53 Skilled construction and building trades</v>
      </c>
      <c r="B31" s="10">
        <f>'Occ T2'!B23</f>
        <v>163.13365486178674</v>
      </c>
      <c r="C31" s="10">
        <f>'Occ T2'!C23</f>
        <v>142.64094798695422</v>
      </c>
      <c r="D31" s="10">
        <f>'Occ T2'!D23</f>
        <v>112.25935423674792</v>
      </c>
      <c r="E31" s="10">
        <f>'Occ T2'!E23</f>
        <v>128.77074902427728</v>
      </c>
      <c r="F31" s="10">
        <f>'Occ T2'!F23</f>
        <v>137.47363645308153</v>
      </c>
      <c r="H31" s="11">
        <f t="shared" ref="H31:H32" si="16">C31-B31</f>
        <v>-20.492706874832521</v>
      </c>
      <c r="I31" s="30">
        <f t="shared" si="5"/>
        <v>-30.381593750206292</v>
      </c>
      <c r="J31" s="11">
        <f t="shared" ref="J31:J32" si="17">E31-D31</f>
        <v>16.511394787529355</v>
      </c>
      <c r="K31" s="11">
        <f t="shared" ref="K31:K32" si="18">F31-E31</f>
        <v>8.7028874288042459</v>
      </c>
      <c r="L31" s="30">
        <f t="shared" si="4"/>
        <v>25.214282216333601</v>
      </c>
    </row>
    <row r="32" spans="1:12" x14ac:dyDescent="0.2">
      <c r="A32" s="10" t="str">
        <f>'Occ T2'!A24</f>
        <v>54 Textiles, printing and other skilled trades</v>
      </c>
      <c r="B32" s="10">
        <f>'Occ T2'!B24</f>
        <v>128.98513495746371</v>
      </c>
      <c r="C32" s="10">
        <f>'Occ T2'!C24</f>
        <v>128.94983620933522</v>
      </c>
      <c r="D32" s="10">
        <f>'Occ T2'!D24</f>
        <v>113.17858727747519</v>
      </c>
      <c r="E32" s="10">
        <f>'Occ T2'!E24</f>
        <v>117.63642990996956</v>
      </c>
      <c r="F32" s="10">
        <f>'Occ T2'!F24</f>
        <v>126.68335451496061</v>
      </c>
      <c r="H32" s="11">
        <f t="shared" si="16"/>
        <v>-3.5298748128496982E-2</v>
      </c>
      <c r="I32" s="30">
        <f t="shared" si="5"/>
        <v>-15.771248931860029</v>
      </c>
      <c r="J32" s="11">
        <f t="shared" si="17"/>
        <v>4.4578426324943763</v>
      </c>
      <c r="K32" s="11">
        <f t="shared" si="18"/>
        <v>9.0469246049910481</v>
      </c>
      <c r="L32" s="30">
        <f t="shared" si="4"/>
        <v>13.504767237485424</v>
      </c>
    </row>
    <row r="33" spans="1:12" x14ac:dyDescent="0.2">
      <c r="A33" s="10"/>
      <c r="B33" s="31"/>
      <c r="C33" s="31"/>
      <c r="D33" s="31"/>
      <c r="E33" s="31"/>
      <c r="F33" s="31"/>
      <c r="H33" s="11"/>
      <c r="I33" s="30"/>
      <c r="J33" s="11"/>
      <c r="K33" s="11"/>
      <c r="L33" s="30"/>
    </row>
    <row r="34" spans="1:12" s="29" customFormat="1" x14ac:dyDescent="0.2">
      <c r="A34" s="29" t="str">
        <f>'Occ T1'!A13</f>
        <v>Caring, leisure and other service occupations</v>
      </c>
      <c r="B34" s="30">
        <f>'Occ T1'!B13</f>
        <v>359.12796442293251</v>
      </c>
      <c r="C34" s="30">
        <f>'Occ T1'!C13</f>
        <v>380.19703695698433</v>
      </c>
      <c r="D34" s="30">
        <f>'Occ T1'!D13</f>
        <v>358.39420959597021</v>
      </c>
      <c r="E34" s="30">
        <f>'Occ T1'!E13</f>
        <v>384.84661935634091</v>
      </c>
      <c r="F34" s="30">
        <f>'Occ T1'!F13</f>
        <v>408.44811050129965</v>
      </c>
      <c r="H34" s="30">
        <f t="shared" ref="H34:K36" si="19">C34-B34</f>
        <v>21.069072534051827</v>
      </c>
      <c r="I34" s="30">
        <f t="shared" si="5"/>
        <v>-21.802827361014124</v>
      </c>
      <c r="J34" s="30">
        <f t="shared" si="19"/>
        <v>26.452409760370699</v>
      </c>
      <c r="K34" s="30">
        <f t="shared" si="19"/>
        <v>23.601491144958743</v>
      </c>
      <c r="L34" s="30">
        <f t="shared" si="4"/>
        <v>50.053900905329442</v>
      </c>
    </row>
    <row r="35" spans="1:12" x14ac:dyDescent="0.2">
      <c r="A35" s="10" t="str">
        <f>'Occ T2'!A25</f>
        <v>61 Caring personal service occupations</v>
      </c>
      <c r="B35" s="10">
        <f>'Occ T2'!B25</f>
        <v>253.00446871969206</v>
      </c>
      <c r="C35" s="10">
        <f>'Occ T2'!C25</f>
        <v>264.85600780962892</v>
      </c>
      <c r="D35" s="10">
        <f>'Occ T2'!D25</f>
        <v>252.16320992365189</v>
      </c>
      <c r="E35" s="10">
        <f>'Occ T2'!E25</f>
        <v>273.32530178928874</v>
      </c>
      <c r="F35" s="10">
        <f>'Occ T2'!F25</f>
        <v>288.67846948308761</v>
      </c>
      <c r="G35" s="10"/>
      <c r="H35" s="11">
        <f t="shared" si="19"/>
        <v>11.851539089936864</v>
      </c>
      <c r="I35" s="30">
        <f t="shared" si="5"/>
        <v>-12.692797885977029</v>
      </c>
      <c r="J35" s="11">
        <f t="shared" si="19"/>
        <v>21.162091865636853</v>
      </c>
      <c r="K35" s="11">
        <f t="shared" si="19"/>
        <v>15.353167693798866</v>
      </c>
      <c r="L35" s="30">
        <f t="shared" si="4"/>
        <v>36.515259559435719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100.18519998138873</v>
      </c>
      <c r="C36" s="10">
        <f>'Occ T2'!C26</f>
        <v>109.97039787264633</v>
      </c>
      <c r="D36" s="10">
        <f>'Occ T2'!D26</f>
        <v>99.491973158038263</v>
      </c>
      <c r="E36" s="10">
        <f>'Occ T2'!E26</f>
        <v>105.88555330328265</v>
      </c>
      <c r="F36" s="10">
        <f>'Occ T2'!F26</f>
        <v>113.77979691516451</v>
      </c>
      <c r="G36" s="10"/>
      <c r="H36" s="11">
        <f t="shared" si="19"/>
        <v>9.7851978912575959</v>
      </c>
      <c r="I36" s="30">
        <f t="shared" si="5"/>
        <v>-10.478424714608067</v>
      </c>
      <c r="J36" s="11">
        <f t="shared" si="19"/>
        <v>6.3935801452443854</v>
      </c>
      <c r="K36" s="11">
        <f t="shared" si="19"/>
        <v>7.894243611881862</v>
      </c>
      <c r="L36" s="30">
        <f t="shared" si="4"/>
        <v>14.287823757126247</v>
      </c>
    </row>
    <row r="37" spans="1:12" x14ac:dyDescent="0.2">
      <c r="A37" s="10" t="str">
        <f>'Occ T2'!A27</f>
        <v>63 Community and civil enforcement occupations</v>
      </c>
      <c r="B37" s="10">
        <f>'Occ T2'!B27</f>
        <v>5.9382957218516932</v>
      </c>
      <c r="C37" s="10">
        <f>'Occ T2'!C27</f>
        <v>5.3706312747090736</v>
      </c>
      <c r="D37" s="10">
        <f>'Occ T2'!D27</f>
        <v>6.7390265142800718</v>
      </c>
      <c r="E37" s="10">
        <f>'Occ T2'!E27</f>
        <v>5.6357642637695298</v>
      </c>
      <c r="F37" s="10">
        <f>'Occ T2'!F27</f>
        <v>5.9898441030475</v>
      </c>
      <c r="G37" s="10"/>
      <c r="H37" s="11">
        <f t="shared" ref="H37" si="20">C37-B37</f>
        <v>-0.56766444714261954</v>
      </c>
      <c r="I37" s="30">
        <f t="shared" ref="I37" si="21">D37-C37</f>
        <v>1.3683952395709982</v>
      </c>
      <c r="J37" s="11">
        <f t="shared" ref="J37" si="22">E37-D37</f>
        <v>-1.1032622505105421</v>
      </c>
      <c r="K37" s="11">
        <f>F37-E37</f>
        <v>0.35407983927797027</v>
      </c>
      <c r="L37" s="30">
        <f t="shared" ref="L37" si="23">F37-D37</f>
        <v>-0.74918241123257179</v>
      </c>
    </row>
    <row r="38" spans="1:12" x14ac:dyDescent="0.2">
      <c r="I38" s="30"/>
      <c r="L38" s="30"/>
    </row>
    <row r="39" spans="1:12" s="29" customFormat="1" x14ac:dyDescent="0.2">
      <c r="A39" s="29" t="str">
        <f>'Occ T1'!A14</f>
        <v>Sales and customer service occupations</v>
      </c>
      <c r="B39" s="30">
        <f>'Occ T1'!B14</f>
        <v>395.77466112139808</v>
      </c>
      <c r="C39" s="30">
        <f>'Occ T1'!C14</f>
        <v>368.27398378397208</v>
      </c>
      <c r="D39" s="30">
        <f>'Occ T1'!D14</f>
        <v>362.02446825408657</v>
      </c>
      <c r="E39" s="30">
        <f>'Occ T1'!E14</f>
        <v>363.25597157186576</v>
      </c>
      <c r="F39" s="30">
        <f>'Occ T1'!F14</f>
        <v>361.43165928598194</v>
      </c>
      <c r="H39" s="30">
        <f>C39-B39</f>
        <v>-27.500677337425998</v>
      </c>
      <c r="I39" s="30">
        <f t="shared" si="5"/>
        <v>-6.2495155298855138</v>
      </c>
      <c r="J39" s="30">
        <f>E39-D39</f>
        <v>1.2315033177791861</v>
      </c>
      <c r="K39" s="30">
        <f>F39-E39</f>
        <v>-1.8243122858838206</v>
      </c>
      <c r="L39" s="30">
        <f t="shared" si="4"/>
        <v>-0.59280896810463446</v>
      </c>
    </row>
    <row r="40" spans="1:12" s="29" customFormat="1" x14ac:dyDescent="0.2">
      <c r="A40" s="125" t="str">
        <f>'Occ T2'!A28</f>
        <v>71 Sales occupations</v>
      </c>
      <c r="B40" s="125">
        <f>'Occ T2'!B28</f>
        <v>317.65918909274848</v>
      </c>
      <c r="C40" s="125">
        <f>'Occ T2'!C28</f>
        <v>283.8396737163265</v>
      </c>
      <c r="D40" s="125">
        <f>'Occ T2'!D28</f>
        <v>277.11013700415418</v>
      </c>
      <c r="E40" s="125">
        <f>'Occ T2'!E28</f>
        <v>255.24893261424151</v>
      </c>
      <c r="F40" s="125">
        <f>'Occ T2'!F28</f>
        <v>243.68551158385674</v>
      </c>
      <c r="G40"/>
      <c r="H40" s="11">
        <f t="shared" ref="H40" si="24">C40-B40</f>
        <v>-33.819515376421975</v>
      </c>
      <c r="I40" s="30">
        <f t="shared" si="5"/>
        <v>-6.7295367121723189</v>
      </c>
      <c r="J40" s="11">
        <f t="shared" ref="J40" si="25">E40-D40</f>
        <v>-21.861204389912672</v>
      </c>
      <c r="K40" s="11">
        <f t="shared" ref="K40" si="26">F40-E40</f>
        <v>-11.563421030384774</v>
      </c>
      <c r="L40" s="30">
        <f t="shared" si="4"/>
        <v>-33.424625420297446</v>
      </c>
    </row>
    <row r="41" spans="1:12" s="29" customFormat="1" x14ac:dyDescent="0.2">
      <c r="A41" s="125" t="str">
        <f>'Occ T2'!A29</f>
        <v>72 Customer service occupations</v>
      </c>
      <c r="B41" s="125">
        <f>'Occ T2'!B29</f>
        <v>78.11547202864962</v>
      </c>
      <c r="C41" s="125">
        <f>'Occ T2'!C29</f>
        <v>84.434310067645598</v>
      </c>
      <c r="D41" s="125">
        <f>'Occ T2'!D29</f>
        <v>84.914331249932388</v>
      </c>
      <c r="E41" s="125">
        <f>'Occ T2'!E29</f>
        <v>108.00703895762425</v>
      </c>
      <c r="F41" s="125">
        <f>'Occ T2'!F29</f>
        <v>117.74614770212519</v>
      </c>
      <c r="G41"/>
      <c r="H41" s="11">
        <f t="shared" ref="H41" si="27">C41-B41</f>
        <v>6.3188380389959775</v>
      </c>
      <c r="I41" s="30">
        <f t="shared" si="5"/>
        <v>0.4800211822867908</v>
      </c>
      <c r="J41" s="11">
        <f t="shared" ref="J41" si="28">E41-D41</f>
        <v>23.092707707691858</v>
      </c>
      <c r="K41" s="11">
        <f t="shared" ref="K41" si="29">F41-E41</f>
        <v>9.739108744500939</v>
      </c>
      <c r="L41" s="30">
        <f t="shared" si="4"/>
        <v>32.831816452192797</v>
      </c>
    </row>
    <row r="42" spans="1:12" x14ac:dyDescent="0.2">
      <c r="B42" s="31"/>
      <c r="C42" s="31"/>
      <c r="D42" s="31"/>
      <c r="E42" s="31"/>
      <c r="F42" s="31"/>
      <c r="H42" s="11"/>
      <c r="I42" s="30"/>
      <c r="J42" s="11"/>
      <c r="K42" s="11"/>
      <c r="L42" s="30"/>
    </row>
    <row r="43" spans="1:12" s="29" customFormat="1" x14ac:dyDescent="0.2">
      <c r="A43" s="29" t="str">
        <f>'Occ T1'!A15</f>
        <v>Process, plant and machine operatives</v>
      </c>
      <c r="B43" s="30">
        <f>'Occ T1'!B15</f>
        <v>217.67127014853645</v>
      </c>
      <c r="C43" s="30">
        <f>'Occ T1'!C15</f>
        <v>240.37232361819181</v>
      </c>
      <c r="D43" s="30">
        <f>'Occ T1'!D15</f>
        <v>214.5516190587644</v>
      </c>
      <c r="E43" s="30">
        <f>'Occ T1'!E15</f>
        <v>242.99268893146032</v>
      </c>
      <c r="F43" s="30">
        <f>'Occ T1'!F15</f>
        <v>242.77253892268169</v>
      </c>
      <c r="H43" s="30">
        <f t="shared" ref="H43:K45" si="30">C43-B43</f>
        <v>22.701053469655363</v>
      </c>
      <c r="I43" s="30">
        <f t="shared" si="5"/>
        <v>-25.820704559427412</v>
      </c>
      <c r="J43" s="30">
        <f t="shared" si="30"/>
        <v>28.44106987269592</v>
      </c>
      <c r="K43" s="30">
        <f t="shared" si="30"/>
        <v>-0.22015000877863145</v>
      </c>
      <c r="L43" s="30">
        <f t="shared" si="4"/>
        <v>28.220919863917288</v>
      </c>
    </row>
    <row r="44" spans="1:12" x14ac:dyDescent="0.2">
      <c r="A44" s="10" t="str">
        <f>'Occ T2'!A30</f>
        <v>81 Process, plant and machine operatives</v>
      </c>
      <c r="B44" s="10">
        <f>'Occ T2'!B30</f>
        <v>35.434452802600624</v>
      </c>
      <c r="C44" s="10">
        <f>'Occ T2'!C30</f>
        <v>33.967749317353309</v>
      </c>
      <c r="D44" s="10">
        <f>'Occ T2'!D30</f>
        <v>31.105873118691047</v>
      </c>
      <c r="E44" s="10">
        <f>'Occ T2'!E30</f>
        <v>38.139195588077293</v>
      </c>
      <c r="F44" s="10">
        <f>'Occ T2'!F30</f>
        <v>40.998968578618566</v>
      </c>
      <c r="H44" s="11">
        <f t="shared" si="30"/>
        <v>-1.4667034852473151</v>
      </c>
      <c r="I44" s="30">
        <f t="shared" si="5"/>
        <v>-2.8618761986622623</v>
      </c>
      <c r="J44" s="11">
        <f t="shared" si="30"/>
        <v>7.0333224693862455</v>
      </c>
      <c r="K44" s="11">
        <f t="shared" si="30"/>
        <v>2.8597729905412734</v>
      </c>
      <c r="L44" s="30">
        <f t="shared" si="4"/>
        <v>9.8930954599275189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182.23681734593583</v>
      </c>
      <c r="C45" s="10">
        <f>'Occ T2'!C31</f>
        <v>206.4045743008385</v>
      </c>
      <c r="D45" s="10">
        <f>'Occ T2'!D31</f>
        <v>183.44574594007335</v>
      </c>
      <c r="E45" s="10">
        <f>'Occ T2'!E31</f>
        <v>204.85349334338304</v>
      </c>
      <c r="F45" s="10">
        <f>'Occ T2'!F31</f>
        <v>201.77357034406313</v>
      </c>
      <c r="H45" s="11">
        <f t="shared" si="30"/>
        <v>24.167756954902671</v>
      </c>
      <c r="I45" s="30">
        <f t="shared" si="5"/>
        <v>-22.958828360765153</v>
      </c>
      <c r="J45" s="11">
        <f t="shared" si="30"/>
        <v>21.407747403309685</v>
      </c>
      <c r="K45" s="11">
        <f t="shared" si="30"/>
        <v>-3.0799229993199049</v>
      </c>
      <c r="L45" s="30">
        <f t="shared" si="4"/>
        <v>18.32782440398978</v>
      </c>
    </row>
    <row r="46" spans="1:12" x14ac:dyDescent="0.2">
      <c r="B46" s="31"/>
      <c r="C46" s="31"/>
      <c r="D46" s="31"/>
      <c r="E46" s="31"/>
      <c r="F46" s="31"/>
      <c r="H46" s="11"/>
      <c r="I46" s="30"/>
      <c r="J46" s="11"/>
      <c r="K46" s="11"/>
      <c r="L46" s="30"/>
    </row>
    <row r="47" spans="1:12" s="29" customFormat="1" x14ac:dyDescent="0.2">
      <c r="A47" s="29" t="str">
        <f>'Occ T1'!A16</f>
        <v>Elementary occupations</v>
      </c>
      <c r="B47" s="30">
        <f>'Occ T1'!B16</f>
        <v>546.19468567762976</v>
      </c>
      <c r="C47" s="30">
        <f>'Occ T1'!C16</f>
        <v>571.01765515963768</v>
      </c>
      <c r="D47" s="30">
        <f>'Occ T1'!D16</f>
        <v>523.48518063303334</v>
      </c>
      <c r="E47" s="30">
        <f>'Occ T1'!E16</f>
        <v>530.48341979566965</v>
      </c>
      <c r="F47" s="30">
        <f>'Occ T1'!F16</f>
        <v>526.70577292722078</v>
      </c>
      <c r="H47" s="30">
        <f t="shared" ref="H47:K49" si="31">C47-B47</f>
        <v>24.82296948200792</v>
      </c>
      <c r="I47" s="30">
        <f t="shared" si="5"/>
        <v>-47.532474526604346</v>
      </c>
      <c r="J47" s="30">
        <f t="shared" si="31"/>
        <v>6.9982391626363096</v>
      </c>
      <c r="K47" s="30">
        <f t="shared" si="31"/>
        <v>-3.7776468684488691</v>
      </c>
      <c r="L47" s="30">
        <f t="shared" si="4"/>
        <v>3.2205922941874405</v>
      </c>
    </row>
    <row r="48" spans="1:12" x14ac:dyDescent="0.2">
      <c r="A48" s="10" t="str">
        <f>'Occ T2'!A32</f>
        <v>91 Elementary trades and related occupations</v>
      </c>
      <c r="B48" s="10">
        <f>'Occ T2'!B32</f>
        <v>44.118542088264775</v>
      </c>
      <c r="C48" s="10">
        <f>'Occ T2'!C32</f>
        <v>40.00309221645275</v>
      </c>
      <c r="D48" s="10">
        <f>'Occ T2'!D32</f>
        <v>35.852641009177191</v>
      </c>
      <c r="E48" s="10">
        <f>'Occ T2'!E32</f>
        <v>29.083326535737775</v>
      </c>
      <c r="F48" s="10">
        <f>'Occ T2'!F32</f>
        <v>27.25894477799643</v>
      </c>
      <c r="H48" s="11">
        <f>C48-B48</f>
        <v>-4.1154498718120252</v>
      </c>
      <c r="I48" s="30">
        <f t="shared" si="5"/>
        <v>-4.1504512072755588</v>
      </c>
      <c r="J48" s="11">
        <f t="shared" si="31"/>
        <v>-6.7693144734394153</v>
      </c>
      <c r="K48" s="11">
        <f t="shared" si="31"/>
        <v>-1.8243817577413459</v>
      </c>
      <c r="L48" s="30">
        <f t="shared" si="4"/>
        <v>-8.5936962311807612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502.07614358936502</v>
      </c>
      <c r="C49" s="10">
        <f>'Occ T2'!C33</f>
        <v>531.01456294318496</v>
      </c>
      <c r="D49" s="10">
        <f>'Occ T2'!D33</f>
        <v>487.63253962385613</v>
      </c>
      <c r="E49" s="10">
        <f>'Occ T2'!E33</f>
        <v>501.40009325993185</v>
      </c>
      <c r="F49" s="10">
        <f>'Occ T2'!F33</f>
        <v>499.44682814922436</v>
      </c>
      <c r="H49" s="11">
        <f t="shared" si="31"/>
        <v>28.938419353819938</v>
      </c>
      <c r="I49" s="30">
        <f t="shared" si="5"/>
        <v>-43.382023319328823</v>
      </c>
      <c r="J49" s="11">
        <f t="shared" si="31"/>
        <v>13.767553636075718</v>
      </c>
      <c r="K49" s="11">
        <f t="shared" si="31"/>
        <v>-1.9532651107074912</v>
      </c>
      <c r="L49" s="30">
        <f t="shared" si="4"/>
        <v>11.814288525368227</v>
      </c>
    </row>
    <row r="50" spans="1:12" x14ac:dyDescent="0.2">
      <c r="B50" s="31"/>
      <c r="C50" s="31"/>
      <c r="D50" s="31"/>
      <c r="E50" s="31"/>
      <c r="F50" s="31"/>
      <c r="H50" s="11"/>
      <c r="I50" s="30"/>
      <c r="J50" s="11"/>
      <c r="K50" s="11"/>
      <c r="L50" s="30"/>
    </row>
    <row r="51" spans="1:12" x14ac:dyDescent="0.2">
      <c r="A51" s="38" t="str">
        <f>'Occ T1'!A18</f>
        <v>All occupations</v>
      </c>
      <c r="B51" s="33">
        <f>'Occ T1'!B18</f>
        <v>5573.5560000041069</v>
      </c>
      <c r="C51" s="33">
        <f>'Occ T1'!C18</f>
        <v>5970.116999998264</v>
      </c>
      <c r="D51" s="33">
        <f>'Occ T1'!D18</f>
        <v>5937.3810000053281</v>
      </c>
      <c r="E51" s="33">
        <f>'Occ T1'!E18</f>
        <v>6179.2980000106991</v>
      </c>
      <c r="F51" s="33">
        <f>'Occ T1'!F18</f>
        <v>6480.7350000074621</v>
      </c>
      <c r="G51" s="23"/>
      <c r="H51" s="33">
        <f>C51-B51</f>
        <v>396.5609999941571</v>
      </c>
      <c r="I51" s="205">
        <f>D51-C51</f>
        <v>-32.735999992935831</v>
      </c>
      <c r="J51" s="33">
        <f>E51-D51</f>
        <v>241.91700000537094</v>
      </c>
      <c r="K51" s="33">
        <f>F51-E51</f>
        <v>301.43699999676301</v>
      </c>
      <c r="L51" s="205">
        <f>F51-D51</f>
        <v>543.35400000213394</v>
      </c>
    </row>
    <row r="53" spans="1:12" ht="15.75" x14ac:dyDescent="0.25">
      <c r="A53" s="18" t="str">
        <f>CONCATENATE(A1," (Continued)")</f>
        <v>Occupation Table 3  Employment Change by Occupation in Occupation Group (SOC 2020), 2015-2035, London (Continued)</v>
      </c>
    </row>
    <row r="55" spans="1:12" x14ac:dyDescent="0.2">
      <c r="L55" s="15" t="s">
        <v>21</v>
      </c>
    </row>
    <row r="56" spans="1:12" x14ac:dyDescent="0.2">
      <c r="A56" s="35"/>
      <c r="B56" s="27" t="s">
        <v>14</v>
      </c>
      <c r="C56" s="27"/>
      <c r="D56" s="27"/>
      <c r="E56" s="27"/>
      <c r="F56" s="27"/>
      <c r="G56" s="27"/>
      <c r="H56" s="27" t="s">
        <v>463</v>
      </c>
      <c r="I56" s="27"/>
      <c r="J56" s="27"/>
      <c r="K56" s="27"/>
      <c r="L56" s="27"/>
    </row>
    <row r="57" spans="1:12" x14ac:dyDescent="0.2">
      <c r="A57" s="23"/>
      <c r="B57" s="36" t="str">
        <f>H5</f>
        <v>2015-2019</v>
      </c>
      <c r="C57" s="36" t="str">
        <f>I5</f>
        <v>2019-2020</v>
      </c>
      <c r="D57" s="36" t="str">
        <f>J5</f>
        <v>2020-2025</v>
      </c>
      <c r="E57" s="36" t="str">
        <f>K5</f>
        <v>2025-2035</v>
      </c>
      <c r="F57" s="36" t="str">
        <f>L5</f>
        <v>2020-2035</v>
      </c>
      <c r="G57" s="1"/>
      <c r="H57" s="41">
        <f>B5</f>
        <v>2015</v>
      </c>
      <c r="I57" s="41">
        <f>C5</f>
        <v>2019</v>
      </c>
      <c r="J57" s="41">
        <f>D5</f>
        <v>2020</v>
      </c>
      <c r="K57" s="41">
        <f>E5</f>
        <v>2025</v>
      </c>
      <c r="L57" s="41">
        <f>F5</f>
        <v>2035</v>
      </c>
    </row>
    <row r="59" spans="1:12" s="29" customFormat="1" x14ac:dyDescent="0.2">
      <c r="A59" s="29" t="str">
        <f>A7</f>
        <v>Managers, directors and senior officials</v>
      </c>
      <c r="B59" s="43">
        <f>IF(AND(C$5-B$5 &lt;&gt; 0,C7 &lt;&gt; 0,B7 &lt;&gt; 0),(EXP(LN(C7/B7)/(C$5-B$5))-1)*100,0)</f>
        <v>3.7149800994715987</v>
      </c>
      <c r="C59" s="43">
        <f>IF(AND(D$5-C$5 &lt;&gt; 0,D7 &lt;&gt; 0,C7 &lt;&gt; 0),(EXP(LN(D7/C7)/(D$5-C$5))-1)*100,0)</f>
        <v>2.7909382789226278E-2</v>
      </c>
      <c r="D59" s="43">
        <f>IF(AND(E$5-D$5 &lt;&gt; 0,E7 &lt;&gt; 0,D7 &lt;&gt; 0),(EXP(LN(E7/D7)/(E$5-D$5))-1)*100,0)</f>
        <v>0.78788550847825878</v>
      </c>
      <c r="E59" s="43">
        <f>IF(AND(F$5-E$5 &lt;&gt; 0,F7 &lt;&gt; 0,E7 &lt;&gt; 0),(EXP(LN(F7/E7)/(F$5-E$5))-1)*100,0)</f>
        <v>0.90797715524180145</v>
      </c>
      <c r="F59" s="43">
        <f>IF(AND(F$5-D$5 &lt;&gt; 0,F7 &lt;&gt; 0,D7 &lt;&gt; 0),(EXP(LN(F7/D7)/(F$5-D$5))-1)*100,0)</f>
        <v>0.86793071555335555</v>
      </c>
      <c r="H59" s="43">
        <f>(B7/B$51)*100</f>
        <v>11.239897688540673</v>
      </c>
      <c r="I59" s="43">
        <f>(C7/C$51)*100</f>
        <v>12.141653595463412</v>
      </c>
      <c r="J59" s="43">
        <f>(D7/D$51)*100</f>
        <v>12.212004457593407</v>
      </c>
      <c r="K59" s="43">
        <f>(E7/E$51)*100</f>
        <v>12.203499917169976</v>
      </c>
      <c r="L59" s="43">
        <f>(F7/F$51)*100</f>
        <v>12.736622620515964</v>
      </c>
    </row>
    <row r="60" spans="1:12" s="29" customFormat="1" x14ac:dyDescent="0.2">
      <c r="A60" s="29" t="str">
        <f>A8</f>
        <v>11 Corporate managers and directors</v>
      </c>
      <c r="B60" s="43">
        <f t="shared" ref="B60:E60" si="32">IF(AND(C$5-B$5 &lt;&gt; 0,C8 &lt;&gt; 0,B8 &lt;&gt; 0),(EXP(LN(C8/B8)/(C$5-B$5))-1)*100,0)</f>
        <v>4.4629205768014213</v>
      </c>
      <c r="C60" s="43">
        <f t="shared" si="32"/>
        <v>0.64190682904616825</v>
      </c>
      <c r="D60" s="43">
        <f t="shared" si="32"/>
        <v>-0.89935256073168102</v>
      </c>
      <c r="E60" s="43">
        <f t="shared" si="32"/>
        <v>0.76561039967311117</v>
      </c>
      <c r="F60" s="43">
        <f>IF(AND(F$5-D$5 &lt;&gt; 0,F8 &lt;&gt; 0,D8 &lt;&gt; 0),(EXP(LN(F8/D8)/(F$5-D$5))-1)*100,0)</f>
        <v>0.20753766374692617</v>
      </c>
      <c r="H60" s="43">
        <f t="shared" ref="H60:L60" si="33">(B8/B$51)*100</f>
        <v>7.8875921478534092</v>
      </c>
      <c r="I60" s="43">
        <f t="shared" si="33"/>
        <v>8.7688497238890211</v>
      </c>
      <c r="J60" s="43">
        <f t="shared" si="33"/>
        <v>8.8737953364510158</v>
      </c>
      <c r="K60" s="43">
        <f t="shared" si="33"/>
        <v>8.1498130331300693</v>
      </c>
      <c r="L60" s="43">
        <f t="shared" si="33"/>
        <v>8.3865998563916389</v>
      </c>
    </row>
    <row r="61" spans="1:12" s="29" customFormat="1" x14ac:dyDescent="0.2">
      <c r="A61" s="29" t="str">
        <f>A9</f>
        <v>12 Other managers and proprietors</v>
      </c>
      <c r="B61" s="43">
        <f t="shared" ref="B61:E61" si="34">IF(AND(C$5-B$5 &lt;&gt; 0,C9 &lt;&gt; 0,B9 &lt;&gt; 0),(EXP(LN(C9/B9)/(C$5-B$5))-1)*100,0)</f>
        <v>1.8883411538503481</v>
      </c>
      <c r="C61" s="43">
        <f>IF(AND(D$5-C$5 &lt;&gt; 0,D9 &lt;&gt; 0,C9 &lt;&gt; 0),(EXP(LN(D9/C9)/(D$5-C$5))-1)*100,0)</f>
        <v>-1.5684038159872515</v>
      </c>
      <c r="D61" s="43">
        <f t="shared" si="34"/>
        <v>4.7939417514913929</v>
      </c>
      <c r="E61" s="43">
        <f t="shared" si="34"/>
        <v>1.1888465317362318</v>
      </c>
      <c r="F61" s="43">
        <f>IF(AND(F$5-D$5 &lt;&gt; 0,F9 &lt;&gt; 0,D9 &lt;&gt; 0),(EXP(LN(F9/D9)/(F$5-D$5))-1)*100,0)</f>
        <v>2.3765497394548474</v>
      </c>
      <c r="H61" s="43">
        <f t="shared" ref="H61:L61" si="35">(B9/B$51)*100</f>
        <v>3.3523055406872637</v>
      </c>
      <c r="I61" s="43">
        <f t="shared" si="35"/>
        <v>3.3728038715743902</v>
      </c>
      <c r="J61" s="43">
        <f t="shared" si="35"/>
        <v>3.3382091211423908</v>
      </c>
      <c r="K61" s="43">
        <f t="shared" si="35"/>
        <v>4.053686884039907</v>
      </c>
      <c r="L61" s="43">
        <f t="shared" si="35"/>
        <v>4.3500227641243256</v>
      </c>
    </row>
    <row r="62" spans="1:12" x14ac:dyDescent="0.2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x14ac:dyDescent="0.2">
      <c r="A63" s="29" t="str">
        <f>A11</f>
        <v>Professional occupations</v>
      </c>
      <c r="B63" s="43">
        <f t="shared" ref="B63:E67" si="36">IF(AND(C$5-B$5 &lt;&gt; 0,C11 &lt;&gt; 0,B11 &lt;&gt; 0),(EXP(LN(C11/B11)/(C$5-B$5))-1)*100,0)</f>
        <v>3.5145082688101237</v>
      </c>
      <c r="C63" s="43">
        <f t="shared" si="36"/>
        <v>4.1959481465291493</v>
      </c>
      <c r="D63" s="43">
        <f t="shared" si="36"/>
        <v>1.7354342014481938</v>
      </c>
      <c r="E63" s="43">
        <f t="shared" si="36"/>
        <v>0.80553629721844544</v>
      </c>
      <c r="F63" s="43">
        <f>IF(AND(F$5-D$5 &lt;&gt; 0,F11 &lt;&gt; 0,D11 &lt;&gt; 0),(EXP(LN(F11/D11)/(F$5-D$5))-1)*100,0)</f>
        <v>1.1145540086237915</v>
      </c>
      <c r="H63" s="43">
        <f>(B11/B$51)*100</f>
        <v>27.208227492382065</v>
      </c>
      <c r="I63" s="43">
        <f>(C11/C$51)*100</f>
        <v>29.164509082893485</v>
      </c>
      <c r="J63" s="43">
        <f>(D11/D$51)*100</f>
        <v>30.55578358334396</v>
      </c>
      <c r="K63" s="43">
        <f>(E11/E$51)*100</f>
        <v>31.997085280894673</v>
      </c>
      <c r="L63" s="43">
        <f>(F11/F$51)*100</f>
        <v>33.057434030586506</v>
      </c>
    </row>
    <row r="64" spans="1:12" x14ac:dyDescent="0.2">
      <c r="A64" t="str">
        <f>A12</f>
        <v>21 Science, research, engineering and technology professionals</v>
      </c>
      <c r="B64" s="48">
        <f t="shared" si="36"/>
        <v>4.3984267483003991</v>
      </c>
      <c r="C64" s="43">
        <f t="shared" si="36"/>
        <v>4.4505314576186006</v>
      </c>
      <c r="D64" s="48">
        <f t="shared" si="36"/>
        <v>1.727999815894532</v>
      </c>
      <c r="E64" s="48">
        <f t="shared" si="36"/>
        <v>1.0299563456801497</v>
      </c>
      <c r="F64" s="43">
        <f>IF(AND(F$5-D$5 &lt;&gt; 0,F12 &lt;&gt; 0,D12 &lt;&gt; 0),(EXP(LN(F12/D12)/(F$5-D$5))-1)*100,0)</f>
        <v>1.2621036641635719</v>
      </c>
      <c r="H64" s="39">
        <f t="shared" ref="H64:L67" si="37">(B12/B$11)*100</f>
        <v>22.525875582273628</v>
      </c>
      <c r="I64" s="39">
        <f t="shared" si="37"/>
        <v>23.30518761581515</v>
      </c>
      <c r="J64" s="39">
        <f t="shared" si="37"/>
        <v>23.362129482887099</v>
      </c>
      <c r="K64" s="39">
        <f t="shared" si="37"/>
        <v>23.353594713407205</v>
      </c>
      <c r="L64" s="39">
        <f t="shared" si="37"/>
        <v>23.878747748142754</v>
      </c>
    </row>
    <row r="65" spans="1:12" x14ac:dyDescent="0.2">
      <c r="A65" t="str">
        <f>A13</f>
        <v>22 Health professionals</v>
      </c>
      <c r="B65" s="48">
        <f t="shared" si="36"/>
        <v>3.6866415181483925</v>
      </c>
      <c r="C65" s="43">
        <f t="shared" si="36"/>
        <v>-1.0239922476609986</v>
      </c>
      <c r="D65" s="48">
        <f t="shared" si="36"/>
        <v>1.1466570606288862</v>
      </c>
      <c r="E65" s="48">
        <f t="shared" si="36"/>
        <v>0.25018959046267941</v>
      </c>
      <c r="F65" s="43">
        <f>IF(AND(F$5-D$5 &lt;&gt; 0,F13 &lt;&gt; 0,D13 &lt;&gt; 0),(EXP(LN(F13/D13)/(F$5-D$5))-1)*100,0)</f>
        <v>0.54812575904370497</v>
      </c>
      <c r="H65" s="39">
        <f t="shared" si="37"/>
        <v>16.708603650201766</v>
      </c>
      <c r="I65" s="39">
        <f t="shared" si="37"/>
        <v>16.820019459080186</v>
      </c>
      <c r="J65" s="39">
        <f t="shared" si="37"/>
        <v>15.977381136119236</v>
      </c>
      <c r="K65" s="39">
        <f t="shared" si="37"/>
        <v>15.520369235914048</v>
      </c>
      <c r="L65" s="39">
        <f t="shared" si="37"/>
        <v>14.686226796281227</v>
      </c>
    </row>
    <row r="66" spans="1:12" x14ac:dyDescent="0.2">
      <c r="A66" t="str">
        <f>A14</f>
        <v>23 Teaching and other educational professionals</v>
      </c>
      <c r="B66" s="48">
        <f t="shared" si="36"/>
        <v>0.36941434335482359</v>
      </c>
      <c r="C66" s="43">
        <f t="shared" si="36"/>
        <v>6.5952351298082412</v>
      </c>
      <c r="D66" s="48">
        <f t="shared" si="36"/>
        <v>0.40194023995108186</v>
      </c>
      <c r="E66" s="48">
        <f t="shared" si="36"/>
        <v>0.69576337573356017</v>
      </c>
      <c r="F66" s="43">
        <f>IF(AND(F$5-D$5 &lt;&gt; 0,F14 &lt;&gt; 0,D14 &lt;&gt; 0),(EXP(LN(F14/D14)/(F$5-D$5))-1)*100,0)</f>
        <v>0.59772691405810541</v>
      </c>
      <c r="H66" s="39">
        <f t="shared" si="37"/>
        <v>22.594194397518137</v>
      </c>
      <c r="I66" s="39">
        <f t="shared" si="37"/>
        <v>19.970894966487137</v>
      </c>
      <c r="J66" s="39">
        <f t="shared" si="37"/>
        <v>20.430758417896428</v>
      </c>
      <c r="K66" s="39">
        <f t="shared" si="37"/>
        <v>19.126424974851357</v>
      </c>
      <c r="L66" s="39">
        <f t="shared" si="37"/>
        <v>18.919164050883197</v>
      </c>
    </row>
    <row r="67" spans="1:12" x14ac:dyDescent="0.2">
      <c r="A67" t="str">
        <f>A15</f>
        <v>24 Business, media and public service professionals</v>
      </c>
      <c r="B67" s="48">
        <f t="shared" si="36"/>
        <v>4.6696425329796565</v>
      </c>
      <c r="C67" s="43">
        <f t="shared" si="36"/>
        <v>5.0467542225271389</v>
      </c>
      <c r="D67" s="48">
        <f t="shared" si="36"/>
        <v>2.6152413833193</v>
      </c>
      <c r="E67" s="48">
        <f t="shared" si="36"/>
        <v>0.92876424389716217</v>
      </c>
      <c r="F67" s="43">
        <f>IF(AND(F$5-D$5 &lt;&gt; 0,F15 &lt;&gt; 0,D15 &lt;&gt; 0),(EXP(LN(F15/D15)/(F$5-D$5))-1)*100,0)</f>
        <v>1.487820890278968</v>
      </c>
      <c r="H67" s="39">
        <f t="shared" si="37"/>
        <v>38.171326370006469</v>
      </c>
      <c r="I67" s="39">
        <f t="shared" si="37"/>
        <v>39.90389795861752</v>
      </c>
      <c r="J67" s="39">
        <f t="shared" si="37"/>
        <v>40.229730963097232</v>
      </c>
      <c r="K67" s="39">
        <f t="shared" si="37"/>
        <v>41.999611075827389</v>
      </c>
      <c r="L67" s="39">
        <f t="shared" si="37"/>
        <v>42.515861404692828</v>
      </c>
    </row>
    <row r="68" spans="1:12" x14ac:dyDescent="0.2">
      <c r="B68" s="39"/>
      <c r="C68" s="43"/>
      <c r="D68" s="39"/>
      <c r="E68" s="39"/>
      <c r="F68" s="43"/>
      <c r="H68" s="39"/>
      <c r="I68" s="39"/>
      <c r="J68" s="39"/>
      <c r="K68" s="39"/>
      <c r="L68" s="39"/>
    </row>
    <row r="69" spans="1:12" s="29" customFormat="1" x14ac:dyDescent="0.2">
      <c r="A69" s="29" t="str">
        <f t="shared" ref="A69:A74" si="38">A17</f>
        <v>Associate professional occupations</v>
      </c>
      <c r="B69" s="43">
        <f t="shared" ref="B69:E74" si="39">IF(AND(C$5-B$5 &lt;&gt; 0,C17 &lt;&gt; 0,B17 &lt;&gt; 0),(EXP(LN(C17/B17)/(C$5-B$5))-1)*100,0)</f>
        <v>1.5840191390545932</v>
      </c>
      <c r="C69" s="43">
        <f t="shared" si="39"/>
        <v>4.8854401647003831</v>
      </c>
      <c r="D69" s="43">
        <f t="shared" si="39"/>
        <v>-4.1145608780690512E-2</v>
      </c>
      <c r="E69" s="43">
        <f t="shared" si="39"/>
        <v>0.60738081424778212</v>
      </c>
      <c r="F69" s="43">
        <f t="shared" ref="F69:F74" si="40">IF(AND(F$5-D$5 &lt;&gt; 0,F17 &lt;&gt; 0,D17 &lt;&gt; 0),(EXP(LN(F17/D17)/(F$5-D$5))-1)*100,0)</f>
        <v>0.39073917218710452</v>
      </c>
      <c r="H69" s="43">
        <f>(B17/B$51)*100</f>
        <v>17.437003560233517</v>
      </c>
      <c r="I69" s="43">
        <f>(C17/C$51)*100</f>
        <v>17.334964201564937</v>
      </c>
      <c r="J69" s="43">
        <f>(D17/D$51)*100</f>
        <v>18.282099919611486</v>
      </c>
      <c r="K69" s="43">
        <f>(E17/E$51)*100</f>
        <v>17.530253945299439</v>
      </c>
      <c r="L69" s="43">
        <f>(F17/F$51)*100</f>
        <v>17.758305061668793</v>
      </c>
    </row>
    <row r="70" spans="1:12" x14ac:dyDescent="0.2">
      <c r="A70" t="str">
        <f t="shared" si="38"/>
        <v>31 Science, engineering and technology associate professionals</v>
      </c>
      <c r="B70" s="48">
        <f t="shared" si="39"/>
        <v>4.9362044623008972</v>
      </c>
      <c r="C70" s="43">
        <f t="shared" si="39"/>
        <v>6.1718855007941276</v>
      </c>
      <c r="D70" s="48">
        <f t="shared" si="39"/>
        <v>-1.7828527803636973</v>
      </c>
      <c r="E70" s="48">
        <f t="shared" si="39"/>
        <v>0.73793866905318417</v>
      </c>
      <c r="F70" s="43">
        <f t="shared" si="40"/>
        <v>-0.10943294985110708</v>
      </c>
      <c r="H70" s="39">
        <f t="shared" ref="H70:L74" si="41">(B18/B$17)*100</f>
        <v>8.427516954617035</v>
      </c>
      <c r="I70" s="39">
        <f t="shared" si="41"/>
        <v>9.5962040847578614</v>
      </c>
      <c r="J70" s="39">
        <f t="shared" si="41"/>
        <v>9.7139038529016126</v>
      </c>
      <c r="K70" s="39">
        <f t="shared" si="41"/>
        <v>8.8965992491891335</v>
      </c>
      <c r="L70" s="39">
        <f t="shared" si="41"/>
        <v>9.0127266433205477</v>
      </c>
    </row>
    <row r="71" spans="1:12" x14ac:dyDescent="0.2">
      <c r="A71" t="str">
        <f t="shared" si="38"/>
        <v>32 Health and social care associate professionals</v>
      </c>
      <c r="B71" s="48">
        <f t="shared" si="39"/>
        <v>2.8988429222896572</v>
      </c>
      <c r="C71" s="43">
        <f t="shared" si="39"/>
        <v>1.2383314584269334</v>
      </c>
      <c r="D71" s="48">
        <f t="shared" si="39"/>
        <v>-9.6086661739069879E-2</v>
      </c>
      <c r="E71" s="48">
        <f t="shared" si="39"/>
        <v>0.35075943856794911</v>
      </c>
      <c r="F71" s="43">
        <f t="shared" si="40"/>
        <v>0.20158910823686593</v>
      </c>
      <c r="H71" s="39">
        <f t="shared" si="41"/>
        <v>9.9414465137431662</v>
      </c>
      <c r="I71" s="39">
        <f t="shared" si="41"/>
        <v>10.466222883137215</v>
      </c>
      <c r="J71" s="39">
        <f t="shared" si="41"/>
        <v>10.10228816980667</v>
      </c>
      <c r="K71" s="39">
        <f t="shared" si="41"/>
        <v>10.074555731400164</v>
      </c>
      <c r="L71" s="39">
        <f t="shared" si="41"/>
        <v>9.8205115408597372</v>
      </c>
    </row>
    <row r="72" spans="1:12" x14ac:dyDescent="0.2">
      <c r="A72" t="str">
        <f t="shared" si="38"/>
        <v>33 Protective service occupations</v>
      </c>
      <c r="B72" s="48">
        <f t="shared" si="39"/>
        <v>1.5885623643400182</v>
      </c>
      <c r="C72" s="43">
        <f t="shared" si="39"/>
        <v>7.1692255840424046</v>
      </c>
      <c r="D72" s="48">
        <f t="shared" si="39"/>
        <v>3.2716440455044404</v>
      </c>
      <c r="E72" s="48">
        <f t="shared" si="39"/>
        <v>1.3283459882862836</v>
      </c>
      <c r="F72" s="43">
        <f t="shared" si="40"/>
        <v>1.9720145703349345</v>
      </c>
      <c r="H72" s="39">
        <f t="shared" si="41"/>
        <v>6.8334642902788723</v>
      </c>
      <c r="I72" s="39">
        <f t="shared" si="41"/>
        <v>6.8346868467721977</v>
      </c>
      <c r="J72" s="39">
        <f t="shared" si="41"/>
        <v>6.9835059597197757</v>
      </c>
      <c r="K72" s="39">
        <f t="shared" si="41"/>
        <v>8.2200150352893591</v>
      </c>
      <c r="L72" s="39">
        <f t="shared" si="41"/>
        <v>8.8284349111054503</v>
      </c>
    </row>
    <row r="73" spans="1:12" x14ac:dyDescent="0.2">
      <c r="A73" t="str">
        <f t="shared" si="38"/>
        <v>34 Culture, media and sports occupations</v>
      </c>
      <c r="B73" s="48">
        <f t="shared" si="39"/>
        <v>-1.2459038070165573</v>
      </c>
      <c r="C73" s="43">
        <f t="shared" si="39"/>
        <v>15.016227343463928</v>
      </c>
      <c r="D73" s="48">
        <f t="shared" si="39"/>
        <v>0.68987798600099737</v>
      </c>
      <c r="E73" s="48">
        <f t="shared" si="39"/>
        <v>0.96624034071990383</v>
      </c>
      <c r="F73" s="43">
        <f t="shared" si="40"/>
        <v>0.87403537750601057</v>
      </c>
      <c r="H73" s="39">
        <f t="shared" si="41"/>
        <v>22.999711526674162</v>
      </c>
      <c r="I73" s="39">
        <f t="shared" si="41"/>
        <v>20.541932476013109</v>
      </c>
      <c r="J73" s="39">
        <f t="shared" si="41"/>
        <v>22.52605864098161</v>
      </c>
      <c r="K73" s="39">
        <f t="shared" si="41"/>
        <v>23.361887739823093</v>
      </c>
      <c r="L73" s="39">
        <f t="shared" si="41"/>
        <v>24.20869353217903</v>
      </c>
    </row>
    <row r="74" spans="1:12" x14ac:dyDescent="0.2">
      <c r="A74" t="str">
        <f t="shared" si="38"/>
        <v>35 Business and public service associate professionals</v>
      </c>
      <c r="B74" s="48">
        <f t="shared" si="39"/>
        <v>1.9561071141519282</v>
      </c>
      <c r="C74" s="43">
        <f t="shared" si="39"/>
        <v>1.1205076483310927</v>
      </c>
      <c r="D74" s="48">
        <f t="shared" si="39"/>
        <v>-0.5300948972729036</v>
      </c>
      <c r="E74" s="48">
        <f t="shared" si="39"/>
        <v>0.33608564760254644</v>
      </c>
      <c r="F74" s="43">
        <f t="shared" si="40"/>
        <v>4.652395193225356E-2</v>
      </c>
      <c r="H74" s="39">
        <f t="shared" si="41"/>
        <v>51.79786071468677</v>
      </c>
      <c r="I74" s="39">
        <f t="shared" si="41"/>
        <v>52.560953709319612</v>
      </c>
      <c r="J74" s="39">
        <f t="shared" si="41"/>
        <v>50.674243376590333</v>
      </c>
      <c r="K74" s="39">
        <f t="shared" si="41"/>
        <v>49.446942244298263</v>
      </c>
      <c r="L74" s="39">
        <f t="shared" si="41"/>
        <v>48.129633372535231</v>
      </c>
    </row>
    <row r="75" spans="1:12" x14ac:dyDescent="0.2">
      <c r="A75" s="29"/>
      <c r="B75" s="39"/>
      <c r="C75" s="43"/>
      <c r="D75" s="39"/>
      <c r="E75" s="39"/>
      <c r="F75" s="43"/>
      <c r="H75" s="39"/>
      <c r="I75" s="39"/>
      <c r="J75" s="39"/>
      <c r="K75" s="39"/>
      <c r="L75" s="39"/>
    </row>
    <row r="76" spans="1:12" s="29" customFormat="1" x14ac:dyDescent="0.2">
      <c r="A76" s="29" t="str">
        <f>A24</f>
        <v>Administrative and secretarial occupations</v>
      </c>
      <c r="B76" s="43">
        <f t="shared" ref="B76:E78" si="42">IF(AND(C$5-B$5 &lt;&gt; 0,C24 &lt;&gt; 0,B24 &lt;&gt; 0),(EXP(LN(C24/B24)/(C$5-B$5))-1)*100,0)</f>
        <v>-0.84652762586847619</v>
      </c>
      <c r="C76" s="43">
        <f t="shared" si="42"/>
        <v>1.5317144879395617</v>
      </c>
      <c r="D76" s="43">
        <f t="shared" si="42"/>
        <v>-1.6153469270398291</v>
      </c>
      <c r="E76" s="43">
        <f t="shared" si="42"/>
        <v>-0.91128223316981893</v>
      </c>
      <c r="F76" s="43">
        <f>IF(AND(F$5-D$5 &lt;&gt; 0,F24 &lt;&gt; 0,D24 &lt;&gt; 0),(EXP(LN(F24/D24)/(F$5-D$5))-1)*100,0)</f>
        <v>-1.1465285201289421</v>
      </c>
      <c r="H76" s="43">
        <f>(B24/B$51)*100</f>
        <v>9.0014997290512824</v>
      </c>
      <c r="I76" s="43">
        <f>(C24/C$51)*100</f>
        <v>8.1226195295400814</v>
      </c>
      <c r="J76" s="43">
        <f>(D24/D$51)*100</f>
        <v>8.2925052434695647</v>
      </c>
      <c r="K76" s="43">
        <f>(E24/E$51)*100</f>
        <v>7.3447721234437022</v>
      </c>
      <c r="L76" s="43">
        <f>(F24/F$51)*100</f>
        <v>6.3905066070702139</v>
      </c>
    </row>
    <row r="77" spans="1:12" x14ac:dyDescent="0.2">
      <c r="A77" t="str">
        <f>A25</f>
        <v>41 Administrative occupations</v>
      </c>
      <c r="B77" s="48">
        <f t="shared" si="42"/>
        <v>-0.51001499538015915</v>
      </c>
      <c r="C77" s="43">
        <f t="shared" si="42"/>
        <v>3.0366284303158908</v>
      </c>
      <c r="D77" s="48">
        <f t="shared" si="42"/>
        <v>-1.9542938704031787</v>
      </c>
      <c r="E77" s="48">
        <f t="shared" si="42"/>
        <v>-0.85481331323397081</v>
      </c>
      <c r="F77" s="43">
        <f>IF(AND(F$5-D$5 &lt;&gt; 0,F25 &lt;&gt; 0,D25 &lt;&gt; 0),(EXP(LN(F25/D25)/(F$5-D$5))-1)*100,0)</f>
        <v>-1.2226699966289556</v>
      </c>
      <c r="H77" s="39">
        <f t="shared" ref="H77:L78" si="43">(B25/B$24)*100</f>
        <v>79.696208961161673</v>
      </c>
      <c r="I77" s="39">
        <f t="shared" si="43"/>
        <v>80.783639106373954</v>
      </c>
      <c r="J77" s="39">
        <f t="shared" si="43"/>
        <v>81.981022854104509</v>
      </c>
      <c r="K77" s="39">
        <f t="shared" si="43"/>
        <v>80.578547258643567</v>
      </c>
      <c r="L77" s="39">
        <f t="shared" si="43"/>
        <v>81.038929651382247</v>
      </c>
    </row>
    <row r="78" spans="1:12" x14ac:dyDescent="0.2">
      <c r="A78" t="str">
        <f>A26</f>
        <v>42 Secretarial and related occupations</v>
      </c>
      <c r="B78" s="48">
        <f t="shared" si="42"/>
        <v>-2.2016718351281717</v>
      </c>
      <c r="C78" s="43">
        <f t="shared" si="42"/>
        <v>-4.7947916325508544</v>
      </c>
      <c r="D78" s="48">
        <f t="shared" si="42"/>
        <v>-0.12939652813469538</v>
      </c>
      <c r="E78" s="48">
        <f t="shared" si="42"/>
        <v>-1.148714303670495</v>
      </c>
      <c r="F78" s="43">
        <f>IF(AND(F$5-D$5 &lt;&gt; 0,F26 &lt;&gt; 0,D26 &lt;&gt; 0),(EXP(LN(F26/D26)/(F$5-D$5))-1)*100,0)</f>
        <v>-0.81010293674509404</v>
      </c>
      <c r="H78" s="39">
        <f t="shared" si="43"/>
        <v>20.303791038838334</v>
      </c>
      <c r="I78" s="39">
        <f t="shared" si="43"/>
        <v>19.216360893626042</v>
      </c>
      <c r="J78" s="39">
        <f t="shared" si="43"/>
        <v>18.018977145895484</v>
      </c>
      <c r="K78" s="39">
        <f t="shared" si="43"/>
        <v>19.421452741356436</v>
      </c>
      <c r="L78" s="39">
        <f t="shared" si="43"/>
        <v>18.961070348617753</v>
      </c>
    </row>
    <row r="79" spans="1:12" x14ac:dyDescent="0.2">
      <c r="B79" s="39"/>
      <c r="C79" s="43"/>
      <c r="D79" s="39"/>
      <c r="E79" s="39"/>
      <c r="F79" s="43"/>
      <c r="H79" s="39"/>
      <c r="I79" s="39"/>
      <c r="J79" s="39"/>
      <c r="K79" s="39"/>
      <c r="L79" s="39"/>
    </row>
    <row r="80" spans="1:12" s="29" customFormat="1" x14ac:dyDescent="0.2">
      <c r="A80" s="29" t="str">
        <f>A28</f>
        <v>Skilled trades occupations</v>
      </c>
      <c r="B80" s="43">
        <f t="shared" ref="B80:E84" si="44">IF(AND(C$5-B$5 &lt;&gt; 0,C28 &lt;&gt; 0,B28 &lt;&gt; 0),(EXP(LN(C28/B28)/(C$5-B$5))-1)*100,0)</f>
        <v>-0.80319001079144359</v>
      </c>
      <c r="C80" s="43">
        <f t="shared" si="44"/>
        <v>-14.745853846417766</v>
      </c>
      <c r="D80" s="43">
        <f t="shared" si="44"/>
        <v>1.4774054812420223</v>
      </c>
      <c r="E80" s="43">
        <f t="shared" si="44"/>
        <v>0.4833639658216482</v>
      </c>
      <c r="F80" s="43">
        <f>IF(AND(F$5-D$5 &lt;&gt; 0,F28 &lt;&gt; 0,D28 &lt;&gt; 0),(EXP(LN(F28/D28)/(F$5-D$5))-1)*100,0)</f>
        <v>0.81362447515980207</v>
      </c>
      <c r="H80" s="43">
        <f>(B28/B$51)*100</f>
        <v>7.8638277668989325</v>
      </c>
      <c r="I80" s="43">
        <f>(C28/C$51)*100</f>
        <v>7.1084406930816231</v>
      </c>
      <c r="J80" s="43">
        <f>(D28/D$51)*100</f>
        <v>6.0936538082830456</v>
      </c>
      <c r="K80" s="43">
        <f>(E28/E$51)*100</f>
        <v>6.3005771019567227</v>
      </c>
      <c r="L80" s="43">
        <f>(F28/F$51)*100</f>
        <v>6.3042999159309598</v>
      </c>
    </row>
    <row r="81" spans="1:12" x14ac:dyDescent="0.2">
      <c r="A81" t="str">
        <f>A29</f>
        <v>51 Skilled agricultural and related trades</v>
      </c>
      <c r="B81" s="48">
        <f t="shared" si="44"/>
        <v>0.16053093643320082</v>
      </c>
      <c r="C81" s="43">
        <f t="shared" si="44"/>
        <v>-4.6815715826336035</v>
      </c>
      <c r="D81" s="48">
        <f t="shared" si="44"/>
        <v>1.5278817849579518</v>
      </c>
      <c r="E81" s="48">
        <f t="shared" si="44"/>
        <v>1.7840009528692802</v>
      </c>
      <c r="F81" s="43">
        <f>IF(AND(F$5-D$5 &lt;&gt; 0,F29 &lt;&gt; 0,D29 &lt;&gt; 0),(EXP(LN(F29/D29)/(F$5-D$5))-1)*100,0)</f>
        <v>1.6985561885287215</v>
      </c>
      <c r="H81" s="39">
        <f t="shared" ref="H81:L84" si="45">(B29/B$28)*100</f>
        <v>5.9992614389071637</v>
      </c>
      <c r="I81" s="39">
        <f t="shared" si="45"/>
        <v>6.2358180623364987</v>
      </c>
      <c r="J81" s="39">
        <f t="shared" si="45"/>
        <v>6.9719586016118562</v>
      </c>
      <c r="K81" s="39">
        <f t="shared" si="45"/>
        <v>6.9893156167578603</v>
      </c>
      <c r="L81" s="39">
        <f t="shared" si="45"/>
        <v>7.9485548588521375</v>
      </c>
    </row>
    <row r="82" spans="1:12" x14ac:dyDescent="0.2">
      <c r="A82" t="str">
        <f>A30</f>
        <v>52 Skilled metal, electrical and electronic trades</v>
      </c>
      <c r="B82" s="48">
        <f t="shared" si="44"/>
        <v>1.3179856794889977</v>
      </c>
      <c r="C82" s="43">
        <f t="shared" si="44"/>
        <v>-12.021922582818423</v>
      </c>
      <c r="D82" s="48">
        <f t="shared" si="44"/>
        <v>0.80951667361213175</v>
      </c>
      <c r="E82" s="48">
        <f t="shared" si="44"/>
        <v>-0.33154702398644487</v>
      </c>
      <c r="F82" s="43">
        <f>IF(AND(F$5-D$5 &lt;&gt; 0,F30 &lt;&gt; 0,D30 &lt;&gt; 0),(EXP(LN(F30/D30)/(F$5-D$5))-1)*100,0)</f>
        <v>4.7365195685378225E-2</v>
      </c>
      <c r="H82" s="39">
        <f t="shared" si="45"/>
        <v>27.351816357940827</v>
      </c>
      <c r="I82" s="39">
        <f t="shared" si="45"/>
        <v>29.76744329132751</v>
      </c>
      <c r="J82" s="39">
        <f t="shared" si="45"/>
        <v>30.718534505971746</v>
      </c>
      <c r="K82" s="39">
        <f t="shared" si="45"/>
        <v>29.720860629615881</v>
      </c>
      <c r="L82" s="39">
        <f t="shared" si="45"/>
        <v>27.396614302402629</v>
      </c>
    </row>
    <row r="83" spans="1:12" x14ac:dyDescent="0.2">
      <c r="A83" t="str">
        <f>A31</f>
        <v>53 Skilled construction and building trades</v>
      </c>
      <c r="B83" s="48">
        <f t="shared" si="44"/>
        <v>-3.30029202472788</v>
      </c>
      <c r="C83" s="43">
        <f t="shared" si="44"/>
        <v>-21.299349295536764</v>
      </c>
      <c r="D83" s="48">
        <f t="shared" si="44"/>
        <v>2.7824430899345387</v>
      </c>
      <c r="E83" s="48">
        <f t="shared" si="44"/>
        <v>0.6561279480613802</v>
      </c>
      <c r="F83" s="43">
        <f>IF(AND(F$5-D$5 &lt;&gt; 0,F31 &lt;&gt; 0,D31 &lt;&gt; 0),(EXP(LN(F31/D31)/(F$5-D$5))-1)*100,0)</f>
        <v>1.3599665941593786</v>
      </c>
      <c r="H83" s="39">
        <f t="shared" si="45"/>
        <v>37.220071595964718</v>
      </c>
      <c r="I83" s="39">
        <f t="shared" si="45"/>
        <v>33.611433081577417</v>
      </c>
      <c r="J83" s="39">
        <f t="shared" si="45"/>
        <v>31.027718579978021</v>
      </c>
      <c r="K83" s="39">
        <f t="shared" si="45"/>
        <v>33.074839968618463</v>
      </c>
      <c r="L83" s="39">
        <f t="shared" si="45"/>
        <v>33.647925338218521</v>
      </c>
    </row>
    <row r="84" spans="1:12" x14ac:dyDescent="0.2">
      <c r="A84" t="str">
        <f>A32</f>
        <v>54 Textiles, printing and other skilled trades</v>
      </c>
      <c r="B84" s="48">
        <f t="shared" si="44"/>
        <v>-6.8423332723055452E-3</v>
      </c>
      <c r="C84" s="43">
        <f t="shared" si="44"/>
        <v>-12.230530410490182</v>
      </c>
      <c r="D84" s="48">
        <f t="shared" si="44"/>
        <v>0.77562805218001074</v>
      </c>
      <c r="E84" s="48">
        <f t="shared" si="44"/>
        <v>0.74367095805623062</v>
      </c>
      <c r="F84" s="43">
        <f>IF(AND(F$5-D$5 &lt;&gt; 0,F32 &lt;&gt; 0,D32 &lt;&gt; 0),(EXP(LN(F32/D32)/(F$5-D$5))-1)*100,0)</f>
        <v>0.75432219661022426</v>
      </c>
      <c r="H84" s="39">
        <f t="shared" si="45"/>
        <v>29.428850607187272</v>
      </c>
      <c r="I84" s="39">
        <f t="shared" si="45"/>
        <v>30.385305564758582</v>
      </c>
      <c r="J84" s="39">
        <f t="shared" si="45"/>
        <v>31.281788312438373</v>
      </c>
      <c r="K84" s="39">
        <f t="shared" si="45"/>
        <v>30.214983785007792</v>
      </c>
      <c r="L84" s="39">
        <f t="shared" si="45"/>
        <v>31.00690550052671</v>
      </c>
    </row>
    <row r="85" spans="1:12" x14ac:dyDescent="0.2">
      <c r="A85" s="29"/>
      <c r="B85" s="39"/>
      <c r="C85" s="43"/>
      <c r="D85" s="39"/>
      <c r="E85" s="39"/>
      <c r="F85" s="43"/>
      <c r="H85" s="39"/>
      <c r="I85" s="39"/>
      <c r="J85" s="39"/>
      <c r="K85" s="39"/>
      <c r="L85" s="39"/>
    </row>
    <row r="86" spans="1:12" s="29" customFormat="1" x14ac:dyDescent="0.2">
      <c r="A86" s="29" t="str">
        <f>A34</f>
        <v>Caring, leisure and other service occupations</v>
      </c>
      <c r="B86" s="43">
        <f t="shared" ref="B86:E89" si="46">IF(AND(C$5-B$5 &lt;&gt; 0,C34 &lt;&gt; 0,B34 &lt;&gt; 0),(EXP(LN(C34/B34)/(C$5-B$5))-1)*100,0)</f>
        <v>1.4354770435005548</v>
      </c>
      <c r="C86" s="43">
        <f t="shared" si="46"/>
        <v>-5.7346126459899001</v>
      </c>
      <c r="D86" s="43">
        <f t="shared" si="46"/>
        <v>1.4344172087407792</v>
      </c>
      <c r="E86" s="43">
        <f t="shared" si="46"/>
        <v>0.59697501709188305</v>
      </c>
      <c r="F86" s="43">
        <f>IF(AND(F$5-D$5 &lt;&gt; 0,F34 &lt;&gt; 0,D34 &lt;&gt; 0),(EXP(LN(F34/D34)/(F$5-D$5))-1)*100,0)</f>
        <v>0.87535136851821793</v>
      </c>
      <c r="H86" s="43">
        <f>(B34/B$51)*100</f>
        <v>6.4434261434292193</v>
      </c>
      <c r="I86" s="43">
        <f>(C34/C$51)*100</f>
        <v>6.3683347739599565</v>
      </c>
      <c r="J86" s="43">
        <f>(D34/D$51)*100</f>
        <v>6.0362339825530587</v>
      </c>
      <c r="K86" s="43">
        <f>(E34/E$51)*100</f>
        <v>6.2279990276512729</v>
      </c>
      <c r="L86" s="43">
        <f>(F34/F$51)*100</f>
        <v>6.3024967152773463</v>
      </c>
    </row>
    <row r="87" spans="1:12" x14ac:dyDescent="0.2">
      <c r="A87" t="str">
        <f>A35</f>
        <v>61 Caring personal service occupations</v>
      </c>
      <c r="B87" s="48">
        <f t="shared" si="46"/>
        <v>1.1510532186058686</v>
      </c>
      <c r="C87" s="43">
        <f t="shared" si="46"/>
        <v>-4.7923390490353768</v>
      </c>
      <c r="D87" s="48">
        <f t="shared" si="46"/>
        <v>1.6247809325677265</v>
      </c>
      <c r="E87" s="48">
        <f t="shared" si="46"/>
        <v>0.54800447078575676</v>
      </c>
      <c r="F87" s="43">
        <f>IF(AND(F$5-D$5 &lt;&gt; 0,F35 &lt;&gt; 0,D35 &lt;&gt; 0),(EXP(LN(F35/D35)/(F$5-D$5))-1)*100,0)</f>
        <v>0.90565627312546582</v>
      </c>
      <c r="H87" s="39">
        <f t="shared" ref="H87:L89" si="47">(B35/B$34)*100</f>
        <v>70.449670809187523</v>
      </c>
      <c r="I87" s="39">
        <f t="shared" si="47"/>
        <v>69.662827971906268</v>
      </c>
      <c r="J87" s="39">
        <f t="shared" si="47"/>
        <v>70.359175224377623</v>
      </c>
      <c r="K87" s="39">
        <f t="shared" si="47"/>
        <v>71.021879377926595</v>
      </c>
      <c r="L87" s="39">
        <f t="shared" si="47"/>
        <v>70.676901682513488</v>
      </c>
    </row>
    <row r="88" spans="1:12" x14ac:dyDescent="0.2">
      <c r="A88" t="str">
        <f>A36</f>
        <v>62 Leisure, travel and related personal service occupations</v>
      </c>
      <c r="B88" s="48">
        <f t="shared" si="46"/>
        <v>2.3571197618687645</v>
      </c>
      <c r="C88" s="43">
        <f t="shared" si="46"/>
        <v>-9.5284048410398938</v>
      </c>
      <c r="D88" s="48">
        <f t="shared" si="46"/>
        <v>1.2534274897578968</v>
      </c>
      <c r="E88" s="48">
        <f t="shared" si="46"/>
        <v>0.721652948993734</v>
      </c>
      <c r="F88" s="43">
        <f>IF(AND(F$5-D$5 &lt;&gt; 0,F36 &lt;&gt; 0,D36 &lt;&gt; 0),(EXP(LN(F36/D36)/(F$5-D$5))-1)*100,0)</f>
        <v>0.89860008763829047</v>
      </c>
      <c r="H88" s="39">
        <f t="shared" si="47"/>
        <v>27.896797216104318</v>
      </c>
      <c r="I88" s="39">
        <f t="shared" si="47"/>
        <v>28.924580463021449</v>
      </c>
      <c r="J88" s="39">
        <f t="shared" si="47"/>
        <v>27.760485659129063</v>
      </c>
      <c r="K88" s="39">
        <f t="shared" si="47"/>
        <v>27.513702336888677</v>
      </c>
      <c r="L88" s="39">
        <f t="shared" si="47"/>
        <v>27.856609931557628</v>
      </c>
    </row>
    <row r="89" spans="1:12" x14ac:dyDescent="0.2">
      <c r="A89" t="str">
        <f>A37</f>
        <v>63 Community and civil enforcement occupations</v>
      </c>
      <c r="B89" s="48">
        <f t="shared" si="46"/>
        <v>-2.4806318302663333</v>
      </c>
      <c r="C89" s="43">
        <f t="shared" si="46"/>
        <v>25.479225245176117</v>
      </c>
      <c r="D89" s="48">
        <f t="shared" si="46"/>
        <v>-3.5124829324346463</v>
      </c>
      <c r="E89" s="48">
        <f t="shared" si="46"/>
        <v>0.61118636122208247</v>
      </c>
      <c r="F89" s="43">
        <f>IF(AND(F$5-D$5 &lt;&gt; 0,F37 &lt;&gt; 0,D37 &lt;&gt; 0),(EXP(LN(F37/D37)/(F$5-D$5))-1)*100,0)</f>
        <v>-0.78258900030340195</v>
      </c>
      <c r="H89" s="39">
        <f t="shared" si="47"/>
        <v>1.6535319747081487</v>
      </c>
      <c r="I89" s="39">
        <f t="shared" si="47"/>
        <v>1.4125915650722731</v>
      </c>
      <c r="J89" s="39">
        <f t="shared" si="47"/>
        <v>1.8803391164933168</v>
      </c>
      <c r="K89" s="39">
        <f t="shared" si="47"/>
        <v>1.4644182851847294</v>
      </c>
      <c r="L89" s="39">
        <f t="shared" si="47"/>
        <v>1.4664883859288758</v>
      </c>
    </row>
    <row r="90" spans="1:12" x14ac:dyDescent="0.2">
      <c r="B90" s="39"/>
      <c r="C90" s="43"/>
      <c r="D90" s="39"/>
      <c r="E90" s="39"/>
      <c r="F90" s="43"/>
      <c r="H90" s="39"/>
      <c r="I90" s="39"/>
      <c r="J90" s="39"/>
      <c r="K90" s="39"/>
      <c r="L90" s="39"/>
    </row>
    <row r="91" spans="1:12" s="29" customFormat="1" x14ac:dyDescent="0.2">
      <c r="A91" s="29" t="str">
        <f>A39</f>
        <v>Sales and customer service occupations</v>
      </c>
      <c r="B91" s="43">
        <f t="shared" ref="B91:E93" si="48">IF(AND(C$5-B$5 &lt;&gt; 0,C39 &lt;&gt; 0,B39 &lt;&gt; 0),(EXP(LN(C39/B39)/(C$5-B$5))-1)*100,0)</f>
        <v>-1.7843345471418526</v>
      </c>
      <c r="C91" s="43">
        <f t="shared" si="48"/>
        <v>-1.6969744823330912</v>
      </c>
      <c r="D91" s="43">
        <f t="shared" si="48"/>
        <v>6.7941874062027452E-2</v>
      </c>
      <c r="E91" s="43">
        <f t="shared" si="48"/>
        <v>-5.0334982653887916E-2</v>
      </c>
      <c r="F91" s="43">
        <f t="shared" ref="F91:F103" si="49">IF(AND(F$5-D$5 &lt;&gt; 0,F39 &lt;&gt; 0,D39 &lt;&gt; 0),(EXP(LN(F39/D39)/(F$5-D$5))-1)*100,0)</f>
        <v>-1.0924905154785503E-2</v>
      </c>
      <c r="H91" s="43">
        <f>(B39/B$51)*100</f>
        <v>7.1009362984978788</v>
      </c>
      <c r="I91" s="43">
        <f>(C39/C$51)*100</f>
        <v>6.1686225543666762</v>
      </c>
      <c r="J91" s="43">
        <f>(D39/D$51)*100</f>
        <v>6.0973764064283849</v>
      </c>
      <c r="K91" s="43">
        <f>(E39/E$51)*100</f>
        <v>5.8785961054352258</v>
      </c>
      <c r="L91" s="43">
        <f>(F39/F$51)*100</f>
        <v>5.5770164847901631</v>
      </c>
    </row>
    <row r="92" spans="1:12" s="29" customFormat="1" x14ac:dyDescent="0.2">
      <c r="A92" s="10" t="str">
        <f>A40</f>
        <v>71 Sales occupations</v>
      </c>
      <c r="B92" s="48">
        <f t="shared" si="48"/>
        <v>-2.775007347285996</v>
      </c>
      <c r="C92" s="43">
        <f t="shared" si="48"/>
        <v>-2.3708936189441587</v>
      </c>
      <c r="D92" s="48">
        <f t="shared" si="48"/>
        <v>-1.6300831432651597</v>
      </c>
      <c r="E92" s="48">
        <f t="shared" si="48"/>
        <v>-0.4625346813610598</v>
      </c>
      <c r="F92" s="43">
        <f t="shared" si="49"/>
        <v>-0.85324916714627497</v>
      </c>
      <c r="G92"/>
      <c r="H92" s="39">
        <f t="shared" ref="H92:L93" si="50">(B40/B$34)*100</f>
        <v>88.452925018852696</v>
      </c>
      <c r="I92" s="39">
        <f t="shared" si="50"/>
        <v>74.655940506038249</v>
      </c>
      <c r="J92" s="39">
        <f t="shared" si="50"/>
        <v>77.319925820383574</v>
      </c>
      <c r="K92" s="39">
        <f t="shared" si="50"/>
        <v>66.324847296605441</v>
      </c>
      <c r="L92" s="39">
        <f t="shared" si="50"/>
        <v>59.661314453083101</v>
      </c>
    </row>
    <row r="93" spans="1:12" s="29" customFormat="1" x14ac:dyDescent="0.2">
      <c r="A93" t="str">
        <f>A41</f>
        <v>72 Customer service occupations</v>
      </c>
      <c r="B93" s="48">
        <f t="shared" si="48"/>
        <v>1.9636736778481989</v>
      </c>
      <c r="C93" s="43">
        <f t="shared" si="48"/>
        <v>0.56851436566747182</v>
      </c>
      <c r="D93" s="48">
        <f t="shared" si="48"/>
        <v>4.9286809127571107</v>
      </c>
      <c r="E93" s="48">
        <f t="shared" si="48"/>
        <v>0.86708374051727155</v>
      </c>
      <c r="F93" s="43">
        <f t="shared" si="49"/>
        <v>2.2031734214792431</v>
      </c>
      <c r="G93"/>
      <c r="H93" s="39">
        <f t="shared" si="50"/>
        <v>21.751431179738415</v>
      </c>
      <c r="I93" s="39">
        <f t="shared" si="50"/>
        <v>22.208040005634903</v>
      </c>
      <c r="J93" s="39">
        <f t="shared" si="50"/>
        <v>23.692997536332733</v>
      </c>
      <c r="K93" s="39">
        <f t="shared" si="50"/>
        <v>28.064957186909133</v>
      </c>
      <c r="L93" s="39">
        <f t="shared" si="50"/>
        <v>28.827688187273555</v>
      </c>
    </row>
    <row r="94" spans="1:12" x14ac:dyDescent="0.2">
      <c r="C94" s="43"/>
      <c r="F94" s="43"/>
    </row>
    <row r="95" spans="1:12" s="29" customFormat="1" x14ac:dyDescent="0.2">
      <c r="A95" s="29" t="str">
        <f>A43</f>
        <v>Process, plant and machine operatives</v>
      </c>
      <c r="B95" s="43">
        <f t="shared" ref="B95:E97" si="51">IF(AND(C$5-B$5 &lt;&gt; 0,C43 &lt;&gt; 0,B43 &lt;&gt; 0),(EXP(LN(C43/B43)/(C$5-B$5))-1)*100,0)</f>
        <v>2.5110867350833121</v>
      </c>
      <c r="C95" s="43">
        <f t="shared" si="51"/>
        <v>-10.741962373522295</v>
      </c>
      <c r="D95" s="43">
        <f t="shared" si="51"/>
        <v>2.5208698025965148</v>
      </c>
      <c r="E95" s="43">
        <f t="shared" si="51"/>
        <v>-9.0636395639331901E-3</v>
      </c>
      <c r="F95" s="43">
        <f t="shared" si="49"/>
        <v>0.82723344550887923</v>
      </c>
      <c r="H95" s="43">
        <f>(B43/B$51)*100</f>
        <v>3.9054289604047407</v>
      </c>
      <c r="I95" s="43">
        <f>(C43/C$51)*100</f>
        <v>4.0262581724656608</v>
      </c>
      <c r="J95" s="43">
        <f>(D43/D$51)*100</f>
        <v>3.6135733761834024</v>
      </c>
      <c r="K95" s="43">
        <f>(E43/E$51)*100</f>
        <v>3.9323672192381656</v>
      </c>
      <c r="L95" s="43">
        <f>(F43/F$51)*100</f>
        <v>3.7460648973056627</v>
      </c>
    </row>
    <row r="96" spans="1:12" x14ac:dyDescent="0.2">
      <c r="A96" t="str">
        <f>A44</f>
        <v>81 Process, plant and machine operatives</v>
      </c>
      <c r="B96" s="48">
        <f t="shared" si="51"/>
        <v>-1.051261830314254</v>
      </c>
      <c r="C96" s="43">
        <f t="shared" si="51"/>
        <v>-8.4252747272843269</v>
      </c>
      <c r="D96" s="48">
        <f t="shared" si="51"/>
        <v>4.1611644932663117</v>
      </c>
      <c r="E96" s="48">
        <f t="shared" si="51"/>
        <v>0.72566428313007858</v>
      </c>
      <c r="F96" s="43">
        <f t="shared" si="49"/>
        <v>1.8580526599982328</v>
      </c>
      <c r="H96" s="39">
        <f t="shared" ref="H96:L97" si="52">(B44/B$43)*100</f>
        <v>16.278883647998445</v>
      </c>
      <c r="I96" s="39">
        <f t="shared" si="52"/>
        <v>14.131306302678921</v>
      </c>
      <c r="J96" s="39">
        <f t="shared" si="52"/>
        <v>14.498083610439377</v>
      </c>
      <c r="K96" s="39">
        <f t="shared" si="52"/>
        <v>15.695614446587328</v>
      </c>
      <c r="L96" s="39">
        <f t="shared" si="52"/>
        <v>16.887811430631345</v>
      </c>
    </row>
    <row r="97" spans="1:12" x14ac:dyDescent="0.2">
      <c r="A97" t="str">
        <f>A45</f>
        <v>82 Transport and mobile machine drivers and operatives</v>
      </c>
      <c r="B97" s="48">
        <f t="shared" si="51"/>
        <v>3.1622483994405926</v>
      </c>
      <c r="C97" s="43">
        <f t="shared" si="51"/>
        <v>-11.123216836901218</v>
      </c>
      <c r="D97" s="48">
        <f t="shared" si="51"/>
        <v>2.2320679660508658</v>
      </c>
      <c r="E97" s="48">
        <f t="shared" si="51"/>
        <v>-0.15137458528491354</v>
      </c>
      <c r="F97" s="43">
        <f t="shared" si="49"/>
        <v>0.63686721950468872</v>
      </c>
      <c r="H97" s="39">
        <f t="shared" si="52"/>
        <v>83.721116352001559</v>
      </c>
      <c r="I97" s="39">
        <f t="shared" si="52"/>
        <v>85.868693697321092</v>
      </c>
      <c r="J97" s="39">
        <f t="shared" si="52"/>
        <v>85.50191638956062</v>
      </c>
      <c r="K97" s="39">
        <f t="shared" si="52"/>
        <v>84.304385553412672</v>
      </c>
      <c r="L97" s="39">
        <f t="shared" si="52"/>
        <v>83.112188569368655</v>
      </c>
    </row>
    <row r="98" spans="1:12" x14ac:dyDescent="0.2">
      <c r="C98" s="43"/>
      <c r="F98" s="43"/>
    </row>
    <row r="99" spans="1:12" s="29" customFormat="1" x14ac:dyDescent="0.2">
      <c r="A99" s="29" t="str">
        <f>A47</f>
        <v>Elementary occupations</v>
      </c>
      <c r="B99" s="43">
        <f t="shared" ref="B99:E101" si="53">IF(AND(C$5-B$5 &lt;&gt; 0,C47 &lt;&gt; 0,B47 &lt;&gt; 0),(EXP(LN(C47/B47)/(C$5-B$5))-1)*100,0)</f>
        <v>1.1173120611112086</v>
      </c>
      <c r="C99" s="43">
        <f t="shared" si="53"/>
        <v>-8.3241689809601116</v>
      </c>
      <c r="D99" s="43">
        <f t="shared" si="53"/>
        <v>0.2659526679711588</v>
      </c>
      <c r="E99" s="43">
        <f t="shared" si="53"/>
        <v>-7.1440635580244383E-2</v>
      </c>
      <c r="F99" s="43">
        <f t="shared" si="49"/>
        <v>4.089746290780738E-2</v>
      </c>
      <c r="H99" s="43">
        <f>(B47/B$51)*100</f>
        <v>9.7997523605616816</v>
      </c>
      <c r="I99" s="43">
        <f>(C47/C$51)*100</f>
        <v>9.5645973966641478</v>
      </c>
      <c r="J99" s="43">
        <f>(D47/D$51)*100</f>
        <v>8.8167692225336989</v>
      </c>
      <c r="K99" s="43">
        <f>(E47/E$51)*100</f>
        <v>8.5848492789108271</v>
      </c>
      <c r="L99" s="43">
        <f>(F47/F$51)*100</f>
        <v>8.1272536668543651</v>
      </c>
    </row>
    <row r="100" spans="1:12" x14ac:dyDescent="0.2">
      <c r="A100" t="str">
        <f>A48</f>
        <v>91 Elementary trades and related occupations</v>
      </c>
      <c r="B100" s="48">
        <f t="shared" si="53"/>
        <v>-2.418362268510621</v>
      </c>
      <c r="C100" s="43">
        <f t="shared" si="53"/>
        <v>-10.375325949348813</v>
      </c>
      <c r="D100" s="48">
        <f t="shared" si="53"/>
        <v>-4.0986798980674362</v>
      </c>
      <c r="E100" s="48">
        <f t="shared" si="53"/>
        <v>-0.64573931173221855</v>
      </c>
      <c r="F100" s="43">
        <f t="shared" si="49"/>
        <v>-1.8103167248515462</v>
      </c>
      <c r="H100" s="39">
        <f t="shared" ref="H100:L101" si="54">(B48/B$47)*100</f>
        <v>8.0774389142087024</v>
      </c>
      <c r="I100" s="39">
        <f t="shared" si="54"/>
        <v>7.0055788739612979</v>
      </c>
      <c r="J100" s="39">
        <f t="shared" si="54"/>
        <v>6.8488359051199463</v>
      </c>
      <c r="K100" s="39">
        <f t="shared" si="54"/>
        <v>5.4824195159464217</v>
      </c>
      <c r="L100" s="39">
        <f t="shared" si="54"/>
        <v>5.1753647252624697</v>
      </c>
    </row>
    <row r="101" spans="1:12" x14ac:dyDescent="0.2">
      <c r="A101" t="str">
        <f>A49</f>
        <v>92 Elementary administration and service occupations</v>
      </c>
      <c r="B101" s="48">
        <f t="shared" si="53"/>
        <v>1.4108006143556118</v>
      </c>
      <c r="C101" s="43">
        <f t="shared" si="53"/>
        <v>-8.1696485081088852</v>
      </c>
      <c r="D101" s="48">
        <f t="shared" si="53"/>
        <v>0.55839810434723525</v>
      </c>
      <c r="E101" s="48">
        <f t="shared" si="53"/>
        <v>-3.9024677916499328E-2</v>
      </c>
      <c r="F101" s="43">
        <f t="shared" si="49"/>
        <v>0.15972083562194594</v>
      </c>
      <c r="H101" s="39">
        <f t="shared" si="54"/>
        <v>91.922561085791301</v>
      </c>
      <c r="I101" s="39">
        <f t="shared" si="54"/>
        <v>92.994421126038702</v>
      </c>
      <c r="J101" s="39">
        <f t="shared" si="54"/>
        <v>93.151164094880059</v>
      </c>
      <c r="K101" s="39">
        <f t="shared" si="54"/>
        <v>94.517580484053582</v>
      </c>
      <c r="L101" s="39">
        <f t="shared" si="54"/>
        <v>94.824635274737531</v>
      </c>
    </row>
    <row r="102" spans="1:12" x14ac:dyDescent="0.2">
      <c r="A102" s="13"/>
      <c r="C102" s="43"/>
      <c r="F102" s="43"/>
    </row>
    <row r="103" spans="1:12" x14ac:dyDescent="0.2">
      <c r="A103" s="38" t="str">
        <f t="shared" ref="A103" si="55">A51</f>
        <v>All occupations</v>
      </c>
      <c r="B103" s="49">
        <f>IF(AND(C$5-B$5 &lt;&gt; 0,C51 &lt;&gt; 0,B51 &lt;&gt; 0),(EXP(LN(C51/B51)/(C$5-B$5))-1)*100,0)</f>
        <v>1.733179610351665</v>
      </c>
      <c r="C103" s="206">
        <f t="shared" ref="C103" si="56">IF(AND(D$5-C$5 &lt;&gt; 0,D51 &lt;&gt; 0,C51 &lt;&gt; 0),(EXP(LN(D51/C51)/(D$5-C$5))-1)*100,0)</f>
        <v>-0.54833096223986244</v>
      </c>
      <c r="D103" s="49">
        <f>IF(AND(E$5-D$5 &lt;&gt; 0,E51 &lt;&gt; 0,D51 &lt;&gt; 0),(EXP(LN(E51/D51)/(E$5-D$5))-1)*100,0)</f>
        <v>0.80192927975628603</v>
      </c>
      <c r="E103" s="49">
        <f>IF(AND(F$5-E$5 &lt;&gt; 0,F51 &lt;&gt; 0,E51 &lt;&gt; 0),(EXP(LN(F51/E51)/(F$5-E$5))-1)*100,0)</f>
        <v>0.47742864675834884</v>
      </c>
      <c r="F103" s="206">
        <f t="shared" si="49"/>
        <v>0.58547928810914751</v>
      </c>
      <c r="G103" s="23"/>
      <c r="H103" s="42">
        <f>(B51/B$51)*100</f>
        <v>100</v>
      </c>
      <c r="I103" s="42">
        <f>(C51/C$51)*100</f>
        <v>100</v>
      </c>
      <c r="J103" s="42">
        <f>(D51/D$51)*100</f>
        <v>100</v>
      </c>
      <c r="K103" s="42">
        <f>(E51/E$51)*100</f>
        <v>100</v>
      </c>
      <c r="L103" s="42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0"/>
  <dimension ref="A1:Y1312"/>
  <sheetViews>
    <sheetView showGridLines="0" zoomScale="85" zoomScaleNormal="85" workbookViewId="0"/>
  </sheetViews>
  <sheetFormatPr defaultRowHeight="12.75" x14ac:dyDescent="0.2"/>
  <cols>
    <col min="1" max="1" width="35.5703125" style="90" customWidth="1"/>
    <col min="2" max="4" width="5.7109375" style="90" bestFit="1" customWidth="1"/>
    <col min="5" max="5" width="5" style="90" customWidth="1"/>
    <col min="6" max="8" width="5.7109375" style="90" bestFit="1" customWidth="1"/>
    <col min="9" max="9" width="5" style="90" customWidth="1"/>
    <col min="10" max="12" width="5.7109375" style="90" bestFit="1" customWidth="1"/>
    <col min="13" max="13" width="5" style="90" customWidth="1"/>
    <col min="14" max="14" width="8.85546875" style="90" customWidth="1"/>
    <col min="15" max="15" width="7.140625" style="90" customWidth="1"/>
    <col min="16" max="16" width="2.85546875" style="90" customWidth="1"/>
    <col min="17" max="17" width="7.42578125" style="90" customWidth="1"/>
    <col min="18" max="18" width="7.28515625" style="90" customWidth="1"/>
    <col min="19" max="19" width="2.7109375" style="90" customWidth="1"/>
    <col min="20" max="20" width="8.140625" style="90" customWidth="1"/>
    <col min="21" max="21" width="7.42578125" style="90" customWidth="1"/>
    <col min="22" max="254" width="9.140625" style="90"/>
    <col min="255" max="255" width="33.140625" style="90" bestFit="1" customWidth="1"/>
    <col min="256" max="258" width="7.140625" style="90" customWidth="1"/>
    <col min="259" max="259" width="5" style="90" customWidth="1"/>
    <col min="260" max="262" width="7.140625" style="90" customWidth="1"/>
    <col min="263" max="263" width="5" style="90" customWidth="1"/>
    <col min="264" max="266" width="7.140625" style="90" customWidth="1"/>
    <col min="267" max="510" width="9.140625" style="90"/>
    <col min="511" max="511" width="33.140625" style="90" bestFit="1" customWidth="1"/>
    <col min="512" max="514" width="7.140625" style="90" customWidth="1"/>
    <col min="515" max="515" width="5" style="90" customWidth="1"/>
    <col min="516" max="518" width="7.140625" style="90" customWidth="1"/>
    <col min="519" max="519" width="5" style="90" customWidth="1"/>
    <col min="520" max="522" width="7.140625" style="90" customWidth="1"/>
    <col min="523" max="766" width="9.140625" style="90"/>
    <col min="767" max="767" width="33.140625" style="90" bestFit="1" customWidth="1"/>
    <col min="768" max="770" width="7.140625" style="90" customWidth="1"/>
    <col min="771" max="771" width="5" style="90" customWidth="1"/>
    <col min="772" max="774" width="7.140625" style="90" customWidth="1"/>
    <col min="775" max="775" width="5" style="90" customWidth="1"/>
    <col min="776" max="778" width="7.140625" style="90" customWidth="1"/>
    <col min="779" max="1022" width="9.140625" style="90"/>
    <col min="1023" max="1023" width="33.140625" style="90" bestFit="1" customWidth="1"/>
    <col min="1024" max="1026" width="7.140625" style="90" customWidth="1"/>
    <col min="1027" max="1027" width="5" style="90" customWidth="1"/>
    <col min="1028" max="1030" width="7.140625" style="90" customWidth="1"/>
    <col min="1031" max="1031" width="5" style="90" customWidth="1"/>
    <col min="1032" max="1034" width="7.140625" style="90" customWidth="1"/>
    <col min="1035" max="1278" width="9.140625" style="90"/>
    <col min="1279" max="1279" width="33.140625" style="90" bestFit="1" customWidth="1"/>
    <col min="1280" max="1282" width="7.140625" style="90" customWidth="1"/>
    <col min="1283" max="1283" width="5" style="90" customWidth="1"/>
    <col min="1284" max="1286" width="7.140625" style="90" customWidth="1"/>
    <col min="1287" max="1287" width="5" style="90" customWidth="1"/>
    <col min="1288" max="1290" width="7.140625" style="90" customWidth="1"/>
    <col min="1291" max="1534" width="9.140625" style="90"/>
    <col min="1535" max="1535" width="33.140625" style="90" bestFit="1" customWidth="1"/>
    <col min="1536" max="1538" width="7.140625" style="90" customWidth="1"/>
    <col min="1539" max="1539" width="5" style="90" customWidth="1"/>
    <col min="1540" max="1542" width="7.140625" style="90" customWidth="1"/>
    <col min="1543" max="1543" width="5" style="90" customWidth="1"/>
    <col min="1544" max="1546" width="7.140625" style="90" customWidth="1"/>
    <col min="1547" max="1790" width="9.140625" style="90"/>
    <col min="1791" max="1791" width="33.140625" style="90" bestFit="1" customWidth="1"/>
    <col min="1792" max="1794" width="7.140625" style="90" customWidth="1"/>
    <col min="1795" max="1795" width="5" style="90" customWidth="1"/>
    <col min="1796" max="1798" width="7.140625" style="90" customWidth="1"/>
    <col min="1799" max="1799" width="5" style="90" customWidth="1"/>
    <col min="1800" max="1802" width="7.140625" style="90" customWidth="1"/>
    <col min="1803" max="2046" width="9.140625" style="90"/>
    <col min="2047" max="2047" width="33.140625" style="90" bestFit="1" customWidth="1"/>
    <col min="2048" max="2050" width="7.140625" style="90" customWidth="1"/>
    <col min="2051" max="2051" width="5" style="90" customWidth="1"/>
    <col min="2052" max="2054" width="7.140625" style="90" customWidth="1"/>
    <col min="2055" max="2055" width="5" style="90" customWidth="1"/>
    <col min="2056" max="2058" width="7.140625" style="90" customWidth="1"/>
    <col min="2059" max="2302" width="9.140625" style="90"/>
    <col min="2303" max="2303" width="33.140625" style="90" bestFit="1" customWidth="1"/>
    <col min="2304" max="2306" width="7.140625" style="90" customWidth="1"/>
    <col min="2307" max="2307" width="5" style="90" customWidth="1"/>
    <col min="2308" max="2310" width="7.140625" style="90" customWidth="1"/>
    <col min="2311" max="2311" width="5" style="90" customWidth="1"/>
    <col min="2312" max="2314" width="7.140625" style="90" customWidth="1"/>
    <col min="2315" max="2558" width="9.140625" style="90"/>
    <col min="2559" max="2559" width="33.140625" style="90" bestFit="1" customWidth="1"/>
    <col min="2560" max="2562" width="7.140625" style="90" customWidth="1"/>
    <col min="2563" max="2563" width="5" style="90" customWidth="1"/>
    <col min="2564" max="2566" width="7.140625" style="90" customWidth="1"/>
    <col min="2567" max="2567" width="5" style="90" customWidth="1"/>
    <col min="2568" max="2570" width="7.140625" style="90" customWidth="1"/>
    <col min="2571" max="2814" width="9.140625" style="90"/>
    <col min="2815" max="2815" width="33.140625" style="90" bestFit="1" customWidth="1"/>
    <col min="2816" max="2818" width="7.140625" style="90" customWidth="1"/>
    <col min="2819" max="2819" width="5" style="90" customWidth="1"/>
    <col min="2820" max="2822" width="7.140625" style="90" customWidth="1"/>
    <col min="2823" max="2823" width="5" style="90" customWidth="1"/>
    <col min="2824" max="2826" width="7.140625" style="90" customWidth="1"/>
    <col min="2827" max="3070" width="9.140625" style="90"/>
    <col min="3071" max="3071" width="33.140625" style="90" bestFit="1" customWidth="1"/>
    <col min="3072" max="3074" width="7.140625" style="90" customWidth="1"/>
    <col min="3075" max="3075" width="5" style="90" customWidth="1"/>
    <col min="3076" max="3078" width="7.140625" style="90" customWidth="1"/>
    <col min="3079" max="3079" width="5" style="90" customWidth="1"/>
    <col min="3080" max="3082" width="7.140625" style="90" customWidth="1"/>
    <col min="3083" max="3326" width="9.140625" style="90"/>
    <col min="3327" max="3327" width="33.140625" style="90" bestFit="1" customWidth="1"/>
    <col min="3328" max="3330" width="7.140625" style="90" customWidth="1"/>
    <col min="3331" max="3331" width="5" style="90" customWidth="1"/>
    <col min="3332" max="3334" width="7.140625" style="90" customWidth="1"/>
    <col min="3335" max="3335" width="5" style="90" customWidth="1"/>
    <col min="3336" max="3338" width="7.140625" style="90" customWidth="1"/>
    <col min="3339" max="3582" width="9.140625" style="90"/>
    <col min="3583" max="3583" width="33.140625" style="90" bestFit="1" customWidth="1"/>
    <col min="3584" max="3586" width="7.140625" style="90" customWidth="1"/>
    <col min="3587" max="3587" width="5" style="90" customWidth="1"/>
    <col min="3588" max="3590" width="7.140625" style="90" customWidth="1"/>
    <col min="3591" max="3591" width="5" style="90" customWidth="1"/>
    <col min="3592" max="3594" width="7.140625" style="90" customWidth="1"/>
    <col min="3595" max="3838" width="9.140625" style="90"/>
    <col min="3839" max="3839" width="33.140625" style="90" bestFit="1" customWidth="1"/>
    <col min="3840" max="3842" width="7.140625" style="90" customWidth="1"/>
    <col min="3843" max="3843" width="5" style="90" customWidth="1"/>
    <col min="3844" max="3846" width="7.140625" style="90" customWidth="1"/>
    <col min="3847" max="3847" width="5" style="90" customWidth="1"/>
    <col min="3848" max="3850" width="7.140625" style="90" customWidth="1"/>
    <col min="3851" max="4094" width="9.140625" style="90"/>
    <col min="4095" max="4095" width="33.140625" style="90" bestFit="1" customWidth="1"/>
    <col min="4096" max="4098" width="7.140625" style="90" customWidth="1"/>
    <col min="4099" max="4099" width="5" style="90" customWidth="1"/>
    <col min="4100" max="4102" width="7.140625" style="90" customWidth="1"/>
    <col min="4103" max="4103" width="5" style="90" customWidth="1"/>
    <col min="4104" max="4106" width="7.140625" style="90" customWidth="1"/>
    <col min="4107" max="4350" width="9.140625" style="90"/>
    <col min="4351" max="4351" width="33.140625" style="90" bestFit="1" customWidth="1"/>
    <col min="4352" max="4354" width="7.140625" style="90" customWidth="1"/>
    <col min="4355" max="4355" width="5" style="90" customWidth="1"/>
    <col min="4356" max="4358" width="7.140625" style="90" customWidth="1"/>
    <col min="4359" max="4359" width="5" style="90" customWidth="1"/>
    <col min="4360" max="4362" width="7.140625" style="90" customWidth="1"/>
    <col min="4363" max="4606" width="9.140625" style="90"/>
    <col min="4607" max="4607" width="33.140625" style="90" bestFit="1" customWidth="1"/>
    <col min="4608" max="4610" width="7.140625" style="90" customWidth="1"/>
    <col min="4611" max="4611" width="5" style="90" customWidth="1"/>
    <col min="4612" max="4614" width="7.140625" style="90" customWidth="1"/>
    <col min="4615" max="4615" width="5" style="90" customWidth="1"/>
    <col min="4616" max="4618" width="7.140625" style="90" customWidth="1"/>
    <col min="4619" max="4862" width="9.140625" style="90"/>
    <col min="4863" max="4863" width="33.140625" style="90" bestFit="1" customWidth="1"/>
    <col min="4864" max="4866" width="7.140625" style="90" customWidth="1"/>
    <col min="4867" max="4867" width="5" style="90" customWidth="1"/>
    <col min="4868" max="4870" width="7.140625" style="90" customWidth="1"/>
    <col min="4871" max="4871" width="5" style="90" customWidth="1"/>
    <col min="4872" max="4874" width="7.140625" style="90" customWidth="1"/>
    <col min="4875" max="5118" width="9.140625" style="90"/>
    <col min="5119" max="5119" width="33.140625" style="90" bestFit="1" customWidth="1"/>
    <col min="5120" max="5122" width="7.140625" style="90" customWidth="1"/>
    <col min="5123" max="5123" width="5" style="90" customWidth="1"/>
    <col min="5124" max="5126" width="7.140625" style="90" customWidth="1"/>
    <col min="5127" max="5127" width="5" style="90" customWidth="1"/>
    <col min="5128" max="5130" width="7.140625" style="90" customWidth="1"/>
    <col min="5131" max="5374" width="9.140625" style="90"/>
    <col min="5375" max="5375" width="33.140625" style="90" bestFit="1" customWidth="1"/>
    <col min="5376" max="5378" width="7.140625" style="90" customWidth="1"/>
    <col min="5379" max="5379" width="5" style="90" customWidth="1"/>
    <col min="5380" max="5382" width="7.140625" style="90" customWidth="1"/>
    <col min="5383" max="5383" width="5" style="90" customWidth="1"/>
    <col min="5384" max="5386" width="7.140625" style="90" customWidth="1"/>
    <col min="5387" max="5630" width="9.140625" style="90"/>
    <col min="5631" max="5631" width="33.140625" style="90" bestFit="1" customWidth="1"/>
    <col min="5632" max="5634" width="7.140625" style="90" customWidth="1"/>
    <col min="5635" max="5635" width="5" style="90" customWidth="1"/>
    <col min="5636" max="5638" width="7.140625" style="90" customWidth="1"/>
    <col min="5639" max="5639" width="5" style="90" customWidth="1"/>
    <col min="5640" max="5642" width="7.140625" style="90" customWidth="1"/>
    <col min="5643" max="5886" width="9.140625" style="90"/>
    <col min="5887" max="5887" width="33.140625" style="90" bestFit="1" customWidth="1"/>
    <col min="5888" max="5890" width="7.140625" style="90" customWidth="1"/>
    <col min="5891" max="5891" width="5" style="90" customWidth="1"/>
    <col min="5892" max="5894" width="7.140625" style="90" customWidth="1"/>
    <col min="5895" max="5895" width="5" style="90" customWidth="1"/>
    <col min="5896" max="5898" width="7.140625" style="90" customWidth="1"/>
    <col min="5899" max="6142" width="9.140625" style="90"/>
    <col min="6143" max="6143" width="33.140625" style="90" bestFit="1" customWidth="1"/>
    <col min="6144" max="6146" width="7.140625" style="90" customWidth="1"/>
    <col min="6147" max="6147" width="5" style="90" customWidth="1"/>
    <col min="6148" max="6150" width="7.140625" style="90" customWidth="1"/>
    <col min="6151" max="6151" width="5" style="90" customWidth="1"/>
    <col min="6152" max="6154" width="7.140625" style="90" customWidth="1"/>
    <col min="6155" max="6398" width="9.140625" style="90"/>
    <col min="6399" max="6399" width="33.140625" style="90" bestFit="1" customWidth="1"/>
    <col min="6400" max="6402" width="7.140625" style="90" customWidth="1"/>
    <col min="6403" max="6403" width="5" style="90" customWidth="1"/>
    <col min="6404" max="6406" width="7.140625" style="90" customWidth="1"/>
    <col min="6407" max="6407" width="5" style="90" customWidth="1"/>
    <col min="6408" max="6410" width="7.140625" style="90" customWidth="1"/>
    <col min="6411" max="6654" width="9.140625" style="90"/>
    <col min="6655" max="6655" width="33.140625" style="90" bestFit="1" customWidth="1"/>
    <col min="6656" max="6658" width="7.140625" style="90" customWidth="1"/>
    <col min="6659" max="6659" width="5" style="90" customWidth="1"/>
    <col min="6660" max="6662" width="7.140625" style="90" customWidth="1"/>
    <col min="6663" max="6663" width="5" style="90" customWidth="1"/>
    <col min="6664" max="6666" width="7.140625" style="90" customWidth="1"/>
    <col min="6667" max="6910" width="9.140625" style="90"/>
    <col min="6911" max="6911" width="33.140625" style="90" bestFit="1" customWidth="1"/>
    <col min="6912" max="6914" width="7.140625" style="90" customWidth="1"/>
    <col min="6915" max="6915" width="5" style="90" customWidth="1"/>
    <col min="6916" max="6918" width="7.140625" style="90" customWidth="1"/>
    <col min="6919" max="6919" width="5" style="90" customWidth="1"/>
    <col min="6920" max="6922" width="7.140625" style="90" customWidth="1"/>
    <col min="6923" max="7166" width="9.140625" style="90"/>
    <col min="7167" max="7167" width="33.140625" style="90" bestFit="1" customWidth="1"/>
    <col min="7168" max="7170" width="7.140625" style="90" customWidth="1"/>
    <col min="7171" max="7171" width="5" style="90" customWidth="1"/>
    <col min="7172" max="7174" width="7.140625" style="90" customWidth="1"/>
    <col min="7175" max="7175" width="5" style="90" customWidth="1"/>
    <col min="7176" max="7178" width="7.140625" style="90" customWidth="1"/>
    <col min="7179" max="7422" width="9.140625" style="90"/>
    <col min="7423" max="7423" width="33.140625" style="90" bestFit="1" customWidth="1"/>
    <col min="7424" max="7426" width="7.140625" style="90" customWidth="1"/>
    <col min="7427" max="7427" width="5" style="90" customWidth="1"/>
    <col min="7428" max="7430" width="7.140625" style="90" customWidth="1"/>
    <col min="7431" max="7431" width="5" style="90" customWidth="1"/>
    <col min="7432" max="7434" width="7.140625" style="90" customWidth="1"/>
    <col min="7435" max="7678" width="9.140625" style="90"/>
    <col min="7679" max="7679" width="33.140625" style="90" bestFit="1" customWidth="1"/>
    <col min="7680" max="7682" width="7.140625" style="90" customWidth="1"/>
    <col min="7683" max="7683" width="5" style="90" customWidth="1"/>
    <col min="7684" max="7686" width="7.140625" style="90" customWidth="1"/>
    <col min="7687" max="7687" width="5" style="90" customWidth="1"/>
    <col min="7688" max="7690" width="7.140625" style="90" customWidth="1"/>
    <col min="7691" max="7934" width="9.140625" style="90"/>
    <col min="7935" max="7935" width="33.140625" style="90" bestFit="1" customWidth="1"/>
    <col min="7936" max="7938" width="7.140625" style="90" customWidth="1"/>
    <col min="7939" max="7939" width="5" style="90" customWidth="1"/>
    <col min="7940" max="7942" width="7.140625" style="90" customWidth="1"/>
    <col min="7943" max="7943" width="5" style="90" customWidth="1"/>
    <col min="7944" max="7946" width="7.140625" style="90" customWidth="1"/>
    <col min="7947" max="8190" width="9.140625" style="90"/>
    <col min="8191" max="8191" width="33.140625" style="90" bestFit="1" customWidth="1"/>
    <col min="8192" max="8194" width="7.140625" style="90" customWidth="1"/>
    <col min="8195" max="8195" width="5" style="90" customWidth="1"/>
    <col min="8196" max="8198" width="7.140625" style="90" customWidth="1"/>
    <col min="8199" max="8199" width="5" style="90" customWidth="1"/>
    <col min="8200" max="8202" width="7.140625" style="90" customWidth="1"/>
    <col min="8203" max="8446" width="9.140625" style="90"/>
    <col min="8447" max="8447" width="33.140625" style="90" bestFit="1" customWidth="1"/>
    <col min="8448" max="8450" width="7.140625" style="90" customWidth="1"/>
    <col min="8451" max="8451" width="5" style="90" customWidth="1"/>
    <col min="8452" max="8454" width="7.140625" style="90" customWidth="1"/>
    <col min="8455" max="8455" width="5" style="90" customWidth="1"/>
    <col min="8456" max="8458" width="7.140625" style="90" customWidth="1"/>
    <col min="8459" max="8702" width="9.140625" style="90"/>
    <col min="8703" max="8703" width="33.140625" style="90" bestFit="1" customWidth="1"/>
    <col min="8704" max="8706" width="7.140625" style="90" customWidth="1"/>
    <col min="8707" max="8707" width="5" style="90" customWidth="1"/>
    <col min="8708" max="8710" width="7.140625" style="90" customWidth="1"/>
    <col min="8711" max="8711" width="5" style="90" customWidth="1"/>
    <col min="8712" max="8714" width="7.140625" style="90" customWidth="1"/>
    <col min="8715" max="8958" width="9.140625" style="90"/>
    <col min="8959" max="8959" width="33.140625" style="90" bestFit="1" customWidth="1"/>
    <col min="8960" max="8962" width="7.140625" style="90" customWidth="1"/>
    <col min="8963" max="8963" width="5" style="90" customWidth="1"/>
    <col min="8964" max="8966" width="7.140625" style="90" customWidth="1"/>
    <col min="8967" max="8967" width="5" style="90" customWidth="1"/>
    <col min="8968" max="8970" width="7.140625" style="90" customWidth="1"/>
    <col min="8971" max="9214" width="9.140625" style="90"/>
    <col min="9215" max="9215" width="33.140625" style="90" bestFit="1" customWidth="1"/>
    <col min="9216" max="9218" width="7.140625" style="90" customWidth="1"/>
    <col min="9219" max="9219" width="5" style="90" customWidth="1"/>
    <col min="9220" max="9222" width="7.140625" style="90" customWidth="1"/>
    <col min="9223" max="9223" width="5" style="90" customWidth="1"/>
    <col min="9224" max="9226" width="7.140625" style="90" customWidth="1"/>
    <col min="9227" max="9470" width="9.140625" style="90"/>
    <col min="9471" max="9471" width="33.140625" style="90" bestFit="1" customWidth="1"/>
    <col min="9472" max="9474" width="7.140625" style="90" customWidth="1"/>
    <col min="9475" max="9475" width="5" style="90" customWidth="1"/>
    <col min="9476" max="9478" width="7.140625" style="90" customWidth="1"/>
    <col min="9479" max="9479" width="5" style="90" customWidth="1"/>
    <col min="9480" max="9482" width="7.140625" style="90" customWidth="1"/>
    <col min="9483" max="9726" width="9.140625" style="90"/>
    <col min="9727" max="9727" width="33.140625" style="90" bestFit="1" customWidth="1"/>
    <col min="9728" max="9730" width="7.140625" style="90" customWidth="1"/>
    <col min="9731" max="9731" width="5" style="90" customWidth="1"/>
    <col min="9732" max="9734" width="7.140625" style="90" customWidth="1"/>
    <col min="9735" max="9735" width="5" style="90" customWidth="1"/>
    <col min="9736" max="9738" width="7.140625" style="90" customWidth="1"/>
    <col min="9739" max="9982" width="9.140625" style="90"/>
    <col min="9983" max="9983" width="33.140625" style="90" bestFit="1" customWidth="1"/>
    <col min="9984" max="9986" width="7.140625" style="90" customWidth="1"/>
    <col min="9987" max="9987" width="5" style="90" customWidth="1"/>
    <col min="9988" max="9990" width="7.140625" style="90" customWidth="1"/>
    <col min="9991" max="9991" width="5" style="90" customWidth="1"/>
    <col min="9992" max="9994" width="7.140625" style="90" customWidth="1"/>
    <col min="9995" max="10238" width="9.140625" style="90"/>
    <col min="10239" max="10239" width="33.140625" style="90" bestFit="1" customWidth="1"/>
    <col min="10240" max="10242" width="7.140625" style="90" customWidth="1"/>
    <col min="10243" max="10243" width="5" style="90" customWidth="1"/>
    <col min="10244" max="10246" width="7.140625" style="90" customWidth="1"/>
    <col min="10247" max="10247" width="5" style="90" customWidth="1"/>
    <col min="10248" max="10250" width="7.140625" style="90" customWidth="1"/>
    <col min="10251" max="10494" width="9.140625" style="90"/>
    <col min="10495" max="10495" width="33.140625" style="90" bestFit="1" customWidth="1"/>
    <col min="10496" max="10498" width="7.140625" style="90" customWidth="1"/>
    <col min="10499" max="10499" width="5" style="90" customWidth="1"/>
    <col min="10500" max="10502" width="7.140625" style="90" customWidth="1"/>
    <col min="10503" max="10503" width="5" style="90" customWidth="1"/>
    <col min="10504" max="10506" width="7.140625" style="90" customWidth="1"/>
    <col min="10507" max="10750" width="9.140625" style="90"/>
    <col min="10751" max="10751" width="33.140625" style="90" bestFit="1" customWidth="1"/>
    <col min="10752" max="10754" width="7.140625" style="90" customWidth="1"/>
    <col min="10755" max="10755" width="5" style="90" customWidth="1"/>
    <col min="10756" max="10758" width="7.140625" style="90" customWidth="1"/>
    <col min="10759" max="10759" width="5" style="90" customWidth="1"/>
    <col min="10760" max="10762" width="7.140625" style="90" customWidth="1"/>
    <col min="10763" max="11006" width="9.140625" style="90"/>
    <col min="11007" max="11007" width="33.140625" style="90" bestFit="1" customWidth="1"/>
    <col min="11008" max="11010" width="7.140625" style="90" customWidth="1"/>
    <col min="11011" max="11011" width="5" style="90" customWidth="1"/>
    <col min="11012" max="11014" width="7.140625" style="90" customWidth="1"/>
    <col min="11015" max="11015" width="5" style="90" customWidth="1"/>
    <col min="11016" max="11018" width="7.140625" style="90" customWidth="1"/>
    <col min="11019" max="11262" width="9.140625" style="90"/>
    <col min="11263" max="11263" width="33.140625" style="90" bestFit="1" customWidth="1"/>
    <col min="11264" max="11266" width="7.140625" style="90" customWidth="1"/>
    <col min="11267" max="11267" width="5" style="90" customWidth="1"/>
    <col min="11268" max="11270" width="7.140625" style="90" customWidth="1"/>
    <col min="11271" max="11271" width="5" style="90" customWidth="1"/>
    <col min="11272" max="11274" width="7.140625" style="90" customWidth="1"/>
    <col min="11275" max="11518" width="9.140625" style="90"/>
    <col min="11519" max="11519" width="33.140625" style="90" bestFit="1" customWidth="1"/>
    <col min="11520" max="11522" width="7.140625" style="90" customWidth="1"/>
    <col min="11523" max="11523" width="5" style="90" customWidth="1"/>
    <col min="11524" max="11526" width="7.140625" style="90" customWidth="1"/>
    <col min="11527" max="11527" width="5" style="90" customWidth="1"/>
    <col min="11528" max="11530" width="7.140625" style="90" customWidth="1"/>
    <col min="11531" max="11774" width="9.140625" style="90"/>
    <col min="11775" max="11775" width="33.140625" style="90" bestFit="1" customWidth="1"/>
    <col min="11776" max="11778" width="7.140625" style="90" customWidth="1"/>
    <col min="11779" max="11779" width="5" style="90" customWidth="1"/>
    <col min="11780" max="11782" width="7.140625" style="90" customWidth="1"/>
    <col min="11783" max="11783" width="5" style="90" customWidth="1"/>
    <col min="11784" max="11786" width="7.140625" style="90" customWidth="1"/>
    <col min="11787" max="12030" width="9.140625" style="90"/>
    <col min="12031" max="12031" width="33.140625" style="90" bestFit="1" customWidth="1"/>
    <col min="12032" max="12034" width="7.140625" style="90" customWidth="1"/>
    <col min="12035" max="12035" width="5" style="90" customWidth="1"/>
    <col min="12036" max="12038" width="7.140625" style="90" customWidth="1"/>
    <col min="12039" max="12039" width="5" style="90" customWidth="1"/>
    <col min="12040" max="12042" width="7.140625" style="90" customWidth="1"/>
    <col min="12043" max="12286" width="9.140625" style="90"/>
    <col min="12287" max="12287" width="33.140625" style="90" bestFit="1" customWidth="1"/>
    <col min="12288" max="12290" width="7.140625" style="90" customWidth="1"/>
    <col min="12291" max="12291" width="5" style="90" customWidth="1"/>
    <col min="12292" max="12294" width="7.140625" style="90" customWidth="1"/>
    <col min="12295" max="12295" width="5" style="90" customWidth="1"/>
    <col min="12296" max="12298" width="7.140625" style="90" customWidth="1"/>
    <col min="12299" max="12542" width="9.140625" style="90"/>
    <col min="12543" max="12543" width="33.140625" style="90" bestFit="1" customWidth="1"/>
    <col min="12544" max="12546" width="7.140625" style="90" customWidth="1"/>
    <col min="12547" max="12547" width="5" style="90" customWidth="1"/>
    <col min="12548" max="12550" width="7.140625" style="90" customWidth="1"/>
    <col min="12551" max="12551" width="5" style="90" customWidth="1"/>
    <col min="12552" max="12554" width="7.140625" style="90" customWidth="1"/>
    <col min="12555" max="12798" width="9.140625" style="90"/>
    <col min="12799" max="12799" width="33.140625" style="90" bestFit="1" customWidth="1"/>
    <col min="12800" max="12802" width="7.140625" style="90" customWidth="1"/>
    <col min="12803" max="12803" width="5" style="90" customWidth="1"/>
    <col min="12804" max="12806" width="7.140625" style="90" customWidth="1"/>
    <col min="12807" max="12807" width="5" style="90" customWidth="1"/>
    <col min="12808" max="12810" width="7.140625" style="90" customWidth="1"/>
    <col min="12811" max="13054" width="9.140625" style="90"/>
    <col min="13055" max="13055" width="33.140625" style="90" bestFit="1" customWidth="1"/>
    <col min="13056" max="13058" width="7.140625" style="90" customWidth="1"/>
    <col min="13059" max="13059" width="5" style="90" customWidth="1"/>
    <col min="13060" max="13062" width="7.140625" style="90" customWidth="1"/>
    <col min="13063" max="13063" width="5" style="90" customWidth="1"/>
    <col min="13064" max="13066" width="7.140625" style="90" customWidth="1"/>
    <col min="13067" max="13310" width="9.140625" style="90"/>
    <col min="13311" max="13311" width="33.140625" style="90" bestFit="1" customWidth="1"/>
    <col min="13312" max="13314" width="7.140625" style="90" customWidth="1"/>
    <col min="13315" max="13315" width="5" style="90" customWidth="1"/>
    <col min="13316" max="13318" width="7.140625" style="90" customWidth="1"/>
    <col min="13319" max="13319" width="5" style="90" customWidth="1"/>
    <col min="13320" max="13322" width="7.140625" style="90" customWidth="1"/>
    <col min="13323" max="13566" width="9.140625" style="90"/>
    <col min="13567" max="13567" width="33.140625" style="90" bestFit="1" customWidth="1"/>
    <col min="13568" max="13570" width="7.140625" style="90" customWidth="1"/>
    <col min="13571" max="13571" width="5" style="90" customWidth="1"/>
    <col min="13572" max="13574" width="7.140625" style="90" customWidth="1"/>
    <col min="13575" max="13575" width="5" style="90" customWidth="1"/>
    <col min="13576" max="13578" width="7.140625" style="90" customWidth="1"/>
    <col min="13579" max="13822" width="9.140625" style="90"/>
    <col min="13823" max="13823" width="33.140625" style="90" bestFit="1" customWidth="1"/>
    <col min="13824" max="13826" width="7.140625" style="90" customWidth="1"/>
    <col min="13827" max="13827" width="5" style="90" customWidth="1"/>
    <col min="13828" max="13830" width="7.140625" style="90" customWidth="1"/>
    <col min="13831" max="13831" width="5" style="90" customWidth="1"/>
    <col min="13832" max="13834" width="7.140625" style="90" customWidth="1"/>
    <col min="13835" max="14078" width="9.140625" style="90"/>
    <col min="14079" max="14079" width="33.140625" style="90" bestFit="1" customWidth="1"/>
    <col min="14080" max="14082" width="7.140625" style="90" customWidth="1"/>
    <col min="14083" max="14083" width="5" style="90" customWidth="1"/>
    <col min="14084" max="14086" width="7.140625" style="90" customWidth="1"/>
    <col min="14087" max="14087" width="5" style="90" customWidth="1"/>
    <col min="14088" max="14090" width="7.140625" style="90" customWidth="1"/>
    <col min="14091" max="14334" width="9.140625" style="90"/>
    <col min="14335" max="14335" width="33.140625" style="90" bestFit="1" customWidth="1"/>
    <col min="14336" max="14338" width="7.140625" style="90" customWidth="1"/>
    <col min="14339" max="14339" width="5" style="90" customWidth="1"/>
    <col min="14340" max="14342" width="7.140625" style="90" customWidth="1"/>
    <col min="14343" max="14343" width="5" style="90" customWidth="1"/>
    <col min="14344" max="14346" width="7.140625" style="90" customWidth="1"/>
    <col min="14347" max="14590" width="9.140625" style="90"/>
    <col min="14591" max="14591" width="33.140625" style="90" bestFit="1" customWidth="1"/>
    <col min="14592" max="14594" width="7.140625" style="90" customWidth="1"/>
    <col min="14595" max="14595" width="5" style="90" customWidth="1"/>
    <col min="14596" max="14598" width="7.140625" style="90" customWidth="1"/>
    <col min="14599" max="14599" width="5" style="90" customWidth="1"/>
    <col min="14600" max="14602" width="7.140625" style="90" customWidth="1"/>
    <col min="14603" max="14846" width="9.140625" style="90"/>
    <col min="14847" max="14847" width="33.140625" style="90" bestFit="1" customWidth="1"/>
    <col min="14848" max="14850" width="7.140625" style="90" customWidth="1"/>
    <col min="14851" max="14851" width="5" style="90" customWidth="1"/>
    <col min="14852" max="14854" width="7.140625" style="90" customWidth="1"/>
    <col min="14855" max="14855" width="5" style="90" customWidth="1"/>
    <col min="14856" max="14858" width="7.140625" style="90" customWidth="1"/>
    <col min="14859" max="15102" width="9.140625" style="90"/>
    <col min="15103" max="15103" width="33.140625" style="90" bestFit="1" customWidth="1"/>
    <col min="15104" max="15106" width="7.140625" style="90" customWidth="1"/>
    <col min="15107" max="15107" width="5" style="90" customWidth="1"/>
    <col min="15108" max="15110" width="7.140625" style="90" customWidth="1"/>
    <col min="15111" max="15111" width="5" style="90" customWidth="1"/>
    <col min="15112" max="15114" width="7.140625" style="90" customWidth="1"/>
    <col min="15115" max="15358" width="9.140625" style="90"/>
    <col min="15359" max="15359" width="33.140625" style="90" bestFit="1" customWidth="1"/>
    <col min="15360" max="15362" width="7.140625" style="90" customWidth="1"/>
    <col min="15363" max="15363" width="5" style="90" customWidth="1"/>
    <col min="15364" max="15366" width="7.140625" style="90" customWidth="1"/>
    <col min="15367" max="15367" width="5" style="90" customWidth="1"/>
    <col min="15368" max="15370" width="7.140625" style="90" customWidth="1"/>
    <col min="15371" max="15614" width="9.140625" style="90"/>
    <col min="15615" max="15615" width="33.140625" style="90" bestFit="1" customWidth="1"/>
    <col min="15616" max="15618" width="7.140625" style="90" customWidth="1"/>
    <col min="15619" max="15619" width="5" style="90" customWidth="1"/>
    <col min="15620" max="15622" width="7.140625" style="90" customWidth="1"/>
    <col min="15623" max="15623" width="5" style="90" customWidth="1"/>
    <col min="15624" max="15626" width="7.140625" style="90" customWidth="1"/>
    <col min="15627" max="15870" width="9.140625" style="90"/>
    <col min="15871" max="15871" width="33.140625" style="90" bestFit="1" customWidth="1"/>
    <col min="15872" max="15874" width="7.140625" style="90" customWidth="1"/>
    <col min="15875" max="15875" width="5" style="90" customWidth="1"/>
    <col min="15876" max="15878" width="7.140625" style="90" customWidth="1"/>
    <col min="15879" max="15879" width="5" style="90" customWidth="1"/>
    <col min="15880" max="15882" width="7.140625" style="90" customWidth="1"/>
    <col min="15883" max="16126" width="9.140625" style="90"/>
    <col min="16127" max="16127" width="33.140625" style="90" bestFit="1" customWidth="1"/>
    <col min="16128" max="16130" width="7.140625" style="90" customWidth="1"/>
    <col min="16131" max="16131" width="5" style="90" customWidth="1"/>
    <col min="16132" max="16134" width="7.140625" style="90" customWidth="1"/>
    <col min="16135" max="16135" width="5" style="90" customWidth="1"/>
    <col min="16136" max="16138" width="7.140625" style="90" customWidth="1"/>
    <col min="16139" max="16384" width="9.140625" style="90"/>
  </cols>
  <sheetData>
    <row r="1" spans="1:25" ht="15.75" x14ac:dyDescent="0.25">
      <c r="A1" s="18" t="str">
        <f>CONCATENATE("Occupation Table 4  Occuptation composition (SOC2020) by gender, ",B$6,"-",J$6,", ",Info!B5)</f>
        <v>Occupation Table 4  Occuptation composition (SOC2020) by gender, 2015-2035, London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5" x14ac:dyDescent="0.2">
      <c r="A2" s="181" t="s">
        <v>537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5" x14ac:dyDescent="0.2">
      <c r="B3" s="121"/>
      <c r="D3" s="121"/>
      <c r="F3" s="121"/>
      <c r="H3" s="121"/>
      <c r="J3" s="121"/>
      <c r="K3" s="236"/>
      <c r="L3" s="248"/>
      <c r="M3" s="236"/>
    </row>
    <row r="4" spans="1:25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91"/>
      <c r="O4" s="91"/>
      <c r="P4" s="91"/>
      <c r="Q4" s="91"/>
      <c r="R4" s="91"/>
      <c r="S4" s="91"/>
      <c r="T4" s="91" t="s">
        <v>380</v>
      </c>
      <c r="U4" s="91"/>
    </row>
    <row r="5" spans="1:25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5" ht="14.25" customHeight="1" x14ac:dyDescent="0.2">
      <c r="A6" s="241" t="s">
        <v>0</v>
      </c>
      <c r="B6" s="372">
        <v>2015</v>
      </c>
      <c r="C6" s="373"/>
      <c r="D6" s="373"/>
      <c r="E6" s="325"/>
      <c r="F6" s="372">
        <v>2020</v>
      </c>
      <c r="G6" s="373"/>
      <c r="H6" s="373"/>
      <c r="I6" s="325"/>
      <c r="J6" s="372">
        <v>2035</v>
      </c>
      <c r="K6" s="373"/>
      <c r="L6" s="373"/>
      <c r="M6" s="324"/>
      <c r="N6" s="373" t="s">
        <v>99</v>
      </c>
      <c r="O6" s="373"/>
      <c r="P6" s="326"/>
      <c r="Q6" s="373" t="s">
        <v>98</v>
      </c>
      <c r="R6" s="373"/>
      <c r="S6" s="326"/>
      <c r="T6" s="373" t="s">
        <v>32</v>
      </c>
      <c r="U6" s="373"/>
    </row>
    <row r="7" spans="1:25" ht="15" customHeight="1" x14ac:dyDescent="0.2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79"/>
      <c r="T7" s="321" t="str">
        <f>CONCATENATE(B6,"-",RIGHT(F6,2))</f>
        <v>2015-20</v>
      </c>
      <c r="U7" s="321" t="str">
        <f>CONCATENATE(F6,"-",RIGHT(J6,2))</f>
        <v>2020-35</v>
      </c>
    </row>
    <row r="8" spans="1:25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5" x14ac:dyDescent="0.2">
      <c r="A9" s="329" t="str">
        <f>name!D4</f>
        <v>11 Corporate managers and directors</v>
      </c>
      <c r="B9" s="330">
        <v>149.89508010594568</v>
      </c>
      <c r="C9" s="330">
        <v>289.72428530659084</v>
      </c>
      <c r="D9" s="330">
        <f>SUM(B9:C9)</f>
        <v>439.61936541253652</v>
      </c>
      <c r="E9" s="331"/>
      <c r="F9" s="330">
        <v>193.2112580621386</v>
      </c>
      <c r="G9" s="330">
        <v>333.65978022366335</v>
      </c>
      <c r="H9" s="330">
        <f>SUM(F9:G9)</f>
        <v>526.87103828580189</v>
      </c>
      <c r="I9" s="331"/>
      <c r="J9" s="330">
        <v>221.00981813329261</v>
      </c>
      <c r="K9" s="330">
        <v>322.50349407045547</v>
      </c>
      <c r="L9" s="330">
        <f>SUM(J9:K9)</f>
        <v>543.51331220374811</v>
      </c>
      <c r="M9" s="236"/>
      <c r="N9" s="328">
        <f>IF(B9&gt;0,(EXP(LN(F9/B9)/($F$6-$B$6))-1)*100,0)</f>
        <v>5.2080593998338642</v>
      </c>
      <c r="O9" s="328">
        <f>IF(F9&gt;0,(EXP(LN(J9/F9)/($J$6-$F$6))-1)*100,0)</f>
        <v>0.90018037086796454</v>
      </c>
      <c r="P9" s="328"/>
      <c r="Q9" s="328">
        <f>IF(C9&gt;0,(EXP(LN(G9/C9)/($F$6-$B$6))-1)*100,0)</f>
        <v>2.8640908139224042</v>
      </c>
      <c r="R9" s="328">
        <f>IF(G9&gt;0,(EXP(LN(K9/G9)/($J$6-$F$6))-1)*100,0)</f>
        <v>-0.22646239438635085</v>
      </c>
      <c r="S9" s="327"/>
      <c r="T9" s="328">
        <f>IF(D9&gt;0,(EXP(LN(H9/D9)/($F$6-$B$6))-1)*100,0)</f>
        <v>3.6872848639906142</v>
      </c>
      <c r="U9" s="328">
        <f>IF(H9&gt;0,(EXP(LN(L9/H9)/($J$6-$F$6))-1)*100,0)</f>
        <v>0.20753766374690397</v>
      </c>
      <c r="W9" s="93"/>
      <c r="X9" s="93"/>
      <c r="Y9" s="93"/>
    </row>
    <row r="10" spans="1:25" x14ac:dyDescent="0.2">
      <c r="A10" s="329" t="str">
        <f>name!D5</f>
        <v>12 Other managers and proprietors</v>
      </c>
      <c r="B10" s="330">
        <v>69.732070008791112</v>
      </c>
      <c r="C10" s="330">
        <v>117.11055659265449</v>
      </c>
      <c r="D10" s="330">
        <f t="shared" ref="D10:D34" si="0">SUM(B10:C10)</f>
        <v>186.8426266014456</v>
      </c>
      <c r="E10" s="331"/>
      <c r="F10" s="330">
        <v>75.911478411410002</v>
      </c>
      <c r="G10" s="330">
        <v>122.29071568774309</v>
      </c>
      <c r="H10" s="330">
        <f t="shared" ref="H10:H34" si="1">SUM(F10:G10)</f>
        <v>198.20219409915308</v>
      </c>
      <c r="I10" s="331"/>
      <c r="J10" s="330">
        <v>105.64008469111016</v>
      </c>
      <c r="K10" s="330">
        <v>176.2733630917875</v>
      </c>
      <c r="L10" s="330">
        <f t="shared" ref="L10:L34" si="2">SUM(J10:K10)</f>
        <v>281.91344778289766</v>
      </c>
      <c r="M10" s="236"/>
      <c r="N10" s="328">
        <f t="shared" ref="N10:N36" si="3">IF(B10&gt;0,(EXP(LN(F10/B10)/($F$6-$B$6))-1)*100,0)</f>
        <v>1.7126520940899947</v>
      </c>
      <c r="O10" s="328">
        <f t="shared" ref="O10:O36" si="4">IF(F10&gt;0,(EXP(LN(J10/F10)/($J$6-$F$6))-1)*100,0)</f>
        <v>2.2275814285199091</v>
      </c>
      <c r="P10" s="328"/>
      <c r="Q10" s="328">
        <f t="shared" ref="Q10:Q36" si="5">IF(C10&gt;0,(EXP(LN(G10/C10)/($F$6-$B$6))-1)*100,0)</f>
        <v>0.86941179638435617</v>
      </c>
      <c r="R10" s="328">
        <f t="shared" ref="R10:R36" si="6">IF(G10&gt;0,(EXP(LN(K10/G10)/($J$6-$F$6))-1)*100,0)</f>
        <v>2.4675172607969698</v>
      </c>
      <c r="S10" s="327"/>
      <c r="T10" s="328">
        <f t="shared" ref="T10:T36" si="7">IF(D10&gt;0,(EXP(LN(H10/D10)/($F$6-$B$6))-1)*100,0)</f>
        <v>1.187414418731314</v>
      </c>
      <c r="U10" s="328">
        <f t="shared" ref="U10:U36" si="8">IF(H10&gt;0,(EXP(LN(L10/H10)/($J$6-$F$6))-1)*100,0)</f>
        <v>2.3765497394548696</v>
      </c>
    </row>
    <row r="11" spans="1:25" x14ac:dyDescent="0.2">
      <c r="A11" s="329" t="str">
        <f>name!D6</f>
        <v>21 Science, research, engineering and technology professionals</v>
      </c>
      <c r="B11" s="330">
        <v>91.432816761728361</v>
      </c>
      <c r="C11" s="330">
        <v>250.16438166963553</v>
      </c>
      <c r="D11" s="330">
        <f t="shared" si="0"/>
        <v>341.59719843136389</v>
      </c>
      <c r="E11" s="331"/>
      <c r="F11" s="330">
        <v>125.71188292492882</v>
      </c>
      <c r="G11" s="330">
        <v>298.12697471901004</v>
      </c>
      <c r="H11" s="330">
        <f t="shared" si="1"/>
        <v>423.83885764393887</v>
      </c>
      <c r="I11" s="331"/>
      <c r="J11" s="330">
        <v>171.43642039063005</v>
      </c>
      <c r="K11" s="330">
        <v>340.13344152877369</v>
      </c>
      <c r="L11" s="330">
        <f t="shared" si="2"/>
        <v>511.56986191940371</v>
      </c>
      <c r="M11" s="236"/>
      <c r="N11" s="328">
        <f t="shared" si="3"/>
        <v>6.5748785529413878</v>
      </c>
      <c r="O11" s="328">
        <f t="shared" si="4"/>
        <v>2.0896662224294538</v>
      </c>
      <c r="P11" s="328"/>
      <c r="Q11" s="328">
        <f t="shared" si="5"/>
        <v>3.5702822055958539</v>
      </c>
      <c r="R11" s="328">
        <f t="shared" si="6"/>
        <v>0.88266289894638472</v>
      </c>
      <c r="S11" s="327"/>
      <c r="T11" s="328">
        <f t="shared" si="7"/>
        <v>4.408845610371781</v>
      </c>
      <c r="U11" s="328">
        <f t="shared" si="8"/>
        <v>1.2621036641635941</v>
      </c>
    </row>
    <row r="12" spans="1:25" x14ac:dyDescent="0.2">
      <c r="A12" s="329" t="str">
        <f>name!D7</f>
        <v>22 Health professionals</v>
      </c>
      <c r="B12" s="330">
        <v>195.04301057756976</v>
      </c>
      <c r="C12" s="330">
        <v>58.337248749641851</v>
      </c>
      <c r="D12" s="330">
        <f t="shared" si="0"/>
        <v>253.3802593272116</v>
      </c>
      <c r="E12" s="331"/>
      <c r="F12" s="330">
        <v>208.92310028665494</v>
      </c>
      <c r="G12" s="330">
        <v>80.940671499860514</v>
      </c>
      <c r="H12" s="330">
        <f t="shared" si="1"/>
        <v>289.86377178651549</v>
      </c>
      <c r="I12" s="331"/>
      <c r="J12" s="330">
        <v>226.27853429572789</v>
      </c>
      <c r="K12" s="330">
        <v>88.354003956826389</v>
      </c>
      <c r="L12" s="330">
        <f t="shared" si="2"/>
        <v>314.6325382525543</v>
      </c>
      <c r="M12" s="236"/>
      <c r="N12" s="328">
        <f t="shared" si="3"/>
        <v>1.3844183676254396</v>
      </c>
      <c r="O12" s="328">
        <f t="shared" si="4"/>
        <v>0.53342064893227015</v>
      </c>
      <c r="P12" s="328"/>
      <c r="Q12" s="328">
        <f t="shared" si="5"/>
        <v>6.7687533659795518</v>
      </c>
      <c r="R12" s="328">
        <f t="shared" si="6"/>
        <v>0.5859438500393388</v>
      </c>
      <c r="S12" s="327"/>
      <c r="T12" s="328">
        <f t="shared" si="7"/>
        <v>2.7269118245508484</v>
      </c>
      <c r="U12" s="328">
        <f t="shared" si="8"/>
        <v>0.54812575904370497</v>
      </c>
    </row>
    <row r="13" spans="1:25" x14ac:dyDescent="0.2">
      <c r="A13" s="329" t="str">
        <f>name!D8</f>
        <v>23 Teaching and other educational professionals</v>
      </c>
      <c r="B13" s="330">
        <v>228.62734709376494</v>
      </c>
      <c r="C13" s="330">
        <v>114.00588280294517</v>
      </c>
      <c r="D13" s="330">
        <f t="shared" si="0"/>
        <v>342.63322989671008</v>
      </c>
      <c r="E13" s="331"/>
      <c r="F13" s="330">
        <v>248.51803298159714</v>
      </c>
      <c r="G13" s="330">
        <v>122.13950125489181</v>
      </c>
      <c r="H13" s="330">
        <f t="shared" si="1"/>
        <v>370.65753423648897</v>
      </c>
      <c r="I13" s="331"/>
      <c r="J13" s="330">
        <v>263.77143342017195</v>
      </c>
      <c r="K13" s="330">
        <v>141.5460582348768</v>
      </c>
      <c r="L13" s="330">
        <f t="shared" si="2"/>
        <v>405.31749165504874</v>
      </c>
      <c r="M13" s="236"/>
      <c r="N13" s="328">
        <f t="shared" si="3"/>
        <v>1.6824369527084215</v>
      </c>
      <c r="O13" s="328">
        <f t="shared" si="4"/>
        <v>0.39790645668797975</v>
      </c>
      <c r="P13" s="328"/>
      <c r="Q13" s="328">
        <f t="shared" si="5"/>
        <v>1.3878178859648926</v>
      </c>
      <c r="R13" s="328">
        <f t="shared" si="6"/>
        <v>0.98792352461478661</v>
      </c>
      <c r="S13" s="327"/>
      <c r="T13" s="328">
        <f t="shared" si="7"/>
        <v>1.5847860869366626</v>
      </c>
      <c r="U13" s="328">
        <f t="shared" si="8"/>
        <v>0.59772691405812761</v>
      </c>
    </row>
    <row r="14" spans="1:25" x14ac:dyDescent="0.2">
      <c r="A14" s="329" t="str">
        <f>name!D9</f>
        <v>24 Business, media and public service professionals</v>
      </c>
      <c r="B14" s="330">
        <v>245.17339743288704</v>
      </c>
      <c r="C14" s="330">
        <v>333.68171080825311</v>
      </c>
      <c r="D14" s="330">
        <f t="shared" si="0"/>
        <v>578.85510824114021</v>
      </c>
      <c r="E14" s="331"/>
      <c r="F14" s="330">
        <v>327.6375725018558</v>
      </c>
      <c r="G14" s="330">
        <v>402.21555271141125</v>
      </c>
      <c r="H14" s="330">
        <f t="shared" si="1"/>
        <v>729.85312521326705</v>
      </c>
      <c r="I14" s="331"/>
      <c r="J14" s="330">
        <v>413.38638135921474</v>
      </c>
      <c r="K14" s="330">
        <v>497.4584241383788</v>
      </c>
      <c r="L14" s="330">
        <f t="shared" si="2"/>
        <v>910.8448054975936</v>
      </c>
      <c r="M14" s="236"/>
      <c r="N14" s="328">
        <f t="shared" si="3"/>
        <v>5.9702773185586144</v>
      </c>
      <c r="O14" s="328">
        <f t="shared" si="4"/>
        <v>1.5619032887215223</v>
      </c>
      <c r="P14" s="328"/>
      <c r="Q14" s="328">
        <f t="shared" si="5"/>
        <v>3.8066775650362317</v>
      </c>
      <c r="R14" s="328">
        <f t="shared" si="6"/>
        <v>1.4269101298561404</v>
      </c>
      <c r="S14" s="327"/>
      <c r="T14" s="328">
        <f t="shared" si="7"/>
        <v>4.7449564103497321</v>
      </c>
      <c r="U14" s="328">
        <f t="shared" si="8"/>
        <v>1.487820890278968</v>
      </c>
    </row>
    <row r="15" spans="1:25" x14ac:dyDescent="0.2">
      <c r="A15" s="329" t="str">
        <f>name!D10</f>
        <v>31 Science, engineering and technology associate professionals</v>
      </c>
      <c r="B15" s="330">
        <v>27.73824805539364</v>
      </c>
      <c r="C15" s="330">
        <v>54.165515823230848</v>
      </c>
      <c r="D15" s="330">
        <f t="shared" si="0"/>
        <v>81.903763878624488</v>
      </c>
      <c r="E15" s="331"/>
      <c r="F15" s="330">
        <v>36.477725008278355</v>
      </c>
      <c r="G15" s="330">
        <v>68.964557167788442</v>
      </c>
      <c r="H15" s="330">
        <f t="shared" si="1"/>
        <v>105.4422821760668</v>
      </c>
      <c r="I15" s="331"/>
      <c r="J15" s="330">
        <v>44.6760558555317</v>
      </c>
      <c r="K15" s="330">
        <v>59.048593336498342</v>
      </c>
      <c r="L15" s="330">
        <f t="shared" si="2"/>
        <v>103.72464919203004</v>
      </c>
      <c r="M15" s="236"/>
      <c r="N15" s="328">
        <f t="shared" si="3"/>
        <v>5.6305992263348204</v>
      </c>
      <c r="O15" s="328">
        <f t="shared" si="4"/>
        <v>1.3607476610915326</v>
      </c>
      <c r="P15" s="328"/>
      <c r="Q15" s="328">
        <f t="shared" si="5"/>
        <v>4.949557961254869</v>
      </c>
      <c r="R15" s="328">
        <f t="shared" si="6"/>
        <v>-1.029543459614668</v>
      </c>
      <c r="S15" s="327"/>
      <c r="T15" s="328">
        <f t="shared" si="7"/>
        <v>5.1821847618580774</v>
      </c>
      <c r="U15" s="328">
        <f t="shared" si="8"/>
        <v>-0.10943294985111818</v>
      </c>
    </row>
    <row r="16" spans="1:25" x14ac:dyDescent="0.2">
      <c r="A16" s="329" t="str">
        <f>name!D11</f>
        <v>32 Health and social care associate professionals</v>
      </c>
      <c r="B16" s="330">
        <v>71.845630633945149</v>
      </c>
      <c r="C16" s="330">
        <v>24.771426591613032</v>
      </c>
      <c r="D16" s="330">
        <f t="shared" si="0"/>
        <v>96.617057225558185</v>
      </c>
      <c r="E16" s="331"/>
      <c r="F16" s="330">
        <v>79.65582809804873</v>
      </c>
      <c r="G16" s="330">
        <v>30.002280110064834</v>
      </c>
      <c r="H16" s="330">
        <f t="shared" si="1"/>
        <v>109.65810820811356</v>
      </c>
      <c r="I16" s="331"/>
      <c r="J16" s="330">
        <v>85.643486305663671</v>
      </c>
      <c r="K16" s="330">
        <v>27.377706367130934</v>
      </c>
      <c r="L16" s="330">
        <f t="shared" si="2"/>
        <v>113.0211926727946</v>
      </c>
      <c r="M16" s="236"/>
      <c r="N16" s="328">
        <f t="shared" si="3"/>
        <v>2.085354004549389</v>
      </c>
      <c r="O16" s="328">
        <f t="shared" si="4"/>
        <v>0.48435567286426728</v>
      </c>
      <c r="P16" s="328"/>
      <c r="Q16" s="328">
        <f t="shared" si="5"/>
        <v>3.906005312798122</v>
      </c>
      <c r="R16" s="328">
        <f t="shared" si="6"/>
        <v>-0.60843705573574436</v>
      </c>
      <c r="S16" s="327"/>
      <c r="T16" s="328">
        <f t="shared" si="7"/>
        <v>2.5645759397642465</v>
      </c>
      <c r="U16" s="328">
        <f t="shared" si="8"/>
        <v>0.20158910823686593</v>
      </c>
    </row>
    <row r="17" spans="1:21" x14ac:dyDescent="0.2">
      <c r="A17" s="329" t="str">
        <f>name!D12</f>
        <v>33 Protective service occupations</v>
      </c>
      <c r="B17" s="330">
        <v>15.713197161787875</v>
      </c>
      <c r="C17" s="330">
        <v>50.698588031641854</v>
      </c>
      <c r="D17" s="330">
        <f t="shared" si="0"/>
        <v>66.411785193429722</v>
      </c>
      <c r="E17" s="331"/>
      <c r="F17" s="330">
        <v>20.223609305905573</v>
      </c>
      <c r="G17" s="330">
        <v>55.580806419607413</v>
      </c>
      <c r="H17" s="330">
        <f t="shared" si="1"/>
        <v>75.804415725512982</v>
      </c>
      <c r="I17" s="331"/>
      <c r="J17" s="330">
        <v>34.904136417115133</v>
      </c>
      <c r="K17" s="330">
        <v>66.699556927755125</v>
      </c>
      <c r="L17" s="330">
        <f t="shared" si="2"/>
        <v>101.60369334487027</v>
      </c>
      <c r="M17" s="236"/>
      <c r="N17" s="328">
        <f t="shared" si="3"/>
        <v>5.176525872739357</v>
      </c>
      <c r="O17" s="328">
        <f t="shared" si="4"/>
        <v>3.7053628529240656</v>
      </c>
      <c r="P17" s="328"/>
      <c r="Q17" s="328">
        <f t="shared" si="5"/>
        <v>1.8558074329646956</v>
      </c>
      <c r="R17" s="328">
        <f t="shared" si="6"/>
        <v>1.2231559524327418</v>
      </c>
      <c r="S17" s="327"/>
      <c r="T17" s="328">
        <f t="shared" si="7"/>
        <v>2.6809480949242515</v>
      </c>
      <c r="U17" s="328">
        <f t="shared" si="8"/>
        <v>1.9720145703349345</v>
      </c>
    </row>
    <row r="18" spans="1:21" x14ac:dyDescent="0.2">
      <c r="A18" s="329" t="str">
        <f>name!D13</f>
        <v>34 Culture, media and sports occupations</v>
      </c>
      <c r="B18" s="330">
        <v>95.215864480357538</v>
      </c>
      <c r="C18" s="330">
        <v>128.30939833447187</v>
      </c>
      <c r="D18" s="330">
        <f t="shared" si="0"/>
        <v>223.5252628148294</v>
      </c>
      <c r="E18" s="331"/>
      <c r="F18" s="330">
        <v>113.8975938021821</v>
      </c>
      <c r="G18" s="330">
        <v>130.61780057528276</v>
      </c>
      <c r="H18" s="330">
        <f t="shared" si="1"/>
        <v>244.51539437746487</v>
      </c>
      <c r="I18" s="331"/>
      <c r="J18" s="330">
        <v>127.63465316605442</v>
      </c>
      <c r="K18" s="330">
        <v>150.97562132658246</v>
      </c>
      <c r="L18" s="330">
        <f t="shared" si="2"/>
        <v>278.6102744926369</v>
      </c>
      <c r="M18" s="236"/>
      <c r="N18" s="328">
        <f t="shared" si="3"/>
        <v>3.6480287743730466</v>
      </c>
      <c r="O18" s="328">
        <f t="shared" si="4"/>
        <v>0.76203660475424595</v>
      </c>
      <c r="P18" s="328"/>
      <c r="Q18" s="328">
        <f t="shared" si="5"/>
        <v>0.35725632950314168</v>
      </c>
      <c r="R18" s="328">
        <f t="shared" si="6"/>
        <v>0.97029627470870405</v>
      </c>
      <c r="S18" s="327"/>
      <c r="T18" s="328">
        <f t="shared" si="7"/>
        <v>1.8112849230487615</v>
      </c>
      <c r="U18" s="328">
        <f t="shared" si="8"/>
        <v>0.87403537750601057</v>
      </c>
    </row>
    <row r="19" spans="1:21" x14ac:dyDescent="0.2">
      <c r="A19" s="329" t="str">
        <f>name!D14</f>
        <v>35 Business and public service associate professionals</v>
      </c>
      <c r="B19" s="330">
        <v>231.71551272005343</v>
      </c>
      <c r="C19" s="330">
        <v>271.68777631983016</v>
      </c>
      <c r="D19" s="330">
        <f t="shared" si="0"/>
        <v>503.40328903988359</v>
      </c>
      <c r="E19" s="331"/>
      <c r="F19" s="330">
        <v>256.54847708403497</v>
      </c>
      <c r="G19" s="330">
        <v>293.50924945781031</v>
      </c>
      <c r="H19" s="330">
        <f t="shared" si="1"/>
        <v>550.05772654184534</v>
      </c>
      <c r="I19" s="331"/>
      <c r="J19" s="330">
        <v>272.29412819605756</v>
      </c>
      <c r="K19" s="330">
        <v>281.61475364127654</v>
      </c>
      <c r="L19" s="330">
        <f t="shared" si="2"/>
        <v>553.90888183733409</v>
      </c>
      <c r="M19" s="236"/>
      <c r="N19" s="328">
        <f t="shared" si="3"/>
        <v>2.0570160551716565</v>
      </c>
      <c r="O19" s="328">
        <f t="shared" si="4"/>
        <v>0.39789078843326386</v>
      </c>
      <c r="P19" s="328"/>
      <c r="Q19" s="328">
        <f t="shared" si="5"/>
        <v>1.5571111276369676</v>
      </c>
      <c r="R19" s="328">
        <f t="shared" si="6"/>
        <v>-0.27541429039965593</v>
      </c>
      <c r="S19" s="327"/>
      <c r="T19" s="328">
        <f t="shared" si="7"/>
        <v>1.7884366470029001</v>
      </c>
      <c r="U19" s="328">
        <f t="shared" si="8"/>
        <v>4.6523951932231355E-2</v>
      </c>
    </row>
    <row r="20" spans="1:21" x14ac:dyDescent="0.2">
      <c r="A20" s="329" t="str">
        <f>name!D15</f>
        <v>41 Administrative occupations</v>
      </c>
      <c r="B20" s="330">
        <v>294.69789412504809</v>
      </c>
      <c r="C20" s="330">
        <v>105.14087780194761</v>
      </c>
      <c r="D20" s="330">
        <f t="shared" si="0"/>
        <v>399.83877192699572</v>
      </c>
      <c r="E20" s="331"/>
      <c r="F20" s="330">
        <v>284.95583925028347</v>
      </c>
      <c r="G20" s="330">
        <v>118.68398253897189</v>
      </c>
      <c r="H20" s="330">
        <f t="shared" si="1"/>
        <v>403.63982178925539</v>
      </c>
      <c r="I20" s="331"/>
      <c r="J20" s="330">
        <v>225.41853423235102</v>
      </c>
      <c r="K20" s="330">
        <v>110.2056502923174</v>
      </c>
      <c r="L20" s="330">
        <f t="shared" si="2"/>
        <v>335.62418452466841</v>
      </c>
      <c r="M20" s="236"/>
      <c r="N20" s="328">
        <f t="shared" si="3"/>
        <v>-0.67007542768149353</v>
      </c>
      <c r="O20" s="328">
        <f t="shared" si="4"/>
        <v>-1.5503588713311034</v>
      </c>
      <c r="P20" s="328"/>
      <c r="Q20" s="328">
        <f t="shared" si="5"/>
        <v>2.4528638060983265</v>
      </c>
      <c r="R20" s="328">
        <f t="shared" si="6"/>
        <v>-0.49288918394527759</v>
      </c>
      <c r="S20" s="327"/>
      <c r="T20" s="328">
        <f t="shared" si="7"/>
        <v>0.18941024333680723</v>
      </c>
      <c r="U20" s="328">
        <f t="shared" si="8"/>
        <v>-1.2226699966289667</v>
      </c>
    </row>
    <row r="21" spans="1:21" x14ac:dyDescent="0.2">
      <c r="A21" s="329" t="str">
        <f>name!D16</f>
        <v>42 Secretarial and related occupations</v>
      </c>
      <c r="B21" s="330">
        <v>96.463722922722908</v>
      </c>
      <c r="C21" s="330">
        <v>5.4011333891717932</v>
      </c>
      <c r="D21" s="330">
        <f t="shared" si="0"/>
        <v>101.8648563118947</v>
      </c>
      <c r="E21" s="331"/>
      <c r="F21" s="330">
        <v>84.691014313465615</v>
      </c>
      <c r="G21" s="330">
        <v>4.026794647486736</v>
      </c>
      <c r="H21" s="330">
        <f t="shared" si="1"/>
        <v>88.717808960952354</v>
      </c>
      <c r="I21" s="331"/>
      <c r="J21" s="330">
        <v>72.901111113999704</v>
      </c>
      <c r="K21" s="330">
        <v>5.6265027235204599</v>
      </c>
      <c r="L21" s="330">
        <f t="shared" si="2"/>
        <v>78.527613837520164</v>
      </c>
      <c r="M21" s="236"/>
      <c r="N21" s="328">
        <f t="shared" si="3"/>
        <v>-2.5695601806698276</v>
      </c>
      <c r="O21" s="328">
        <f t="shared" si="4"/>
        <v>-0.99439373079101001</v>
      </c>
      <c r="P21" s="328"/>
      <c r="Q21" s="328">
        <f t="shared" si="5"/>
        <v>-5.7036427393492133</v>
      </c>
      <c r="R21" s="328">
        <f t="shared" si="6"/>
        <v>2.2551688176151163</v>
      </c>
      <c r="S21" s="327"/>
      <c r="T21" s="328">
        <f t="shared" si="7"/>
        <v>-2.7258854795242926</v>
      </c>
      <c r="U21" s="328">
        <f t="shared" si="8"/>
        <v>-0.81010293674508294</v>
      </c>
    </row>
    <row r="22" spans="1:21" x14ac:dyDescent="0.2">
      <c r="A22" s="329" t="str">
        <f>name!D17</f>
        <v>51 Skilled agricultural and related trades</v>
      </c>
      <c r="B22" s="330">
        <v>3.9414717082920316</v>
      </c>
      <c r="C22" s="330">
        <v>22.352981876434843</v>
      </c>
      <c r="D22" s="330">
        <f t="shared" si="0"/>
        <v>26.294453584726874</v>
      </c>
      <c r="E22" s="331"/>
      <c r="F22" s="330">
        <v>5.6033761623175016</v>
      </c>
      <c r="G22" s="330">
        <v>19.621410132068203</v>
      </c>
      <c r="H22" s="330">
        <f t="shared" si="1"/>
        <v>25.224786294385705</v>
      </c>
      <c r="I22" s="331"/>
      <c r="J22" s="330">
        <v>9.8419648257619183</v>
      </c>
      <c r="K22" s="330">
        <v>22.633046040719844</v>
      </c>
      <c r="L22" s="330">
        <f t="shared" si="2"/>
        <v>32.47501086648176</v>
      </c>
      <c r="M22" s="236"/>
      <c r="N22" s="328">
        <f t="shared" si="3"/>
        <v>7.2897597847257245</v>
      </c>
      <c r="O22" s="328">
        <f t="shared" si="4"/>
        <v>3.8266405407723747</v>
      </c>
      <c r="P22" s="328"/>
      <c r="Q22" s="328">
        <f t="shared" si="5"/>
        <v>-2.5730852273445848</v>
      </c>
      <c r="R22" s="328">
        <f t="shared" si="6"/>
        <v>0.95647680431452109</v>
      </c>
      <c r="S22" s="327"/>
      <c r="T22" s="328">
        <f t="shared" si="7"/>
        <v>-0.82717854264897639</v>
      </c>
      <c r="U22" s="328">
        <f t="shared" si="8"/>
        <v>1.6985561885287215</v>
      </c>
    </row>
    <row r="23" spans="1:21" x14ac:dyDescent="0.2">
      <c r="A23" s="329" t="str">
        <f>name!D18</f>
        <v>52 Skilled metal, electrical and electronic trades</v>
      </c>
      <c r="B23" s="330">
        <v>2.9987383028687251</v>
      </c>
      <c r="C23" s="330">
        <v>116.88286262513803</v>
      </c>
      <c r="D23" s="330">
        <f t="shared" si="0"/>
        <v>119.88160092800676</v>
      </c>
      <c r="E23" s="331"/>
      <c r="F23" s="330">
        <v>3.9329490025669611</v>
      </c>
      <c r="G23" s="330">
        <v>107.20776660792261</v>
      </c>
      <c r="H23" s="330">
        <f t="shared" si="1"/>
        <v>111.14071561048956</v>
      </c>
      <c r="I23" s="331"/>
      <c r="J23" s="330">
        <v>10.021761969600169</v>
      </c>
      <c r="K23" s="330">
        <v>101.91120735305469</v>
      </c>
      <c r="L23" s="330">
        <f t="shared" si="2"/>
        <v>111.93296932265486</v>
      </c>
      <c r="M23" s="236"/>
      <c r="N23" s="328">
        <f t="shared" si="3"/>
        <v>5.573750382906506</v>
      </c>
      <c r="O23" s="328">
        <f t="shared" si="4"/>
        <v>6.4343268766864581</v>
      </c>
      <c r="P23" s="328"/>
      <c r="Q23" s="328">
        <f t="shared" si="5"/>
        <v>-1.7132257537663564</v>
      </c>
      <c r="R23" s="328">
        <f t="shared" si="6"/>
        <v>-0.33720868809610227</v>
      </c>
      <c r="S23" s="327"/>
      <c r="T23" s="328">
        <f t="shared" si="7"/>
        <v>-1.5027441930260177</v>
      </c>
      <c r="U23" s="328">
        <f t="shared" si="8"/>
        <v>4.7365195685378225E-2</v>
      </c>
    </row>
    <row r="24" spans="1:21" x14ac:dyDescent="0.2">
      <c r="A24" s="329" t="str">
        <f>name!D19</f>
        <v>53 Skilled construction and building trades</v>
      </c>
      <c r="B24" s="330">
        <v>4.5358506878609983</v>
      </c>
      <c r="C24" s="330">
        <v>158.59780417392574</v>
      </c>
      <c r="D24" s="330">
        <f t="shared" si="0"/>
        <v>163.13365486178674</v>
      </c>
      <c r="E24" s="331"/>
      <c r="F24" s="330">
        <v>5.3999581690327689</v>
      </c>
      <c r="G24" s="330">
        <v>106.85939606771495</v>
      </c>
      <c r="H24" s="330">
        <f t="shared" si="1"/>
        <v>112.25935423674773</v>
      </c>
      <c r="I24" s="331"/>
      <c r="J24" s="330">
        <v>8.629541632449321</v>
      </c>
      <c r="K24" s="330">
        <v>128.84409482063219</v>
      </c>
      <c r="L24" s="330">
        <f t="shared" si="2"/>
        <v>137.47363645308153</v>
      </c>
      <c r="M24" s="236"/>
      <c r="N24" s="328">
        <f t="shared" si="3"/>
        <v>3.5491001347740303</v>
      </c>
      <c r="O24" s="328">
        <f t="shared" si="4"/>
        <v>3.1746859260665783</v>
      </c>
      <c r="P24" s="328"/>
      <c r="Q24" s="328">
        <f t="shared" si="5"/>
        <v>-7.5933749126401384</v>
      </c>
      <c r="R24" s="328">
        <f t="shared" si="6"/>
        <v>1.2550720183295283</v>
      </c>
      <c r="S24" s="327"/>
      <c r="T24" s="328">
        <f t="shared" si="7"/>
        <v>-7.2026029145159098</v>
      </c>
      <c r="U24" s="328">
        <f t="shared" si="8"/>
        <v>1.3599665941594008</v>
      </c>
    </row>
    <row r="25" spans="1:21" x14ac:dyDescent="0.2">
      <c r="A25" s="329" t="str">
        <f>name!D20</f>
        <v>54 Textiles, printing and other skilled trades</v>
      </c>
      <c r="B25" s="330">
        <v>36.414234950094183</v>
      </c>
      <c r="C25" s="330">
        <v>92.570900007369474</v>
      </c>
      <c r="D25" s="330">
        <f t="shared" si="0"/>
        <v>128.98513495746366</v>
      </c>
      <c r="E25" s="331"/>
      <c r="F25" s="330">
        <v>36.922821092312574</v>
      </c>
      <c r="G25" s="330">
        <v>76.255766185162841</v>
      </c>
      <c r="H25" s="330">
        <f t="shared" si="1"/>
        <v>113.17858727747542</v>
      </c>
      <c r="I25" s="331"/>
      <c r="J25" s="330">
        <v>38.764216131752939</v>
      </c>
      <c r="K25" s="330">
        <v>87.919138383207695</v>
      </c>
      <c r="L25" s="330">
        <f t="shared" si="2"/>
        <v>126.68335451496063</v>
      </c>
      <c r="M25" s="236"/>
      <c r="N25" s="328">
        <f t="shared" si="3"/>
        <v>0.27778610084649991</v>
      </c>
      <c r="O25" s="328">
        <f t="shared" si="4"/>
        <v>0.32497850567949627</v>
      </c>
      <c r="P25" s="328"/>
      <c r="Q25" s="328">
        <f t="shared" si="5"/>
        <v>-3.8034181402365141</v>
      </c>
      <c r="R25" s="328">
        <f t="shared" si="6"/>
        <v>0.95334549635923693</v>
      </c>
      <c r="S25" s="327"/>
      <c r="T25" s="328">
        <f t="shared" si="7"/>
        <v>-2.5807187082414473</v>
      </c>
      <c r="U25" s="328">
        <f t="shared" si="8"/>
        <v>0.75432219661020206</v>
      </c>
    </row>
    <row r="26" spans="1:21" x14ac:dyDescent="0.2">
      <c r="A26" s="329" t="str">
        <f>name!D21</f>
        <v>61 Caring personal service occupations</v>
      </c>
      <c r="B26" s="330">
        <v>194.71683140776176</v>
      </c>
      <c r="C26" s="330">
        <v>58.287637311930169</v>
      </c>
      <c r="D26" s="330">
        <f t="shared" si="0"/>
        <v>253.00446871969194</v>
      </c>
      <c r="E26" s="331"/>
      <c r="F26" s="330">
        <v>190.1175312585149</v>
      </c>
      <c r="G26" s="330">
        <v>62.045678665137338</v>
      </c>
      <c r="H26" s="330">
        <f t="shared" si="1"/>
        <v>252.16320992365223</v>
      </c>
      <c r="I26" s="331"/>
      <c r="J26" s="330">
        <v>202.98332386679903</v>
      </c>
      <c r="K26" s="330">
        <v>85.695145616288457</v>
      </c>
      <c r="L26" s="330">
        <f t="shared" si="2"/>
        <v>288.6784694830875</v>
      </c>
      <c r="M26" s="236"/>
      <c r="N26" s="328">
        <f t="shared" si="3"/>
        <v>-0.47693682832399276</v>
      </c>
      <c r="O26" s="328">
        <f t="shared" si="4"/>
        <v>0.43749663934107286</v>
      </c>
      <c r="P26" s="328"/>
      <c r="Q26" s="328">
        <f t="shared" si="5"/>
        <v>1.2574573076546303</v>
      </c>
      <c r="R26" s="328">
        <f t="shared" si="6"/>
        <v>2.1761761207754082</v>
      </c>
      <c r="S26" s="327"/>
      <c r="T26" s="328">
        <f t="shared" si="7"/>
        <v>-6.6590122866372337E-2</v>
      </c>
      <c r="U26" s="328">
        <f t="shared" si="8"/>
        <v>0.90565627312544361</v>
      </c>
    </row>
    <row r="27" spans="1:21" x14ac:dyDescent="0.2">
      <c r="A27" s="329" t="str">
        <f>name!D22</f>
        <v>62 Leisure, travel and related personal service occupations</v>
      </c>
      <c r="B27" s="330">
        <v>66.568767092691232</v>
      </c>
      <c r="C27" s="330">
        <v>33.616432888697418</v>
      </c>
      <c r="D27" s="330">
        <f t="shared" si="0"/>
        <v>100.18519998138865</v>
      </c>
      <c r="E27" s="331"/>
      <c r="F27" s="330">
        <v>61.880894529990613</v>
      </c>
      <c r="G27" s="330">
        <v>37.611078628047764</v>
      </c>
      <c r="H27" s="330">
        <f t="shared" si="1"/>
        <v>99.491973158038377</v>
      </c>
      <c r="I27" s="331"/>
      <c r="J27" s="330">
        <v>69.491279827508109</v>
      </c>
      <c r="K27" s="330">
        <v>44.288517087656423</v>
      </c>
      <c r="L27" s="330">
        <f t="shared" si="2"/>
        <v>113.77979691516452</v>
      </c>
      <c r="M27" s="236"/>
      <c r="N27" s="328">
        <f t="shared" si="3"/>
        <v>-1.4498671850099454</v>
      </c>
      <c r="O27" s="328">
        <f t="shared" si="4"/>
        <v>0.77626270442636702</v>
      </c>
      <c r="P27" s="328"/>
      <c r="Q27" s="328">
        <f t="shared" si="5"/>
        <v>2.2710776396144494</v>
      </c>
      <c r="R27" s="328">
        <f t="shared" si="6"/>
        <v>1.0954686887619358</v>
      </c>
      <c r="S27" s="327"/>
      <c r="T27" s="328">
        <f t="shared" si="7"/>
        <v>-0.13877369678615414</v>
      </c>
      <c r="U27" s="328">
        <f t="shared" si="8"/>
        <v>0.89860008763826826</v>
      </c>
    </row>
    <row r="28" spans="1:21" x14ac:dyDescent="0.2">
      <c r="A28" s="329" t="str">
        <f>name!D23</f>
        <v>63 Community and civil enforcement occupations</v>
      </c>
      <c r="B28" s="330">
        <v>1.5342402266067612</v>
      </c>
      <c r="C28" s="330">
        <v>4.4040554952449291</v>
      </c>
      <c r="D28" s="330">
        <f t="shared" si="0"/>
        <v>5.9382957218516905</v>
      </c>
      <c r="E28" s="331"/>
      <c r="F28" s="330">
        <v>1.6232016209666802</v>
      </c>
      <c r="G28" s="330">
        <v>5.1158248933133859</v>
      </c>
      <c r="H28" s="330">
        <f t="shared" si="1"/>
        <v>6.7390265142800665</v>
      </c>
      <c r="I28" s="331"/>
      <c r="J28" s="330">
        <v>2.1665531938305342</v>
      </c>
      <c r="K28" s="330">
        <v>3.8232909092169653</v>
      </c>
      <c r="L28" s="330">
        <f>SUM(J28:K28)</f>
        <v>5.9898441030474991</v>
      </c>
      <c r="M28" s="236"/>
      <c r="N28" s="328">
        <f t="shared" si="3"/>
        <v>1.1336823397904094</v>
      </c>
      <c r="O28" s="328">
        <f t="shared" si="4"/>
        <v>1.9435592821052117</v>
      </c>
      <c r="P28" s="328"/>
      <c r="Q28" s="328">
        <f t="shared" si="5"/>
        <v>3.041596187385931</v>
      </c>
      <c r="R28" s="328">
        <f t="shared" si="6"/>
        <v>-1.9227880645693585</v>
      </c>
      <c r="S28" s="327"/>
      <c r="T28" s="328">
        <f t="shared" si="7"/>
        <v>2.5621387633103732</v>
      </c>
      <c r="U28" s="328">
        <f t="shared" si="8"/>
        <v>-0.78258900030340195</v>
      </c>
    </row>
    <row r="29" spans="1:21" x14ac:dyDescent="0.2">
      <c r="A29" s="329" t="str">
        <f>name!D24</f>
        <v>71 Sales occupations</v>
      </c>
      <c r="B29" s="330">
        <v>167.32852537124563</v>
      </c>
      <c r="C29" s="330">
        <v>150.33066372150327</v>
      </c>
      <c r="D29" s="330">
        <f t="shared" si="0"/>
        <v>317.65918909274887</v>
      </c>
      <c r="E29" s="331"/>
      <c r="F29" s="330">
        <v>138.60964347482704</v>
      </c>
      <c r="G29" s="330">
        <v>138.50049352932692</v>
      </c>
      <c r="H29" s="330">
        <f t="shared" si="1"/>
        <v>277.11013700415396</v>
      </c>
      <c r="I29" s="331"/>
      <c r="J29" s="330">
        <v>114.75958761810087</v>
      </c>
      <c r="K29" s="330">
        <v>128.92592396575583</v>
      </c>
      <c r="L29" s="330">
        <f t="shared" si="2"/>
        <v>243.68551158385668</v>
      </c>
      <c r="M29" s="236"/>
      <c r="N29" s="328">
        <f t="shared" si="3"/>
        <v>-3.6959187151608175</v>
      </c>
      <c r="O29" s="328">
        <f t="shared" si="4"/>
        <v>-1.2509251600257176</v>
      </c>
      <c r="P29" s="328"/>
      <c r="Q29" s="328">
        <f t="shared" si="5"/>
        <v>-1.6259051926994394</v>
      </c>
      <c r="R29" s="328">
        <f t="shared" si="6"/>
        <v>-0.47643398488815825</v>
      </c>
      <c r="S29" s="327"/>
      <c r="T29" s="328">
        <f t="shared" si="7"/>
        <v>-2.6943186427201615</v>
      </c>
      <c r="U29" s="328">
        <f t="shared" si="8"/>
        <v>-0.85324916714626386</v>
      </c>
    </row>
    <row r="30" spans="1:21" x14ac:dyDescent="0.2">
      <c r="A30" s="329" t="str">
        <f>name!D25</f>
        <v>72 Customer service occupations</v>
      </c>
      <c r="B30" s="330">
        <v>49.106770236459312</v>
      </c>
      <c r="C30" s="330">
        <v>29.008701792190312</v>
      </c>
      <c r="D30" s="330">
        <f t="shared" si="0"/>
        <v>78.11547202864962</v>
      </c>
      <c r="E30" s="331"/>
      <c r="F30" s="330">
        <v>53.643377840271313</v>
      </c>
      <c r="G30" s="330">
        <v>31.270953409660962</v>
      </c>
      <c r="H30" s="330">
        <f t="shared" si="1"/>
        <v>84.914331249932275</v>
      </c>
      <c r="I30" s="331"/>
      <c r="J30" s="330">
        <v>70.949652059567171</v>
      </c>
      <c r="K30" s="330">
        <v>46.796495642558007</v>
      </c>
      <c r="L30" s="330">
        <f t="shared" si="2"/>
        <v>117.74614770212517</v>
      </c>
      <c r="M30" s="236"/>
      <c r="N30" s="328">
        <f t="shared" si="3"/>
        <v>1.7829301051099922</v>
      </c>
      <c r="O30" s="328">
        <f t="shared" si="4"/>
        <v>1.8815656283360793</v>
      </c>
      <c r="P30" s="328"/>
      <c r="Q30" s="328">
        <f t="shared" si="5"/>
        <v>1.5132111122110103</v>
      </c>
      <c r="R30" s="328">
        <f t="shared" si="6"/>
        <v>2.7238955640301876</v>
      </c>
      <c r="S30" s="327"/>
      <c r="T30" s="328">
        <f t="shared" si="7"/>
        <v>1.683101969608547</v>
      </c>
      <c r="U30" s="328">
        <f t="shared" si="8"/>
        <v>2.2031734214792653</v>
      </c>
    </row>
    <row r="31" spans="1:21" x14ac:dyDescent="0.2">
      <c r="A31" s="329" t="str">
        <f>name!D26</f>
        <v>81 Process, plant and machine operatives</v>
      </c>
      <c r="B31" s="330">
        <v>8.3834082784517214</v>
      </c>
      <c r="C31" s="330">
        <v>27.051044524149052</v>
      </c>
      <c r="D31" s="330">
        <f t="shared" si="0"/>
        <v>35.434452802600774</v>
      </c>
      <c r="E31" s="331"/>
      <c r="F31" s="330">
        <v>8.2676979448513812</v>
      </c>
      <c r="G31" s="330">
        <v>22.838175173839751</v>
      </c>
      <c r="H31" s="330">
        <f t="shared" si="1"/>
        <v>31.105873118691132</v>
      </c>
      <c r="I31" s="331"/>
      <c r="J31" s="330">
        <v>12.698200836900941</v>
      </c>
      <c r="K31" s="330">
        <v>28.3007677417176</v>
      </c>
      <c r="L31" s="330">
        <f t="shared" si="2"/>
        <v>40.998968578618545</v>
      </c>
      <c r="M31" s="236"/>
      <c r="N31" s="328">
        <f t="shared" si="3"/>
        <v>-0.27758281443039934</v>
      </c>
      <c r="O31" s="328">
        <f t="shared" si="4"/>
        <v>2.9020055827278846</v>
      </c>
      <c r="P31" s="328"/>
      <c r="Q31" s="328">
        <f t="shared" si="5"/>
        <v>-3.3291644975093848</v>
      </c>
      <c r="R31" s="328">
        <f t="shared" si="6"/>
        <v>1.4399721170021085</v>
      </c>
      <c r="S31" s="327"/>
      <c r="T31" s="328">
        <f t="shared" si="7"/>
        <v>-2.5721019221460195</v>
      </c>
      <c r="U31" s="328">
        <f t="shared" si="8"/>
        <v>1.8580526599982106</v>
      </c>
    </row>
    <row r="32" spans="1:21" x14ac:dyDescent="0.2">
      <c r="A32" s="329" t="str">
        <f>name!D27</f>
        <v>82 Transport and mobile machine drivers and operatives</v>
      </c>
      <c r="B32" s="330">
        <v>11.998033486734652</v>
      </c>
      <c r="C32" s="330">
        <v>170.2387838592017</v>
      </c>
      <c r="D32" s="330">
        <f t="shared" si="0"/>
        <v>182.23681734593634</v>
      </c>
      <c r="E32" s="331"/>
      <c r="F32" s="330">
        <v>11.529032969608407</v>
      </c>
      <c r="G32" s="330">
        <v>171.91671297046491</v>
      </c>
      <c r="H32" s="330">
        <f t="shared" si="1"/>
        <v>183.44574594007332</v>
      </c>
      <c r="I32" s="331"/>
      <c r="J32" s="330">
        <v>18.951751213626267</v>
      </c>
      <c r="K32" s="330">
        <v>182.82181913043752</v>
      </c>
      <c r="L32" s="330">
        <f t="shared" si="2"/>
        <v>201.77357034406378</v>
      </c>
      <c r="M32" s="236"/>
      <c r="N32" s="328">
        <f t="shared" si="3"/>
        <v>-0.79431452257654467</v>
      </c>
      <c r="O32" s="328">
        <f t="shared" si="4"/>
        <v>3.3690276425737409</v>
      </c>
      <c r="P32" s="328"/>
      <c r="Q32" s="328">
        <f t="shared" si="5"/>
        <v>0.19635392591101919</v>
      </c>
      <c r="R32" s="328">
        <f t="shared" si="6"/>
        <v>0.41085423432036805</v>
      </c>
      <c r="S32" s="327"/>
      <c r="T32" s="328">
        <f t="shared" si="7"/>
        <v>0.13232599088603969</v>
      </c>
      <c r="U32" s="328">
        <f t="shared" si="8"/>
        <v>0.63686721950471092</v>
      </c>
    </row>
    <row r="33" spans="1:21" x14ac:dyDescent="0.2">
      <c r="A33" s="329" t="str">
        <f>name!D28</f>
        <v>91 Elementary trades and related occupations</v>
      </c>
      <c r="B33" s="330">
        <v>8.5569924183192541</v>
      </c>
      <c r="C33" s="330">
        <v>35.561549669945471</v>
      </c>
      <c r="D33" s="330">
        <f t="shared" si="0"/>
        <v>44.118542088264725</v>
      </c>
      <c r="E33" s="331"/>
      <c r="F33" s="330">
        <v>6.2739035382570671</v>
      </c>
      <c r="G33" s="330">
        <v>29.578737470920093</v>
      </c>
      <c r="H33" s="330">
        <f t="shared" si="1"/>
        <v>35.852641009177162</v>
      </c>
      <c r="I33" s="331"/>
      <c r="J33" s="330">
        <v>5.8205856090380488</v>
      </c>
      <c r="K33" s="330">
        <v>21.438359168958346</v>
      </c>
      <c r="L33" s="330">
        <f t="shared" si="2"/>
        <v>27.258944777996394</v>
      </c>
      <c r="M33" s="236"/>
      <c r="N33" s="328">
        <f t="shared" si="3"/>
        <v>-6.0182910340361717</v>
      </c>
      <c r="O33" s="328">
        <f t="shared" si="4"/>
        <v>-0.49873787208318809</v>
      </c>
      <c r="P33" s="328"/>
      <c r="Q33" s="328">
        <f t="shared" si="5"/>
        <v>-3.6171440315648007</v>
      </c>
      <c r="R33" s="328">
        <f t="shared" si="6"/>
        <v>-2.1229674243712915</v>
      </c>
      <c r="S33" s="327"/>
      <c r="T33" s="328">
        <f t="shared" si="7"/>
        <v>-4.0643549512795918</v>
      </c>
      <c r="U33" s="328">
        <f t="shared" si="8"/>
        <v>-1.8103167248515573</v>
      </c>
    </row>
    <row r="34" spans="1:21" x14ac:dyDescent="0.2">
      <c r="A34" s="329" t="str">
        <f>name!D29</f>
        <v>92 Elementary administration and service occupations</v>
      </c>
      <c r="B34" s="330">
        <v>255.18834375248764</v>
      </c>
      <c r="C34" s="330">
        <v>246.88779983687851</v>
      </c>
      <c r="D34" s="330">
        <f t="shared" si="0"/>
        <v>502.07614358936615</v>
      </c>
      <c r="E34" s="331"/>
      <c r="F34" s="330">
        <v>243.98320036302303</v>
      </c>
      <c r="G34" s="330">
        <v>243.6493392608335</v>
      </c>
      <c r="H34" s="330">
        <f t="shared" si="1"/>
        <v>487.63253962385653</v>
      </c>
      <c r="I34" s="331"/>
      <c r="J34" s="330">
        <v>244.05380363711831</v>
      </c>
      <c r="K34" s="330">
        <v>255.39302451210574</v>
      </c>
      <c r="L34" s="330">
        <f t="shared" si="2"/>
        <v>499.44682814922407</v>
      </c>
      <c r="M34" s="236"/>
      <c r="N34" s="328">
        <f t="shared" si="3"/>
        <v>-0.89402964499624149</v>
      </c>
      <c r="O34" s="328">
        <f t="shared" si="4"/>
        <v>1.9289235569930341E-3</v>
      </c>
      <c r="P34" s="328"/>
      <c r="Q34" s="328">
        <f t="shared" si="5"/>
        <v>-0.26373010556686172</v>
      </c>
      <c r="R34" s="328">
        <f t="shared" si="6"/>
        <v>0.31431676758704175</v>
      </c>
      <c r="S34" s="327"/>
      <c r="T34" s="328">
        <f t="shared" si="7"/>
        <v>-0.58209241903668385</v>
      </c>
      <c r="U34" s="328">
        <f t="shared" si="8"/>
        <v>0.15972083562194594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7"/>
      <c r="O35" s="328"/>
      <c r="P35" s="328"/>
      <c r="Q35" s="328"/>
      <c r="R35" s="328"/>
      <c r="S35" s="327"/>
      <c r="T35" s="328"/>
      <c r="U35" s="328"/>
    </row>
    <row r="36" spans="1:21" x14ac:dyDescent="0.2">
      <c r="A36" s="332" t="str">
        <f>name!D3</f>
        <v>All occupations</v>
      </c>
      <c r="B36" s="333">
        <f>SUM(B9:B34)</f>
        <v>2624.5659999998693</v>
      </c>
      <c r="C36" s="333">
        <f t="shared" ref="C36:D36" si="9">SUM(C9:C34)</f>
        <v>2948.9900000042367</v>
      </c>
      <c r="D36" s="333">
        <f t="shared" si="9"/>
        <v>5573.5560000041069</v>
      </c>
      <c r="E36" s="333"/>
      <c r="F36" s="333">
        <f>SUM(F9:F34)</f>
        <v>2824.1509999973246</v>
      </c>
      <c r="G36" s="333">
        <f t="shared" ref="G36:H36" si="10">SUM(G9:G34)</f>
        <v>3113.2300000080063</v>
      </c>
      <c r="H36" s="333">
        <f t="shared" si="10"/>
        <v>5937.3810000053318</v>
      </c>
      <c r="I36" s="333"/>
      <c r="J36" s="333">
        <f>SUM(J9:J34)</f>
        <v>3074.1269999989736</v>
      </c>
      <c r="K36" s="333">
        <f t="shared" ref="K36:L36" si="11">SUM(K9:K34)</f>
        <v>3406.6080000084894</v>
      </c>
      <c r="L36" s="333">
        <f t="shared" si="11"/>
        <v>6480.7350000074639</v>
      </c>
      <c r="M36" s="258"/>
      <c r="N36" s="334">
        <f t="shared" si="3"/>
        <v>1.4766409803091962</v>
      </c>
      <c r="O36" s="334">
        <f t="shared" si="4"/>
        <v>0.56702265602246449</v>
      </c>
      <c r="P36" s="334"/>
      <c r="Q36" s="334">
        <f t="shared" si="5"/>
        <v>1.0898568103223205</v>
      </c>
      <c r="R36" s="334">
        <f t="shared" si="6"/>
        <v>0.60218121418280646</v>
      </c>
      <c r="S36" s="334"/>
      <c r="T36" s="334">
        <f t="shared" si="7"/>
        <v>1.2727282491479697</v>
      </c>
      <c r="U36" s="334">
        <f t="shared" si="8"/>
        <v>0.58547928810914751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2"/>
      <c r="C40" s="372"/>
      <c r="D40" s="372"/>
      <c r="E40" s="253"/>
      <c r="F40" s="372"/>
      <c r="G40" s="372"/>
      <c r="H40" s="372"/>
      <c r="I40" s="253"/>
      <c r="J40" s="372"/>
      <c r="K40" s="372"/>
      <c r="L40" s="372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2"/>
      <c r="C57" s="372"/>
      <c r="D57" s="372"/>
      <c r="E57" s="253"/>
      <c r="F57" s="372"/>
      <c r="G57" s="372"/>
      <c r="H57" s="372"/>
      <c r="I57" s="253"/>
      <c r="J57" s="372"/>
      <c r="K57" s="372"/>
      <c r="L57" s="372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2"/>
      <c r="C74" s="372"/>
      <c r="D74" s="372"/>
      <c r="E74" s="253"/>
      <c r="F74" s="372"/>
      <c r="G74" s="372"/>
      <c r="H74" s="372"/>
      <c r="I74" s="253"/>
      <c r="J74" s="372"/>
      <c r="K74" s="372"/>
      <c r="L74" s="372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2"/>
      <c r="C91" s="372"/>
      <c r="D91" s="372"/>
      <c r="E91" s="253"/>
      <c r="F91" s="372"/>
      <c r="G91" s="372"/>
      <c r="H91" s="372"/>
      <c r="I91" s="253"/>
      <c r="J91" s="372"/>
      <c r="K91" s="372"/>
      <c r="L91" s="372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2"/>
      <c r="C108" s="372"/>
      <c r="D108" s="372"/>
      <c r="E108" s="253"/>
      <c r="F108" s="372"/>
      <c r="G108" s="372"/>
      <c r="H108" s="372"/>
      <c r="I108" s="253"/>
      <c r="J108" s="372"/>
      <c r="K108" s="372"/>
      <c r="L108" s="372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2"/>
      <c r="C125" s="372"/>
      <c r="D125" s="372"/>
      <c r="E125" s="253"/>
      <c r="F125" s="372"/>
      <c r="G125" s="372"/>
      <c r="H125" s="372"/>
      <c r="I125" s="253"/>
      <c r="J125" s="372"/>
      <c r="K125" s="372"/>
      <c r="L125" s="372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2"/>
      <c r="C142" s="372"/>
      <c r="D142" s="372"/>
      <c r="E142" s="253"/>
      <c r="F142" s="372"/>
      <c r="G142" s="372"/>
      <c r="H142" s="372"/>
      <c r="I142" s="253"/>
      <c r="J142" s="372"/>
      <c r="K142" s="372"/>
      <c r="L142" s="372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2"/>
      <c r="C159" s="372"/>
      <c r="D159" s="372"/>
      <c r="E159" s="253"/>
      <c r="F159" s="372"/>
      <c r="G159" s="372"/>
      <c r="H159" s="372"/>
      <c r="I159" s="253"/>
      <c r="J159" s="372"/>
      <c r="K159" s="372"/>
      <c r="L159" s="372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2"/>
      <c r="C176" s="372"/>
      <c r="D176" s="372"/>
      <c r="E176" s="253"/>
      <c r="F176" s="372"/>
      <c r="G176" s="372"/>
      <c r="H176" s="372"/>
      <c r="I176" s="253"/>
      <c r="J176" s="372"/>
      <c r="K176" s="372"/>
      <c r="L176" s="372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2"/>
      <c r="C193" s="372"/>
      <c r="D193" s="372"/>
      <c r="E193" s="253"/>
      <c r="F193" s="372"/>
      <c r="G193" s="372"/>
      <c r="H193" s="372"/>
      <c r="I193" s="253"/>
      <c r="J193" s="372"/>
      <c r="K193" s="372"/>
      <c r="L193" s="372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2"/>
      <c r="C210" s="372"/>
      <c r="D210" s="372"/>
      <c r="E210" s="253"/>
      <c r="F210" s="372"/>
      <c r="G210" s="372"/>
      <c r="H210" s="372"/>
      <c r="I210" s="253"/>
      <c r="J210" s="372"/>
      <c r="K210" s="372"/>
      <c r="L210" s="372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2"/>
      <c r="C227" s="372"/>
      <c r="D227" s="372"/>
      <c r="E227" s="253"/>
      <c r="F227" s="372"/>
      <c r="G227" s="372"/>
      <c r="H227" s="372"/>
      <c r="I227" s="253"/>
      <c r="J227" s="372"/>
      <c r="K227" s="372"/>
      <c r="L227" s="372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2"/>
      <c r="C244" s="372"/>
      <c r="D244" s="372"/>
      <c r="E244" s="253"/>
      <c r="F244" s="372"/>
      <c r="G244" s="372"/>
      <c r="H244" s="372"/>
      <c r="I244" s="253"/>
      <c r="J244" s="372"/>
      <c r="K244" s="372"/>
      <c r="L244" s="372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2"/>
      <c r="C261" s="372"/>
      <c r="D261" s="372"/>
      <c r="E261" s="253"/>
      <c r="F261" s="372"/>
      <c r="G261" s="372"/>
      <c r="H261" s="372"/>
      <c r="I261" s="253"/>
      <c r="J261" s="372"/>
      <c r="K261" s="372"/>
      <c r="L261" s="372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2"/>
      <c r="C278" s="372"/>
      <c r="D278" s="372"/>
      <c r="E278" s="253"/>
      <c r="F278" s="372"/>
      <c r="G278" s="372"/>
      <c r="H278" s="372"/>
      <c r="I278" s="253"/>
      <c r="J278" s="372"/>
      <c r="K278" s="372"/>
      <c r="L278" s="372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2"/>
      <c r="C295" s="372"/>
      <c r="D295" s="372"/>
      <c r="E295" s="253"/>
      <c r="F295" s="372"/>
      <c r="G295" s="372"/>
      <c r="H295" s="372"/>
      <c r="I295" s="253"/>
      <c r="J295" s="372"/>
      <c r="K295" s="372"/>
      <c r="L295" s="372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2"/>
      <c r="C312" s="372"/>
      <c r="D312" s="372"/>
      <c r="E312" s="253"/>
      <c r="F312" s="372"/>
      <c r="G312" s="372"/>
      <c r="H312" s="372"/>
      <c r="I312" s="253"/>
      <c r="J312" s="372"/>
      <c r="K312" s="372"/>
      <c r="L312" s="372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2"/>
      <c r="C329" s="372"/>
      <c r="D329" s="372"/>
      <c r="E329" s="253"/>
      <c r="F329" s="372"/>
      <c r="G329" s="372"/>
      <c r="H329" s="372"/>
      <c r="I329" s="253"/>
      <c r="J329" s="372"/>
      <c r="K329" s="372"/>
      <c r="L329" s="372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2"/>
      <c r="C346" s="372"/>
      <c r="D346" s="372"/>
      <c r="E346" s="253"/>
      <c r="F346" s="372"/>
      <c r="G346" s="372"/>
      <c r="H346" s="372"/>
      <c r="I346" s="253"/>
      <c r="J346" s="372"/>
      <c r="K346" s="372"/>
      <c r="L346" s="372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2"/>
      <c r="C363" s="372"/>
      <c r="D363" s="372"/>
      <c r="E363" s="253"/>
      <c r="F363" s="372"/>
      <c r="G363" s="372"/>
      <c r="H363" s="372"/>
      <c r="I363" s="253"/>
      <c r="J363" s="372"/>
      <c r="K363" s="372"/>
      <c r="L363" s="372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2"/>
      <c r="C380" s="372"/>
      <c r="D380" s="372"/>
      <c r="E380" s="253"/>
      <c r="F380" s="372"/>
      <c r="G380" s="372"/>
      <c r="H380" s="372"/>
      <c r="I380" s="253"/>
      <c r="J380" s="372"/>
      <c r="K380" s="372"/>
      <c r="L380" s="372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2"/>
      <c r="C397" s="372"/>
      <c r="D397" s="372"/>
      <c r="E397" s="253"/>
      <c r="F397" s="372"/>
      <c r="G397" s="372"/>
      <c r="H397" s="372"/>
      <c r="I397" s="253"/>
      <c r="J397" s="372"/>
      <c r="K397" s="372"/>
      <c r="L397" s="372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2"/>
      <c r="C414" s="372"/>
      <c r="D414" s="372"/>
      <c r="E414" s="253"/>
      <c r="F414" s="372"/>
      <c r="G414" s="372"/>
      <c r="H414" s="372"/>
      <c r="I414" s="253"/>
      <c r="J414" s="372"/>
      <c r="K414" s="372"/>
      <c r="L414" s="372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2"/>
      <c r="C431" s="372"/>
      <c r="D431" s="372"/>
      <c r="E431" s="253"/>
      <c r="F431" s="372"/>
      <c r="G431" s="372"/>
      <c r="H431" s="372"/>
      <c r="I431" s="253"/>
      <c r="J431" s="372"/>
      <c r="K431" s="372"/>
      <c r="L431" s="372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2"/>
      <c r="C448" s="372"/>
      <c r="D448" s="372"/>
      <c r="E448" s="253"/>
      <c r="F448" s="372"/>
      <c r="G448" s="372"/>
      <c r="H448" s="372"/>
      <c r="I448" s="253"/>
      <c r="J448" s="372"/>
      <c r="K448" s="372"/>
      <c r="L448" s="372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2"/>
      <c r="C465" s="372"/>
      <c r="D465" s="372"/>
      <c r="E465" s="253"/>
      <c r="F465" s="372"/>
      <c r="G465" s="372"/>
      <c r="H465" s="372"/>
      <c r="I465" s="253"/>
      <c r="J465" s="372"/>
      <c r="K465" s="372"/>
      <c r="L465" s="372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2"/>
      <c r="C482" s="372"/>
      <c r="D482" s="372"/>
      <c r="E482" s="253"/>
      <c r="F482" s="372"/>
      <c r="G482" s="372"/>
      <c r="H482" s="372"/>
      <c r="I482" s="253"/>
      <c r="J482" s="372"/>
      <c r="K482" s="372"/>
      <c r="L482" s="372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2"/>
      <c r="C499" s="372"/>
      <c r="D499" s="372"/>
      <c r="E499" s="253"/>
      <c r="F499" s="372"/>
      <c r="G499" s="372"/>
      <c r="H499" s="372"/>
      <c r="I499" s="253"/>
      <c r="J499" s="372"/>
      <c r="K499" s="372"/>
      <c r="L499" s="372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2"/>
      <c r="C516" s="372"/>
      <c r="D516" s="372"/>
      <c r="E516" s="253"/>
      <c r="F516" s="372"/>
      <c r="G516" s="372"/>
      <c r="H516" s="372"/>
      <c r="I516" s="253"/>
      <c r="J516" s="372"/>
      <c r="K516" s="372"/>
      <c r="L516" s="372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2"/>
      <c r="C533" s="372"/>
      <c r="D533" s="372"/>
      <c r="E533" s="253"/>
      <c r="F533" s="372"/>
      <c r="G533" s="372"/>
      <c r="H533" s="372"/>
      <c r="I533" s="253"/>
      <c r="J533" s="372"/>
      <c r="K533" s="372"/>
      <c r="L533" s="372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2"/>
      <c r="C550" s="372"/>
      <c r="D550" s="372"/>
      <c r="E550" s="253"/>
      <c r="F550" s="372"/>
      <c r="G550" s="372"/>
      <c r="H550" s="372"/>
      <c r="I550" s="253"/>
      <c r="J550" s="372"/>
      <c r="K550" s="372"/>
      <c r="L550" s="372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2"/>
      <c r="C567" s="372"/>
      <c r="D567" s="372"/>
      <c r="E567" s="253"/>
      <c r="F567" s="372"/>
      <c r="G567" s="372"/>
      <c r="H567" s="372"/>
      <c r="I567" s="253"/>
      <c r="J567" s="372"/>
      <c r="K567" s="372"/>
      <c r="L567" s="372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2"/>
      <c r="C584" s="372"/>
      <c r="D584" s="372"/>
      <c r="E584" s="253"/>
      <c r="F584" s="372"/>
      <c r="G584" s="372"/>
      <c r="H584" s="372"/>
      <c r="I584" s="253"/>
      <c r="J584" s="372"/>
      <c r="K584" s="372"/>
      <c r="L584" s="372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2"/>
      <c r="C601" s="372"/>
      <c r="D601" s="372"/>
      <c r="E601" s="253"/>
      <c r="F601" s="372"/>
      <c r="G601" s="372"/>
      <c r="H601" s="372"/>
      <c r="I601" s="253"/>
      <c r="J601" s="372"/>
      <c r="K601" s="372"/>
      <c r="L601" s="372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2"/>
      <c r="C618" s="372"/>
      <c r="D618" s="372"/>
      <c r="E618" s="253"/>
      <c r="F618" s="372"/>
      <c r="G618" s="372"/>
      <c r="H618" s="372"/>
      <c r="I618" s="253"/>
      <c r="J618" s="372"/>
      <c r="K618" s="372"/>
      <c r="L618" s="372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2"/>
      <c r="C635" s="372"/>
      <c r="D635" s="372"/>
      <c r="E635" s="253"/>
      <c r="F635" s="372"/>
      <c r="G635" s="372"/>
      <c r="H635" s="372"/>
      <c r="I635" s="253"/>
      <c r="J635" s="372"/>
      <c r="K635" s="372"/>
      <c r="L635" s="372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2"/>
      <c r="C652" s="372"/>
      <c r="D652" s="372"/>
      <c r="E652" s="253"/>
      <c r="F652" s="372"/>
      <c r="G652" s="372"/>
      <c r="H652" s="372"/>
      <c r="I652" s="253"/>
      <c r="J652" s="372"/>
      <c r="K652" s="372"/>
      <c r="L652" s="372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2"/>
      <c r="C669" s="372"/>
      <c r="D669" s="372"/>
      <c r="E669" s="253"/>
      <c r="F669" s="372"/>
      <c r="G669" s="372"/>
      <c r="H669" s="372"/>
      <c r="I669" s="253"/>
      <c r="J669" s="372"/>
      <c r="K669" s="372"/>
      <c r="L669" s="372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2"/>
      <c r="C686" s="372"/>
      <c r="D686" s="372"/>
      <c r="E686" s="253"/>
      <c r="F686" s="372"/>
      <c r="G686" s="372"/>
      <c r="H686" s="372"/>
      <c r="I686" s="253"/>
      <c r="J686" s="372"/>
      <c r="K686" s="372"/>
      <c r="L686" s="372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2"/>
      <c r="C703" s="372"/>
      <c r="D703" s="372"/>
      <c r="E703" s="253"/>
      <c r="F703" s="372"/>
      <c r="G703" s="372"/>
      <c r="H703" s="372"/>
      <c r="I703" s="253"/>
      <c r="J703" s="372"/>
      <c r="K703" s="372"/>
      <c r="L703" s="372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2"/>
      <c r="C720" s="372"/>
      <c r="D720" s="372"/>
      <c r="E720" s="253"/>
      <c r="F720" s="372"/>
      <c r="G720" s="372"/>
      <c r="H720" s="372"/>
      <c r="I720" s="253"/>
      <c r="J720" s="372"/>
      <c r="K720" s="372"/>
      <c r="L720" s="372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2"/>
      <c r="C737" s="372"/>
      <c r="D737" s="372"/>
      <c r="E737" s="253"/>
      <c r="F737" s="372"/>
      <c r="G737" s="372"/>
      <c r="H737" s="372"/>
      <c r="I737" s="253"/>
      <c r="J737" s="372"/>
      <c r="K737" s="372"/>
      <c r="L737" s="372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2"/>
      <c r="C754" s="372"/>
      <c r="D754" s="372"/>
      <c r="E754" s="253"/>
      <c r="F754" s="372"/>
      <c r="G754" s="372"/>
      <c r="H754" s="372"/>
      <c r="I754" s="253"/>
      <c r="J754" s="372"/>
      <c r="K754" s="372"/>
      <c r="L754" s="372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2"/>
      <c r="C771" s="372"/>
      <c r="D771" s="372"/>
      <c r="E771" s="253"/>
      <c r="F771" s="372"/>
      <c r="G771" s="372"/>
      <c r="H771" s="372"/>
      <c r="I771" s="253"/>
      <c r="J771" s="372"/>
      <c r="K771" s="372"/>
      <c r="L771" s="372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2"/>
      <c r="C788" s="372"/>
      <c r="D788" s="372"/>
      <c r="E788" s="253"/>
      <c r="F788" s="372"/>
      <c r="G788" s="372"/>
      <c r="H788" s="372"/>
      <c r="I788" s="253"/>
      <c r="J788" s="372"/>
      <c r="K788" s="372"/>
      <c r="L788" s="372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2"/>
      <c r="C805" s="372"/>
      <c r="D805" s="372"/>
      <c r="E805" s="253"/>
      <c r="F805" s="372"/>
      <c r="G805" s="372"/>
      <c r="H805" s="372"/>
      <c r="I805" s="253"/>
      <c r="J805" s="372"/>
      <c r="K805" s="372"/>
      <c r="L805" s="372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2"/>
      <c r="C822" s="372"/>
      <c r="D822" s="372"/>
      <c r="E822" s="253"/>
      <c r="F822" s="372"/>
      <c r="G822" s="372"/>
      <c r="H822" s="372"/>
      <c r="I822" s="253"/>
      <c r="J822" s="372"/>
      <c r="K822" s="372"/>
      <c r="L822" s="372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2"/>
      <c r="C839" s="372"/>
      <c r="D839" s="372"/>
      <c r="E839" s="253"/>
      <c r="F839" s="372"/>
      <c r="G839" s="372"/>
      <c r="H839" s="372"/>
      <c r="I839" s="253"/>
      <c r="J839" s="372"/>
      <c r="K839" s="372"/>
      <c r="L839" s="372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2"/>
      <c r="C856" s="372"/>
      <c r="D856" s="372"/>
      <c r="E856" s="253"/>
      <c r="F856" s="372"/>
      <c r="G856" s="372"/>
      <c r="H856" s="372"/>
      <c r="I856" s="253"/>
      <c r="J856" s="372"/>
      <c r="K856" s="372"/>
      <c r="L856" s="372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2"/>
      <c r="C873" s="372"/>
      <c r="D873" s="372"/>
      <c r="E873" s="253"/>
      <c r="F873" s="372"/>
      <c r="G873" s="372"/>
      <c r="H873" s="372"/>
      <c r="I873" s="253"/>
      <c r="J873" s="372"/>
      <c r="K873" s="372"/>
      <c r="L873" s="372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2"/>
      <c r="C890" s="372"/>
      <c r="D890" s="372"/>
      <c r="E890" s="253"/>
      <c r="F890" s="372"/>
      <c r="G890" s="372"/>
      <c r="H890" s="372"/>
      <c r="I890" s="253"/>
      <c r="J890" s="372"/>
      <c r="K890" s="372"/>
      <c r="L890" s="372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2"/>
      <c r="C907" s="372"/>
      <c r="D907" s="372"/>
      <c r="E907" s="253"/>
      <c r="F907" s="372"/>
      <c r="G907" s="372"/>
      <c r="H907" s="372"/>
      <c r="I907" s="253"/>
      <c r="J907" s="372"/>
      <c r="K907" s="372"/>
      <c r="L907" s="372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2"/>
      <c r="C924" s="372"/>
      <c r="D924" s="372"/>
      <c r="E924" s="253"/>
      <c r="F924" s="372"/>
      <c r="G924" s="372"/>
      <c r="H924" s="372"/>
      <c r="I924" s="253"/>
      <c r="J924" s="372"/>
      <c r="K924" s="372"/>
      <c r="L924" s="372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2"/>
      <c r="C941" s="372"/>
      <c r="D941" s="372"/>
      <c r="E941" s="253"/>
      <c r="F941" s="372"/>
      <c r="G941" s="372"/>
      <c r="H941" s="372"/>
      <c r="I941" s="253"/>
      <c r="J941" s="372"/>
      <c r="K941" s="372"/>
      <c r="L941" s="372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2"/>
      <c r="C958" s="372"/>
      <c r="D958" s="372"/>
      <c r="E958" s="253"/>
      <c r="F958" s="372"/>
      <c r="G958" s="372"/>
      <c r="H958" s="372"/>
      <c r="I958" s="253"/>
      <c r="J958" s="372"/>
      <c r="K958" s="372"/>
      <c r="L958" s="372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2"/>
      <c r="C975" s="372"/>
      <c r="D975" s="372"/>
      <c r="E975" s="253"/>
      <c r="F975" s="372"/>
      <c r="G975" s="372"/>
      <c r="H975" s="372"/>
      <c r="I975" s="253"/>
      <c r="J975" s="372"/>
      <c r="K975" s="372"/>
      <c r="L975" s="372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2"/>
      <c r="C992" s="372"/>
      <c r="D992" s="372"/>
      <c r="E992" s="253"/>
      <c r="F992" s="372"/>
      <c r="G992" s="372"/>
      <c r="H992" s="372"/>
      <c r="I992" s="253"/>
      <c r="J992" s="372"/>
      <c r="K992" s="372"/>
      <c r="L992" s="372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2"/>
      <c r="C1009" s="372"/>
      <c r="D1009" s="372"/>
      <c r="E1009" s="253"/>
      <c r="F1009" s="372"/>
      <c r="G1009" s="372"/>
      <c r="H1009" s="372"/>
      <c r="I1009" s="253"/>
      <c r="J1009" s="372"/>
      <c r="K1009" s="372"/>
      <c r="L1009" s="372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2"/>
      <c r="C1026" s="372"/>
      <c r="D1026" s="372"/>
      <c r="E1026" s="253"/>
      <c r="F1026" s="372"/>
      <c r="G1026" s="372"/>
      <c r="H1026" s="372"/>
      <c r="I1026" s="253"/>
      <c r="J1026" s="372"/>
      <c r="K1026" s="372"/>
      <c r="L1026" s="372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2"/>
      <c r="C1043" s="372"/>
      <c r="D1043" s="372"/>
      <c r="E1043" s="253"/>
      <c r="F1043" s="372"/>
      <c r="G1043" s="372"/>
      <c r="H1043" s="372"/>
      <c r="I1043" s="253"/>
      <c r="J1043" s="372"/>
      <c r="K1043" s="372"/>
      <c r="L1043" s="372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2"/>
      <c r="C1060" s="372"/>
      <c r="D1060" s="372"/>
      <c r="E1060" s="253"/>
      <c r="F1060" s="372"/>
      <c r="G1060" s="372"/>
      <c r="H1060" s="372"/>
      <c r="I1060" s="253"/>
      <c r="J1060" s="372"/>
      <c r="K1060" s="372"/>
      <c r="L1060" s="372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2"/>
      <c r="C1077" s="372"/>
      <c r="D1077" s="372"/>
      <c r="E1077" s="253"/>
      <c r="F1077" s="372"/>
      <c r="G1077" s="372"/>
      <c r="H1077" s="372"/>
      <c r="I1077" s="253"/>
      <c r="J1077" s="372"/>
      <c r="K1077" s="372"/>
      <c r="L1077" s="372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2"/>
      <c r="C1094" s="372"/>
      <c r="D1094" s="372"/>
      <c r="E1094" s="253"/>
      <c r="F1094" s="372"/>
      <c r="G1094" s="372"/>
      <c r="H1094" s="372"/>
      <c r="I1094" s="253"/>
      <c r="J1094" s="372"/>
      <c r="K1094" s="372"/>
      <c r="L1094" s="372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2"/>
      <c r="C1111" s="372"/>
      <c r="D1111" s="372"/>
      <c r="E1111" s="253"/>
      <c r="F1111" s="372"/>
      <c r="G1111" s="372"/>
      <c r="H1111" s="372"/>
      <c r="I1111" s="253"/>
      <c r="J1111" s="372"/>
      <c r="K1111" s="372"/>
      <c r="L1111" s="372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2"/>
      <c r="C1128" s="372"/>
      <c r="D1128" s="372"/>
      <c r="E1128" s="253"/>
      <c r="F1128" s="372"/>
      <c r="G1128" s="372"/>
      <c r="H1128" s="372"/>
      <c r="I1128" s="253"/>
      <c r="J1128" s="372"/>
      <c r="K1128" s="372"/>
      <c r="L1128" s="372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2"/>
      <c r="C1145" s="372"/>
      <c r="D1145" s="372"/>
      <c r="E1145" s="253"/>
      <c r="F1145" s="372"/>
      <c r="G1145" s="372"/>
      <c r="H1145" s="372"/>
      <c r="I1145" s="253"/>
      <c r="J1145" s="372"/>
      <c r="K1145" s="372"/>
      <c r="L1145" s="372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2"/>
      <c r="C1162" s="372"/>
      <c r="D1162" s="372"/>
      <c r="E1162" s="253"/>
      <c r="F1162" s="372"/>
      <c r="G1162" s="372"/>
      <c r="H1162" s="372"/>
      <c r="I1162" s="253"/>
      <c r="J1162" s="372"/>
      <c r="K1162" s="372"/>
      <c r="L1162" s="372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2"/>
      <c r="C1179" s="372"/>
      <c r="D1179" s="372"/>
      <c r="E1179" s="253"/>
      <c r="F1179" s="372"/>
      <c r="G1179" s="372"/>
      <c r="H1179" s="372"/>
      <c r="I1179" s="253"/>
      <c r="J1179" s="372"/>
      <c r="K1179" s="372"/>
      <c r="L1179" s="372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2"/>
      <c r="C1196" s="372"/>
      <c r="D1196" s="372"/>
      <c r="E1196" s="253"/>
      <c r="F1196" s="372"/>
      <c r="G1196" s="372"/>
      <c r="H1196" s="372"/>
      <c r="I1196" s="253"/>
      <c r="J1196" s="372"/>
      <c r="K1196" s="372"/>
      <c r="L1196" s="372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2"/>
      <c r="C1213" s="372"/>
      <c r="D1213" s="372"/>
      <c r="E1213" s="253"/>
      <c r="F1213" s="372"/>
      <c r="G1213" s="372"/>
      <c r="H1213" s="372"/>
      <c r="I1213" s="253"/>
      <c r="J1213" s="372"/>
      <c r="K1213" s="372"/>
      <c r="L1213" s="372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2"/>
      <c r="C1230" s="372"/>
      <c r="D1230" s="372"/>
      <c r="E1230" s="253"/>
      <c r="F1230" s="372"/>
      <c r="G1230" s="372"/>
      <c r="H1230" s="372"/>
      <c r="I1230" s="253"/>
      <c r="J1230" s="372"/>
      <c r="K1230" s="372"/>
      <c r="L1230" s="372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2"/>
      <c r="C1247" s="372"/>
      <c r="D1247" s="372"/>
      <c r="E1247" s="253"/>
      <c r="F1247" s="372"/>
      <c r="G1247" s="372"/>
      <c r="H1247" s="372"/>
      <c r="I1247" s="253"/>
      <c r="J1247" s="372"/>
      <c r="K1247" s="372"/>
      <c r="L1247" s="372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2"/>
      <c r="C1264" s="372"/>
      <c r="D1264" s="372"/>
      <c r="E1264" s="253"/>
      <c r="F1264" s="372"/>
      <c r="G1264" s="372"/>
      <c r="H1264" s="372"/>
      <c r="I1264" s="253"/>
      <c r="J1264" s="372"/>
      <c r="K1264" s="372"/>
      <c r="L1264" s="372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2"/>
      <c r="C1281" s="372"/>
      <c r="D1281" s="372"/>
      <c r="E1281" s="253"/>
      <c r="F1281" s="372"/>
      <c r="G1281" s="372"/>
      <c r="H1281" s="372"/>
      <c r="I1281" s="253"/>
      <c r="J1281" s="372"/>
      <c r="K1281" s="372"/>
      <c r="L1281" s="372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2"/>
      <c r="C1298" s="372"/>
      <c r="D1298" s="372"/>
      <c r="E1298" s="253"/>
      <c r="F1298" s="372"/>
      <c r="G1298" s="372"/>
      <c r="H1298" s="372"/>
      <c r="I1298" s="253"/>
      <c r="J1298" s="372"/>
      <c r="K1298" s="372"/>
      <c r="L1298" s="372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6:D6"/>
    <mergeCell ref="F6:H6"/>
    <mergeCell ref="J6:L6"/>
    <mergeCell ref="N6:O6"/>
    <mergeCell ref="Q6:R6"/>
    <mergeCell ref="T6:U6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</mergeCells>
  <pageMargins left="0.7" right="0.7" top="0.75" bottom="0.75" header="0.3" footer="0.3"/>
  <pageSetup paperSize="9" scale="78" orientation="landscape" r:id="rId1"/>
  <rowBreaks count="1" manualBreakCount="1">
    <brk id="38" max="20" man="1"/>
  </rowBreaks>
  <colBreaks count="1" manualBreakCount="1">
    <brk id="21" max="1048575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3" width="5.7109375" bestFit="1" customWidth="1"/>
    <col min="4" max="4" width="4.140625" bestFit="1" customWidth="1"/>
    <col min="5" max="5" width="5.7109375" bestFit="1" customWidth="1"/>
    <col min="6" max="6" width="2.85546875" customWidth="1"/>
    <col min="7" max="8" width="5.7109375" bestFit="1" customWidth="1"/>
    <col min="9" max="9" width="4.140625" bestFit="1" customWidth="1"/>
    <col min="10" max="10" width="5.7109375" bestFit="1" customWidth="1"/>
    <col min="11" max="11" width="2.85546875" customWidth="1"/>
    <col min="12" max="13" width="5.7109375" bestFit="1" customWidth="1"/>
    <col min="14" max="14" width="4.140625" bestFit="1" customWidth="1"/>
    <col min="15" max="15" width="5.7109375" bestFit="1" customWidth="1"/>
    <col min="16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8" t="str">
        <f>CONCATENATE("Occupation Table 5  Employment Change by Status (SOC 2020), ",B$5,"-",L$5,", ",Info!B5)</f>
        <v>Occupation Table 5  Employment Change by Status (SOC 2020), 2015-2035, London</v>
      </c>
      <c r="Q1" s="18" t="str">
        <f>CONCATENATE("Occupation Table 5.1  Males: Employment Change by Status (SOC 2020), ",B$5,"-",L$5,", ",Info!B5)</f>
        <v>Occupation Table 5.1  Males: Employment Change by Status (SOC 2020), 2015-2035, London</v>
      </c>
      <c r="AG1" s="18" t="str">
        <f>CONCATENATE("Occupation Table 5.2  Females: Employment Change by Status (SOC 2020), ",R$5,"-",AB$5,", ",Info!B5)</f>
        <v>Occupation Table 5.2  Females: Employment Change by Status (SOC 2020), 2015-2035, London</v>
      </c>
    </row>
    <row r="2" spans="1:47" x14ac:dyDescent="0.2">
      <c r="A2" s="1" t="s">
        <v>536</v>
      </c>
    </row>
    <row r="3" spans="1:47" x14ac:dyDescent="0.2">
      <c r="O3" s="15" t="s">
        <v>35</v>
      </c>
      <c r="AE3" s="15" t="s">
        <v>35</v>
      </c>
      <c r="AU3" s="15" t="s">
        <v>35</v>
      </c>
    </row>
    <row r="4" spans="1:47" x14ac:dyDescent="0.2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</row>
    <row r="5" spans="1:47" x14ac:dyDescent="0.2">
      <c r="B5" s="375">
        <v>2015</v>
      </c>
      <c r="C5" s="375"/>
      <c r="D5" s="375"/>
      <c r="E5" s="375"/>
      <c r="F5" s="1"/>
      <c r="G5" s="375">
        <v>2020</v>
      </c>
      <c r="H5" s="375"/>
      <c r="I5" s="375"/>
      <c r="J5" s="375"/>
      <c r="K5" s="1"/>
      <c r="L5" s="375">
        <v>2035</v>
      </c>
      <c r="M5" s="375"/>
      <c r="N5" s="375"/>
      <c r="O5" s="375"/>
      <c r="R5" s="375">
        <f>B5</f>
        <v>2015</v>
      </c>
      <c r="S5" s="375"/>
      <c r="T5" s="375"/>
      <c r="U5" s="375"/>
      <c r="V5" s="1"/>
      <c r="W5" s="375">
        <f>G5</f>
        <v>2020</v>
      </c>
      <c r="X5" s="375"/>
      <c r="Y5" s="375"/>
      <c r="Z5" s="375"/>
      <c r="AA5" s="1"/>
      <c r="AB5" s="375">
        <f>L5</f>
        <v>2035</v>
      </c>
      <c r="AC5" s="375"/>
      <c r="AD5" s="375"/>
      <c r="AE5" s="375"/>
      <c r="AH5" s="375">
        <f>B5</f>
        <v>2015</v>
      </c>
      <c r="AI5" s="375"/>
      <c r="AJ5" s="375"/>
      <c r="AK5" s="375"/>
      <c r="AL5" s="1"/>
      <c r="AM5" s="375">
        <f>G5</f>
        <v>2020</v>
      </c>
      <c r="AN5" s="375"/>
      <c r="AO5" s="375"/>
      <c r="AP5" s="375"/>
      <c r="AQ5" s="1"/>
      <c r="AR5" s="375">
        <f>L5</f>
        <v>2035</v>
      </c>
      <c r="AS5" s="375"/>
      <c r="AT5" s="375"/>
      <c r="AU5" s="375"/>
    </row>
    <row r="6" spans="1:47" x14ac:dyDescent="0.2">
      <c r="A6" s="40" t="s">
        <v>13</v>
      </c>
      <c r="B6" s="337" t="s">
        <v>339</v>
      </c>
      <c r="C6" s="337" t="s">
        <v>341</v>
      </c>
      <c r="D6" s="337" t="s">
        <v>337</v>
      </c>
      <c r="E6" s="337" t="s">
        <v>32</v>
      </c>
      <c r="F6" s="338"/>
      <c r="G6" s="337" t="s">
        <v>339</v>
      </c>
      <c r="H6" s="337" t="s">
        <v>341</v>
      </c>
      <c r="I6" s="337" t="s">
        <v>337</v>
      </c>
      <c r="J6" s="337" t="s">
        <v>32</v>
      </c>
      <c r="K6" s="338"/>
      <c r="L6" s="337" t="s">
        <v>339</v>
      </c>
      <c r="M6" s="337" t="s">
        <v>341</v>
      </c>
      <c r="N6" s="337" t="s">
        <v>337</v>
      </c>
      <c r="O6" s="337" t="s">
        <v>32</v>
      </c>
      <c r="Q6" s="40" t="s">
        <v>13</v>
      </c>
      <c r="R6" s="337" t="s">
        <v>339</v>
      </c>
      <c r="S6" s="337" t="s">
        <v>341</v>
      </c>
      <c r="T6" s="337" t="s">
        <v>337</v>
      </c>
      <c r="U6" s="337" t="s">
        <v>32</v>
      </c>
      <c r="V6" s="338"/>
      <c r="W6" s="337" t="s">
        <v>339</v>
      </c>
      <c r="X6" s="337" t="s">
        <v>341</v>
      </c>
      <c r="Y6" s="337" t="s">
        <v>337</v>
      </c>
      <c r="Z6" s="337" t="s">
        <v>32</v>
      </c>
      <c r="AA6" s="338"/>
      <c r="AB6" s="337" t="s">
        <v>339</v>
      </c>
      <c r="AC6" s="337" t="s">
        <v>341</v>
      </c>
      <c r="AD6" s="337" t="s">
        <v>337</v>
      </c>
      <c r="AE6" s="337" t="s">
        <v>32</v>
      </c>
      <c r="AG6" s="40" t="s">
        <v>13</v>
      </c>
      <c r="AH6" s="337" t="s">
        <v>339</v>
      </c>
      <c r="AI6" s="337" t="s">
        <v>341</v>
      </c>
      <c r="AJ6" s="337" t="s">
        <v>337</v>
      </c>
      <c r="AK6" s="337" t="s">
        <v>32</v>
      </c>
      <c r="AL6" s="338"/>
      <c r="AM6" s="337" t="s">
        <v>339</v>
      </c>
      <c r="AN6" s="337" t="s">
        <v>341</v>
      </c>
      <c r="AO6" s="337" t="s">
        <v>337</v>
      </c>
      <c r="AP6" s="337" t="s">
        <v>32</v>
      </c>
      <c r="AQ6" s="338"/>
      <c r="AR6" s="337" t="s">
        <v>339</v>
      </c>
      <c r="AS6" s="337" t="s">
        <v>341</v>
      </c>
      <c r="AT6" s="337" t="s">
        <v>337</v>
      </c>
      <c r="AU6" s="337" t="s">
        <v>32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484.3879533546135</v>
      </c>
      <c r="C8" s="11">
        <v>59.625426572347578</v>
      </c>
      <c r="D8" s="11">
        <v>82.448612087021132</v>
      </c>
      <c r="E8" s="11">
        <f>SUM(B8:D8)</f>
        <v>626.46199201398224</v>
      </c>
      <c r="F8" s="11"/>
      <c r="G8" s="11">
        <v>543.10639425875422</v>
      </c>
      <c r="H8" s="11">
        <v>86.611138446914794</v>
      </c>
      <c r="I8" s="11">
        <v>95.355699679286857</v>
      </c>
      <c r="J8" s="11">
        <f>SUM(G8:I8)</f>
        <v>725.07323238495587</v>
      </c>
      <c r="K8" s="11"/>
      <c r="L8" s="11">
        <v>602.42268667481767</v>
      </c>
      <c r="M8" s="11">
        <v>106.88634126655019</v>
      </c>
      <c r="N8" s="11">
        <v>116.11773204527691</v>
      </c>
      <c r="O8" s="11">
        <f>SUM(L8:N8)</f>
        <v>825.42675998664481</v>
      </c>
      <c r="Q8" s="10" t="str">
        <f>name!E4</f>
        <v>Managers, directors and senior officials</v>
      </c>
      <c r="R8" s="11">
        <v>325.8793478990537</v>
      </c>
      <c r="S8" s="11">
        <v>24.869187917661662</v>
      </c>
      <c r="T8" s="11">
        <v>56.086306082530008</v>
      </c>
      <c r="U8" s="11">
        <f>SUM(R8:T8)</f>
        <v>406.83484189924542</v>
      </c>
      <c r="V8" s="11"/>
      <c r="W8" s="11">
        <v>358.52749276012099</v>
      </c>
      <c r="X8" s="11">
        <v>36.43522243038926</v>
      </c>
      <c r="Y8" s="11">
        <v>60.987780720897113</v>
      </c>
      <c r="Z8" s="11">
        <f>SUM(W8:Y8)</f>
        <v>455.95049591140736</v>
      </c>
      <c r="AA8" s="11"/>
      <c r="AB8" s="11">
        <v>376.01791337964181</v>
      </c>
      <c r="AC8" s="11">
        <v>47.548354136568001</v>
      </c>
      <c r="AD8" s="11">
        <v>75.210589646032432</v>
      </c>
      <c r="AE8" s="11">
        <f>SUM(AB8:AD8)</f>
        <v>498.77685716224221</v>
      </c>
      <c r="AG8" s="10" t="str">
        <f>name!E4</f>
        <v>Managers, directors and senior officials</v>
      </c>
      <c r="AH8" s="11">
        <v>158.50860545555972</v>
      </c>
      <c r="AI8" s="11">
        <v>34.75623865468593</v>
      </c>
      <c r="AJ8" s="11">
        <v>26.362306004491082</v>
      </c>
      <c r="AK8" s="11">
        <f>SUM(AH8:AJ8)</f>
        <v>219.62715011473671</v>
      </c>
      <c r="AL8" s="11"/>
      <c r="AM8" s="11">
        <v>184.57890149863351</v>
      </c>
      <c r="AN8" s="11">
        <v>50.175916016525626</v>
      </c>
      <c r="AO8" s="11">
        <v>34.367918958389787</v>
      </c>
      <c r="AP8" s="11">
        <f>SUM(AM8:AO8)</f>
        <v>269.12273647354891</v>
      </c>
      <c r="AQ8" s="11"/>
      <c r="AR8" s="11">
        <v>226.40477329517603</v>
      </c>
      <c r="AS8" s="11">
        <v>59.337987129982189</v>
      </c>
      <c r="AT8" s="11">
        <v>40.907142399244449</v>
      </c>
      <c r="AU8" s="11">
        <f>SUM(AR8:AT8)</f>
        <v>326.64990282440266</v>
      </c>
    </row>
    <row r="9" spans="1:47" x14ac:dyDescent="0.2">
      <c r="A9" t="str">
        <f>name!E5</f>
        <v>Professional occupations</v>
      </c>
      <c r="B9" s="11">
        <v>1104.7553958126255</v>
      </c>
      <c r="C9" s="11">
        <v>255.78142815564419</v>
      </c>
      <c r="D9" s="11">
        <v>155.92897192815678</v>
      </c>
      <c r="E9" s="11">
        <f t="shared" ref="E9:E18" si="0">SUM(B9:D9)</f>
        <v>1516.4657958964262</v>
      </c>
      <c r="F9" s="11"/>
      <c r="G9" s="11">
        <v>1330.712333251143</v>
      </c>
      <c r="H9" s="11">
        <v>296.14492527405866</v>
      </c>
      <c r="I9" s="11">
        <v>187.35603035500873</v>
      </c>
      <c r="J9" s="11">
        <f t="shared" ref="J9:J16" si="1">SUM(G9:I9)</f>
        <v>1814.2132888802105</v>
      </c>
      <c r="K9" s="11"/>
      <c r="L9" s="11">
        <v>1594.4692376250769</v>
      </c>
      <c r="M9" s="11">
        <v>359.9287016340943</v>
      </c>
      <c r="N9" s="11">
        <v>187.96675806542817</v>
      </c>
      <c r="O9" s="11">
        <f t="shared" ref="O9:O16" si="2">SUM(L9:N9)</f>
        <v>2142.3646973245995</v>
      </c>
      <c r="Q9" s="10" t="str">
        <f>name!E5</f>
        <v>Professional occupations</v>
      </c>
      <c r="R9" s="11">
        <v>604.38295097654782</v>
      </c>
      <c r="S9" s="11">
        <v>54.298696214731201</v>
      </c>
      <c r="T9" s="11">
        <v>97.507576839196815</v>
      </c>
      <c r="U9" s="11">
        <f t="shared" ref="U9:U16" si="3">SUM(R9:T9)</f>
        <v>756.18922403047577</v>
      </c>
      <c r="V9" s="11"/>
      <c r="W9" s="11">
        <v>713.26773733797086</v>
      </c>
      <c r="X9" s="11">
        <v>80.185260116402063</v>
      </c>
      <c r="Y9" s="11">
        <v>109.96970273079999</v>
      </c>
      <c r="Z9" s="11">
        <f t="shared" ref="Z9:Z16" si="4">SUM(W9:Y9)</f>
        <v>903.42270018517297</v>
      </c>
      <c r="AA9" s="11"/>
      <c r="AB9" s="11">
        <v>845.63876266344084</v>
      </c>
      <c r="AC9" s="11">
        <v>112.59684372249824</v>
      </c>
      <c r="AD9" s="11">
        <v>109.25632147291589</v>
      </c>
      <c r="AE9" s="11">
        <f t="shared" ref="AE9:AE16" si="5">SUM(AB9:AD9)</f>
        <v>1067.491927858855</v>
      </c>
      <c r="AG9" s="10" t="str">
        <f>name!E5</f>
        <v>Professional occupations</v>
      </c>
      <c r="AH9" s="11">
        <v>500.37244483607753</v>
      </c>
      <c r="AI9" s="11">
        <v>201.482731940913</v>
      </c>
      <c r="AJ9" s="11">
        <v>58.421395088959869</v>
      </c>
      <c r="AK9" s="11">
        <f t="shared" ref="AK9:AK18" si="6">SUM(AH9:AJ9)</f>
        <v>760.27657186595047</v>
      </c>
      <c r="AL9" s="11"/>
      <c r="AM9" s="11">
        <v>617.44459591317252</v>
      </c>
      <c r="AN9" s="11">
        <v>215.95966515765636</v>
      </c>
      <c r="AO9" s="11">
        <v>77.386327624208846</v>
      </c>
      <c r="AP9" s="11">
        <f t="shared" ref="AP9:AP18" si="7">SUM(AM9:AO9)</f>
        <v>910.79058869503774</v>
      </c>
      <c r="AQ9" s="11"/>
      <c r="AR9" s="11">
        <v>748.83047496163567</v>
      </c>
      <c r="AS9" s="11">
        <v>247.33185791159616</v>
      </c>
      <c r="AT9" s="11">
        <v>78.71043659251238</v>
      </c>
      <c r="AU9" s="11">
        <f t="shared" ref="AU9:AU18" si="8">SUM(AR9:AT9)</f>
        <v>1074.8727694657443</v>
      </c>
    </row>
    <row r="10" spans="1:47" x14ac:dyDescent="0.2">
      <c r="A10" t="str">
        <f>name!E6</f>
        <v>Associate professional occupations</v>
      </c>
      <c r="B10" s="11">
        <v>672.51749020669024</v>
      </c>
      <c r="C10" s="11">
        <v>157.15985578867665</v>
      </c>
      <c r="D10" s="11">
        <v>142.18381215695854</v>
      </c>
      <c r="E10" s="11">
        <f t="shared" si="0"/>
        <v>971.8611581523254</v>
      </c>
      <c r="F10" s="11"/>
      <c r="G10" s="11">
        <v>759.35778974323318</v>
      </c>
      <c r="H10" s="11">
        <v>170.333126389955</v>
      </c>
      <c r="I10" s="11">
        <v>155.78701089581435</v>
      </c>
      <c r="J10" s="11">
        <f t="shared" si="1"/>
        <v>1085.4779270290026</v>
      </c>
      <c r="K10" s="11"/>
      <c r="L10" s="11">
        <v>796.58033686279612</v>
      </c>
      <c r="M10" s="11">
        <v>186.03387047078763</v>
      </c>
      <c r="N10" s="11">
        <v>168.25448420608259</v>
      </c>
      <c r="O10" s="11">
        <f t="shared" si="2"/>
        <v>1150.8686915396663</v>
      </c>
      <c r="Q10" s="10" t="str">
        <f>name!E6</f>
        <v>Associate professional occupations</v>
      </c>
      <c r="R10" s="11">
        <v>406.51628395481839</v>
      </c>
      <c r="S10" s="11">
        <v>43.698902764420325</v>
      </c>
      <c r="T10" s="11">
        <v>79.417518381548234</v>
      </c>
      <c r="U10" s="11">
        <f t="shared" si="3"/>
        <v>529.63270510078701</v>
      </c>
      <c r="V10" s="11"/>
      <c r="W10" s="11">
        <v>442.99633907676764</v>
      </c>
      <c r="X10" s="11">
        <v>54.413914468485643</v>
      </c>
      <c r="Y10" s="11">
        <v>81.26444018530016</v>
      </c>
      <c r="Z10" s="11">
        <f t="shared" si="4"/>
        <v>578.67469373055349</v>
      </c>
      <c r="AA10" s="11"/>
      <c r="AB10" s="11">
        <v>446.83267300303686</v>
      </c>
      <c r="AC10" s="11">
        <v>52.22212973405712</v>
      </c>
      <c r="AD10" s="11">
        <v>86.661428862149108</v>
      </c>
      <c r="AE10" s="11">
        <f t="shared" si="5"/>
        <v>585.71623159924309</v>
      </c>
      <c r="AG10" s="10" t="str">
        <f>name!E6</f>
        <v>Associate professional occupations</v>
      </c>
      <c r="AH10" s="11">
        <v>266.001206251871</v>
      </c>
      <c r="AI10" s="11">
        <v>113.46095302425627</v>
      </c>
      <c r="AJ10" s="11">
        <v>62.766293775410219</v>
      </c>
      <c r="AK10" s="11">
        <f t="shared" si="6"/>
        <v>442.22845305153749</v>
      </c>
      <c r="AL10" s="11"/>
      <c r="AM10" s="11">
        <v>316.36145066646628</v>
      </c>
      <c r="AN10" s="11">
        <v>115.91921192146926</v>
      </c>
      <c r="AO10" s="11">
        <v>74.522570710514202</v>
      </c>
      <c r="AP10" s="11">
        <f t="shared" si="7"/>
        <v>506.80323329844975</v>
      </c>
      <c r="AQ10" s="11"/>
      <c r="AR10" s="11">
        <v>349.74766385975909</v>
      </c>
      <c r="AS10" s="11">
        <v>133.81174073673054</v>
      </c>
      <c r="AT10" s="11">
        <v>81.593055343933472</v>
      </c>
      <c r="AU10" s="11">
        <f t="shared" si="8"/>
        <v>565.15245994042311</v>
      </c>
    </row>
    <row r="11" spans="1:47" x14ac:dyDescent="0.2">
      <c r="A11" t="str">
        <f>name!E7</f>
        <v>Administrative and secretarial occupations</v>
      </c>
      <c r="B11" s="11">
        <v>320.406186621632</v>
      </c>
      <c r="C11" s="11">
        <v>160.33684605857965</v>
      </c>
      <c r="D11" s="11">
        <v>20.960595558678872</v>
      </c>
      <c r="E11" s="11">
        <f t="shared" si="0"/>
        <v>501.70362823889047</v>
      </c>
      <c r="F11" s="11"/>
      <c r="G11" s="11">
        <v>316.43271411447824</v>
      </c>
      <c r="H11" s="11">
        <v>156.76738769091961</v>
      </c>
      <c r="I11" s="11">
        <v>19.157528944810359</v>
      </c>
      <c r="J11" s="11">
        <f t="shared" si="1"/>
        <v>492.35763075020816</v>
      </c>
      <c r="K11" s="11"/>
      <c r="L11" s="11">
        <v>258.76316672827397</v>
      </c>
      <c r="M11" s="11">
        <v>138.52467436534045</v>
      </c>
      <c r="N11" s="11">
        <v>16.863957268574229</v>
      </c>
      <c r="O11" s="11">
        <f t="shared" si="2"/>
        <v>414.15179836218863</v>
      </c>
      <c r="Q11" s="10" t="str">
        <f>name!E7</f>
        <v>Administrative and secretarial occupations</v>
      </c>
      <c r="R11" s="11">
        <v>85.711051873068087</v>
      </c>
      <c r="S11" s="11">
        <v>19.5155786917882</v>
      </c>
      <c r="T11" s="11">
        <v>5.3153806262633694</v>
      </c>
      <c r="U11" s="11">
        <f t="shared" si="3"/>
        <v>110.54201119111966</v>
      </c>
      <c r="V11" s="11"/>
      <c r="W11" s="11">
        <v>94.507578364706688</v>
      </c>
      <c r="X11" s="11">
        <v>23.004157931743645</v>
      </c>
      <c r="Y11" s="11">
        <v>5.1990408900084111</v>
      </c>
      <c r="Z11" s="11">
        <f t="shared" si="4"/>
        <v>122.71077718645874</v>
      </c>
      <c r="AA11" s="11"/>
      <c r="AB11" s="11">
        <v>93.068534848030495</v>
      </c>
      <c r="AC11" s="11">
        <v>16.613883822424505</v>
      </c>
      <c r="AD11" s="11">
        <v>6.1497343453829068</v>
      </c>
      <c r="AE11" s="11">
        <f t="shared" si="5"/>
        <v>115.83215301583792</v>
      </c>
      <c r="AG11" s="10" t="str">
        <f>name!E7</f>
        <v>Administrative and secretarial occupations</v>
      </c>
      <c r="AH11" s="11">
        <v>234.69513474856367</v>
      </c>
      <c r="AI11" s="11">
        <v>140.82126736679149</v>
      </c>
      <c r="AJ11" s="11">
        <v>15.645214932415513</v>
      </c>
      <c r="AK11" s="11">
        <f t="shared" si="6"/>
        <v>391.16161704777068</v>
      </c>
      <c r="AL11" s="11"/>
      <c r="AM11" s="11">
        <v>221.92513574977124</v>
      </c>
      <c r="AN11" s="11">
        <v>133.76322975917603</v>
      </c>
      <c r="AO11" s="11">
        <v>13.958488054801947</v>
      </c>
      <c r="AP11" s="11">
        <f t="shared" si="7"/>
        <v>369.64685356374923</v>
      </c>
      <c r="AQ11" s="11"/>
      <c r="AR11" s="11">
        <v>165.69463188024349</v>
      </c>
      <c r="AS11" s="11">
        <v>121.91079054291593</v>
      </c>
      <c r="AT11" s="11">
        <v>10.714222923191326</v>
      </c>
      <c r="AU11" s="11">
        <f t="shared" si="8"/>
        <v>298.31964534635074</v>
      </c>
    </row>
    <row r="12" spans="1:47" x14ac:dyDescent="0.2">
      <c r="A12" t="str">
        <f>name!E8</f>
        <v>Skilled trades occupations</v>
      </c>
      <c r="B12" s="11">
        <v>242.32479987921542</v>
      </c>
      <c r="C12" s="11">
        <v>37.318455393066586</v>
      </c>
      <c r="D12" s="11">
        <v>158.65158905970296</v>
      </c>
      <c r="E12" s="11">
        <f t="shared" si="0"/>
        <v>438.2948443319849</v>
      </c>
      <c r="F12" s="11"/>
      <c r="G12" s="11">
        <v>218.3512597056469</v>
      </c>
      <c r="H12" s="11">
        <v>33.649644734601445</v>
      </c>
      <c r="I12" s="11">
        <v>109.80253897885</v>
      </c>
      <c r="J12" s="11">
        <f t="shared" si="1"/>
        <v>361.80344341909836</v>
      </c>
      <c r="K12" s="11"/>
      <c r="L12" s="11">
        <v>227.7627442796867</v>
      </c>
      <c r="M12" s="11">
        <v>40.732782423420893</v>
      </c>
      <c r="N12" s="11">
        <v>140.0694444540712</v>
      </c>
      <c r="O12" s="11">
        <f t="shared" si="2"/>
        <v>408.56497115717877</v>
      </c>
      <c r="Q12" s="10" t="str">
        <f>name!E8</f>
        <v>Skilled trades occupations</v>
      </c>
      <c r="R12" s="11">
        <v>217.49053943305336</v>
      </c>
      <c r="S12" s="11">
        <v>26.125644634000739</v>
      </c>
      <c r="T12" s="11">
        <v>146.78836461581457</v>
      </c>
      <c r="U12" s="11">
        <f t="shared" si="3"/>
        <v>390.40454868286866</v>
      </c>
      <c r="V12" s="11"/>
      <c r="W12" s="11">
        <v>192.58671622464078</v>
      </c>
      <c r="X12" s="11">
        <v>22.216647806272071</v>
      </c>
      <c r="Y12" s="11">
        <v>95.140974961955806</v>
      </c>
      <c r="Z12" s="11">
        <f t="shared" si="4"/>
        <v>309.94433899286867</v>
      </c>
      <c r="AA12" s="11"/>
      <c r="AB12" s="11">
        <v>195.59899491221219</v>
      </c>
      <c r="AC12" s="11">
        <v>26.611791162388968</v>
      </c>
      <c r="AD12" s="11">
        <v>119.09670052301337</v>
      </c>
      <c r="AE12" s="11">
        <f t="shared" si="5"/>
        <v>341.30748659761457</v>
      </c>
      <c r="AG12" s="10" t="str">
        <f>name!E8</f>
        <v>Skilled trades occupations</v>
      </c>
      <c r="AH12" s="11">
        <v>24.834260446161675</v>
      </c>
      <c r="AI12" s="11">
        <v>11.192810759065829</v>
      </c>
      <c r="AJ12" s="11">
        <v>11.863224443888351</v>
      </c>
      <c r="AK12" s="11">
        <f t="shared" si="6"/>
        <v>47.890295649115849</v>
      </c>
      <c r="AL12" s="11"/>
      <c r="AM12" s="11">
        <v>25.76454348100615</v>
      </c>
      <c r="AN12" s="11">
        <v>11.432996928329365</v>
      </c>
      <c r="AO12" s="11">
        <v>14.66156401689415</v>
      </c>
      <c r="AP12" s="11">
        <f t="shared" si="7"/>
        <v>51.859104426229663</v>
      </c>
      <c r="AQ12" s="11"/>
      <c r="AR12" s="11">
        <v>32.16374936747453</v>
      </c>
      <c r="AS12" s="11">
        <v>14.120991261031957</v>
      </c>
      <c r="AT12" s="11">
        <v>20.972743931057842</v>
      </c>
      <c r="AU12" s="11">
        <f t="shared" si="8"/>
        <v>67.257484559564318</v>
      </c>
    </row>
    <row r="13" spans="1:47" x14ac:dyDescent="0.2">
      <c r="A13" t="str">
        <f>name!E9</f>
        <v>Caring, leisure and other service occupations</v>
      </c>
      <c r="B13" s="11">
        <v>194.38172966335583</v>
      </c>
      <c r="C13" s="11">
        <v>131.23002277717495</v>
      </c>
      <c r="D13" s="11">
        <v>33.516211982401543</v>
      </c>
      <c r="E13" s="11">
        <f t="shared" si="0"/>
        <v>359.12796442293234</v>
      </c>
      <c r="F13" s="11"/>
      <c r="G13" s="11">
        <v>195.2951248167245</v>
      </c>
      <c r="H13" s="11">
        <v>124.03268637954385</v>
      </c>
      <c r="I13" s="11">
        <v>39.066398399702166</v>
      </c>
      <c r="J13" s="11">
        <f t="shared" si="1"/>
        <v>358.39420959597049</v>
      </c>
      <c r="K13" s="11"/>
      <c r="L13" s="11">
        <v>230.61971409847499</v>
      </c>
      <c r="M13" s="11">
        <v>126.92918494109544</v>
      </c>
      <c r="N13" s="11">
        <v>50.899211461728676</v>
      </c>
      <c r="O13" s="11">
        <f t="shared" si="2"/>
        <v>408.44811050129908</v>
      </c>
      <c r="Q13" s="10" t="str">
        <f>name!E9</f>
        <v>Caring, leisure and other service occupations</v>
      </c>
      <c r="R13" s="11">
        <v>61.885122511086877</v>
      </c>
      <c r="S13" s="11">
        <v>27.819027337331008</v>
      </c>
      <c r="T13" s="11">
        <v>6.6039758474546915</v>
      </c>
      <c r="U13" s="11">
        <f t="shared" si="3"/>
        <v>96.308125695872576</v>
      </c>
      <c r="V13" s="11"/>
      <c r="W13" s="11">
        <v>64.041067224050011</v>
      </c>
      <c r="X13" s="11">
        <v>32.332371573615646</v>
      </c>
      <c r="Y13" s="11">
        <v>8.3991433888328757</v>
      </c>
      <c r="Z13" s="11">
        <f t="shared" si="4"/>
        <v>104.77258218649854</v>
      </c>
      <c r="AA13" s="11"/>
      <c r="AB13" s="11">
        <v>82.20095266814198</v>
      </c>
      <c r="AC13" s="11">
        <v>38.764453547638944</v>
      </c>
      <c r="AD13" s="11">
        <v>12.841547397381085</v>
      </c>
      <c r="AE13" s="11">
        <f t="shared" si="5"/>
        <v>133.80695361316199</v>
      </c>
      <c r="AG13" s="10" t="str">
        <f>name!E9</f>
        <v>Caring, leisure and other service occupations</v>
      </c>
      <c r="AH13" s="11">
        <v>132.49660715226895</v>
      </c>
      <c r="AI13" s="11">
        <v>103.41099543984396</v>
      </c>
      <c r="AJ13" s="11">
        <v>26.912236134946848</v>
      </c>
      <c r="AK13" s="11">
        <f t="shared" si="6"/>
        <v>262.81983872705973</v>
      </c>
      <c r="AL13" s="11"/>
      <c r="AM13" s="11">
        <v>131.25405759267449</v>
      </c>
      <c r="AN13" s="11">
        <v>91.700314805928073</v>
      </c>
      <c r="AO13" s="11">
        <v>30.667255010869297</v>
      </c>
      <c r="AP13" s="11">
        <f t="shared" si="7"/>
        <v>253.62162740947187</v>
      </c>
      <c r="AQ13" s="11"/>
      <c r="AR13" s="11">
        <v>148.41876143033323</v>
      </c>
      <c r="AS13" s="11">
        <v>88.164731393456492</v>
      </c>
      <c r="AT13" s="11">
        <v>38.057664064347613</v>
      </c>
      <c r="AU13" s="11">
        <f t="shared" si="8"/>
        <v>274.64115688813735</v>
      </c>
    </row>
    <row r="14" spans="1:47" x14ac:dyDescent="0.2">
      <c r="A14" t="str">
        <f>name!E10</f>
        <v>Sales and customer service occupations</v>
      </c>
      <c r="B14" s="11">
        <v>152.60593537827501</v>
      </c>
      <c r="C14" s="11">
        <v>219.48231194559017</v>
      </c>
      <c r="D14" s="11">
        <v>23.686413797532694</v>
      </c>
      <c r="E14" s="11">
        <f t="shared" si="0"/>
        <v>395.77466112139786</v>
      </c>
      <c r="F14" s="11"/>
      <c r="G14" s="11">
        <v>144.42176858339434</v>
      </c>
      <c r="H14" s="11">
        <v>201.95864171971317</v>
      </c>
      <c r="I14" s="11">
        <v>15.64405795097918</v>
      </c>
      <c r="J14" s="11">
        <f t="shared" si="1"/>
        <v>362.02446825408668</v>
      </c>
      <c r="K14" s="11"/>
      <c r="L14" s="11">
        <v>142.84792005105254</v>
      </c>
      <c r="M14" s="11">
        <v>203.65208254537498</v>
      </c>
      <c r="N14" s="11">
        <v>14.931656689554623</v>
      </c>
      <c r="O14" s="11">
        <f t="shared" si="2"/>
        <v>361.43165928598216</v>
      </c>
      <c r="Q14" s="10" t="str">
        <f>name!E10</f>
        <v>Sales and customer service occupations</v>
      </c>
      <c r="R14" s="11">
        <v>80.90484853279527</v>
      </c>
      <c r="S14" s="11">
        <v>83.362479345523539</v>
      </c>
      <c r="T14" s="11">
        <v>15.072037635374745</v>
      </c>
      <c r="U14" s="11">
        <f t="shared" si="3"/>
        <v>179.33936551369356</v>
      </c>
      <c r="V14" s="11"/>
      <c r="W14" s="11">
        <v>79.252406983128751</v>
      </c>
      <c r="X14" s="11">
        <v>80.930024734219955</v>
      </c>
      <c r="Y14" s="11">
        <v>9.5890152216391975</v>
      </c>
      <c r="Z14" s="11">
        <f t="shared" si="4"/>
        <v>169.77144693898791</v>
      </c>
      <c r="AA14" s="11"/>
      <c r="AB14" s="11">
        <v>81.181132032960988</v>
      </c>
      <c r="AC14" s="11">
        <v>85.446384192005084</v>
      </c>
      <c r="AD14" s="11">
        <v>9.0949033833478818</v>
      </c>
      <c r="AE14" s="11">
        <f t="shared" si="5"/>
        <v>175.72241960831397</v>
      </c>
      <c r="AG14" s="10" t="str">
        <f>name!E10</f>
        <v>Sales and customer service occupations</v>
      </c>
      <c r="AH14" s="11">
        <v>71.701086845480006</v>
      </c>
      <c r="AI14" s="11">
        <v>136.11983260006664</v>
      </c>
      <c r="AJ14" s="11">
        <v>8.614376162157944</v>
      </c>
      <c r="AK14" s="11">
        <f t="shared" si="6"/>
        <v>216.4352956077046</v>
      </c>
      <c r="AL14" s="11"/>
      <c r="AM14" s="11">
        <v>65.169361600265432</v>
      </c>
      <c r="AN14" s="11">
        <v>121.02861698549304</v>
      </c>
      <c r="AO14" s="11">
        <v>6.0550427293399816</v>
      </c>
      <c r="AP14" s="11">
        <f t="shared" si="7"/>
        <v>192.25302131509847</v>
      </c>
      <c r="AQ14" s="11"/>
      <c r="AR14" s="11">
        <v>61.666788018091452</v>
      </c>
      <c r="AS14" s="11">
        <v>118.2056983533699</v>
      </c>
      <c r="AT14" s="11">
        <v>5.8367533062067487</v>
      </c>
      <c r="AU14" s="11">
        <f t="shared" si="8"/>
        <v>185.70923967766811</v>
      </c>
    </row>
    <row r="15" spans="1:47" x14ac:dyDescent="0.2">
      <c r="A15" t="str">
        <f>name!E11</f>
        <v>Process, plant and machine operatives</v>
      </c>
      <c r="B15" s="11">
        <v>121.03584486800858</v>
      </c>
      <c r="C15" s="11">
        <v>34.84300238085801</v>
      </c>
      <c r="D15" s="11">
        <v>61.792422899670441</v>
      </c>
      <c r="E15" s="11">
        <f t="shared" si="0"/>
        <v>217.67127014853702</v>
      </c>
      <c r="F15" s="11"/>
      <c r="G15" s="11">
        <v>112.30249276792023</v>
      </c>
      <c r="H15" s="11">
        <v>43.159996296846387</v>
      </c>
      <c r="I15" s="11">
        <v>59.089129993997645</v>
      </c>
      <c r="J15" s="11">
        <f t="shared" si="1"/>
        <v>214.55161905876423</v>
      </c>
      <c r="K15" s="11"/>
      <c r="L15" s="11">
        <v>107.89333276923065</v>
      </c>
      <c r="M15" s="11">
        <v>58.931601060357202</v>
      </c>
      <c r="N15" s="11">
        <v>75.94760509309431</v>
      </c>
      <c r="O15" s="11">
        <f t="shared" si="2"/>
        <v>242.77253892268214</v>
      </c>
      <c r="Q15" s="10" t="str">
        <f>name!E11</f>
        <v>Process, plant and machine operatives</v>
      </c>
      <c r="R15" s="11">
        <v>112.04156488030345</v>
      </c>
      <c r="S15" s="11">
        <v>28.146685887020922</v>
      </c>
      <c r="T15" s="11">
        <v>57.101577616026411</v>
      </c>
      <c r="U15" s="11">
        <f t="shared" si="3"/>
        <v>197.28982838335079</v>
      </c>
      <c r="V15" s="11"/>
      <c r="W15" s="11">
        <v>104.81851200580815</v>
      </c>
      <c r="X15" s="11">
        <v>37.19335270951921</v>
      </c>
      <c r="Y15" s="11">
        <v>52.743023428977274</v>
      </c>
      <c r="Z15" s="11">
        <f t="shared" si="4"/>
        <v>194.75488814430463</v>
      </c>
      <c r="AA15" s="11"/>
      <c r="AB15" s="11">
        <v>98.234806906111046</v>
      </c>
      <c r="AC15" s="11">
        <v>44.856821222272409</v>
      </c>
      <c r="AD15" s="11">
        <v>68.030958743771322</v>
      </c>
      <c r="AE15" s="11">
        <f t="shared" si="5"/>
        <v>211.12258687215478</v>
      </c>
      <c r="AG15" s="10" t="str">
        <f>name!E11</f>
        <v>Process, plant and machine operatives</v>
      </c>
      <c r="AH15" s="11">
        <v>8.9942799877052426</v>
      </c>
      <c r="AI15" s="11">
        <v>6.6963164938370934</v>
      </c>
      <c r="AJ15" s="11">
        <v>4.6908452836440153</v>
      </c>
      <c r="AK15" s="11">
        <f t="shared" si="6"/>
        <v>20.381441765186352</v>
      </c>
      <c r="AL15" s="11"/>
      <c r="AM15" s="11">
        <v>7.4839807621122603</v>
      </c>
      <c r="AN15" s="11">
        <v>5.966643587327094</v>
      </c>
      <c r="AO15" s="11">
        <v>6.3461065650203761</v>
      </c>
      <c r="AP15" s="11">
        <f t="shared" si="7"/>
        <v>19.796730914459729</v>
      </c>
      <c r="AQ15" s="11"/>
      <c r="AR15" s="11">
        <v>9.6585258631194169</v>
      </c>
      <c r="AS15" s="11">
        <v>14.074779838084782</v>
      </c>
      <c r="AT15" s="11">
        <v>7.9166463493230346</v>
      </c>
      <c r="AU15" s="11">
        <f t="shared" si="8"/>
        <v>31.649952050527233</v>
      </c>
    </row>
    <row r="16" spans="1:47" x14ac:dyDescent="0.2">
      <c r="A16" t="str">
        <f>name!E12</f>
        <v>Elementary occupations</v>
      </c>
      <c r="B16" s="11">
        <v>223.44766420499252</v>
      </c>
      <c r="C16" s="11">
        <v>280.62865093782307</v>
      </c>
      <c r="D16" s="11">
        <v>42.118370534814794</v>
      </c>
      <c r="E16" s="11">
        <f t="shared" si="0"/>
        <v>546.19468567763033</v>
      </c>
      <c r="F16" s="11"/>
      <c r="G16" s="11">
        <v>209.31712276863587</v>
      </c>
      <c r="H16" s="11">
        <v>284.03145305802889</v>
      </c>
      <c r="I16" s="11">
        <v>30.136604806369483</v>
      </c>
      <c r="J16" s="11">
        <f t="shared" si="1"/>
        <v>523.48518063303425</v>
      </c>
      <c r="K16" s="11"/>
      <c r="L16" s="11">
        <v>217.23686091991408</v>
      </c>
      <c r="M16" s="11">
        <v>267.3007612872081</v>
      </c>
      <c r="N16" s="11">
        <v>42.168150720098296</v>
      </c>
      <c r="O16" s="11">
        <f t="shared" si="2"/>
        <v>526.70577292722044</v>
      </c>
      <c r="Q16" s="10" t="str">
        <f>name!E12</f>
        <v>Elementary occupations</v>
      </c>
      <c r="R16" s="11">
        <v>156.22128993294191</v>
      </c>
      <c r="S16" s="11">
        <v>115.16579721281381</v>
      </c>
      <c r="T16" s="11">
        <v>11.06226236106766</v>
      </c>
      <c r="U16" s="11">
        <f t="shared" si="3"/>
        <v>282.44934950682341</v>
      </c>
      <c r="V16" s="11"/>
      <c r="W16" s="11">
        <v>145.47715002936255</v>
      </c>
      <c r="X16" s="11">
        <v>119.37804822667481</v>
      </c>
      <c r="Y16" s="11">
        <v>8.3728784757163748</v>
      </c>
      <c r="Z16" s="11">
        <f t="shared" si="4"/>
        <v>273.22807673175373</v>
      </c>
      <c r="AA16" s="11"/>
      <c r="AB16" s="11">
        <v>142.66222959372655</v>
      </c>
      <c r="AC16" s="11">
        <v>123.11033845729145</v>
      </c>
      <c r="AD16" s="11">
        <v>11.058815630046368</v>
      </c>
      <c r="AE16" s="11">
        <f t="shared" si="5"/>
        <v>276.83138368106432</v>
      </c>
      <c r="AG16" s="10" t="str">
        <f>name!E12</f>
        <v>Elementary occupations</v>
      </c>
      <c r="AH16" s="11">
        <v>67.22637427205072</v>
      </c>
      <c r="AI16" s="11">
        <v>165.4628537250091</v>
      </c>
      <c r="AJ16" s="11">
        <v>31.056108173747113</v>
      </c>
      <c r="AK16" s="11">
        <f t="shared" si="6"/>
        <v>263.74533617080692</v>
      </c>
      <c r="AL16" s="11"/>
      <c r="AM16" s="11">
        <v>63.839972739272916</v>
      </c>
      <c r="AN16" s="11">
        <v>164.65340483135429</v>
      </c>
      <c r="AO16" s="11">
        <v>21.763726330653103</v>
      </c>
      <c r="AP16" s="11">
        <f t="shared" si="7"/>
        <v>250.25710390128032</v>
      </c>
      <c r="AQ16" s="11"/>
      <c r="AR16" s="11">
        <v>74.574631326187614</v>
      </c>
      <c r="AS16" s="11">
        <v>144.19042282991683</v>
      </c>
      <c r="AT16" s="11">
        <v>31.109335090051928</v>
      </c>
      <c r="AU16" s="11">
        <f t="shared" si="8"/>
        <v>249.87438924615637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3" t="str">
        <f>name!E3</f>
        <v>All occupations</v>
      </c>
      <c r="B18" s="33">
        <f>SUM(B8:B16)</f>
        <v>3515.8629999894083</v>
      </c>
      <c r="C18" s="33">
        <f t="shared" ref="C18:D18" si="9">SUM(C8:C16)</f>
        <v>1336.4060000097609</v>
      </c>
      <c r="D18" s="33">
        <f t="shared" si="9"/>
        <v>721.28700000493768</v>
      </c>
      <c r="E18" s="33">
        <f t="shared" si="0"/>
        <v>5573.5560000041069</v>
      </c>
      <c r="F18" s="33"/>
      <c r="G18" s="33">
        <f>SUM(G8:G16)</f>
        <v>3829.2970000099303</v>
      </c>
      <c r="H18" s="33">
        <f t="shared" ref="H18:I18" si="10">SUM(H8:H16)</f>
        <v>1396.688999990582</v>
      </c>
      <c r="I18" s="33">
        <f t="shared" si="10"/>
        <v>711.39500000481871</v>
      </c>
      <c r="J18" s="33">
        <f t="shared" ref="J18" si="11">SUM(G18:I18)</f>
        <v>5937.3810000053309</v>
      </c>
      <c r="K18" s="33"/>
      <c r="L18" s="33">
        <f>SUM(L8:L16)</f>
        <v>4178.5960000093237</v>
      </c>
      <c r="M18" s="33">
        <f t="shared" ref="M18:N18" si="12">SUM(M8:M16)</f>
        <v>1488.9199999942293</v>
      </c>
      <c r="N18" s="33">
        <f t="shared" si="12"/>
        <v>813.21900000390906</v>
      </c>
      <c r="O18" s="33">
        <f t="shared" ref="O18" si="13">SUM(L18:N18)</f>
        <v>6480.7350000074621</v>
      </c>
      <c r="Q18" s="231" t="str">
        <f>name!E3</f>
        <v>All occupations</v>
      </c>
      <c r="R18" s="33">
        <f>SUM(R8:R16)</f>
        <v>2051.0329999936689</v>
      </c>
      <c r="S18" s="33">
        <f t="shared" ref="S18:T18" si="14">SUM(S8:S16)</f>
        <v>423.00200000529134</v>
      </c>
      <c r="T18" s="33">
        <f t="shared" si="14"/>
        <v>474.95500000527653</v>
      </c>
      <c r="U18" s="33">
        <f t="shared" ref="U18" si="15">SUM(R18:T18)</f>
        <v>2948.9900000042367</v>
      </c>
      <c r="V18" s="33"/>
      <c r="W18" s="33">
        <f>SUM(W8:W16)</f>
        <v>2195.4750000065569</v>
      </c>
      <c r="X18" s="33">
        <f t="shared" ref="X18:Y18" si="16">SUM(X8:X16)</f>
        <v>486.08899999732233</v>
      </c>
      <c r="Y18" s="33">
        <f t="shared" si="16"/>
        <v>431.66600000412723</v>
      </c>
      <c r="Z18" s="33">
        <f t="shared" ref="Z18" si="17">SUM(W18:Y18)</f>
        <v>3113.2300000080068</v>
      </c>
      <c r="AA18" s="33"/>
      <c r="AB18" s="33">
        <f>SUM(AB8:AB16)</f>
        <v>2361.4360000073025</v>
      </c>
      <c r="AC18" s="33">
        <f t="shared" ref="AC18:AD18" si="18">SUM(AC8:AC16)</f>
        <v>547.77099999714471</v>
      </c>
      <c r="AD18" s="33">
        <f t="shared" si="18"/>
        <v>497.40100000404021</v>
      </c>
      <c r="AE18" s="33">
        <f t="shared" ref="AE18" si="19">SUM(AB18:AD18)</f>
        <v>3406.6080000084876</v>
      </c>
      <c r="AG18" s="231" t="str">
        <f>name!E3</f>
        <v>All occupations</v>
      </c>
      <c r="AH18" s="33">
        <f>SUM(AH8:AH16)</f>
        <v>1464.8299999957385</v>
      </c>
      <c r="AI18" s="33">
        <f t="shared" ref="AI18:AJ18" si="20">SUM(AI8:AI16)</f>
        <v>913.40400000446925</v>
      </c>
      <c r="AJ18" s="33">
        <f t="shared" si="20"/>
        <v>246.33199999966098</v>
      </c>
      <c r="AK18" s="33">
        <f t="shared" si="6"/>
        <v>2624.5659999998688</v>
      </c>
      <c r="AL18" s="33"/>
      <c r="AM18" s="33">
        <f>SUM(AM8:AM16)</f>
        <v>1633.8220000033746</v>
      </c>
      <c r="AN18" s="33">
        <f t="shared" ref="AN18:AO18" si="21">SUM(AN8:AN16)</f>
        <v>910.59999999325919</v>
      </c>
      <c r="AO18" s="33">
        <f t="shared" si="21"/>
        <v>279.72900000069171</v>
      </c>
      <c r="AP18" s="33">
        <f t="shared" si="7"/>
        <v>2824.150999997325</v>
      </c>
      <c r="AQ18" s="33"/>
      <c r="AR18" s="33">
        <f>SUM(AR8:AR16)</f>
        <v>1817.1600000020203</v>
      </c>
      <c r="AS18" s="33">
        <f t="shared" ref="AS18:AT18" si="22">SUM(AS8:AS16)</f>
        <v>941.14899999708473</v>
      </c>
      <c r="AT18" s="33">
        <f t="shared" si="22"/>
        <v>315.81799999986879</v>
      </c>
      <c r="AU18" s="33">
        <f t="shared" si="8"/>
        <v>3074.126999998974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5" t="s">
        <v>34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5" t="s">
        <v>34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5" t="s">
        <v>34</v>
      </c>
    </row>
    <row r="22" spans="1:47" x14ac:dyDescent="0.2">
      <c r="A22" s="35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Q22" s="35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G22" s="35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</row>
    <row r="23" spans="1:47" x14ac:dyDescent="0.2">
      <c r="B23" s="375">
        <f>B5</f>
        <v>2015</v>
      </c>
      <c r="C23" s="375"/>
      <c r="D23" s="375"/>
      <c r="E23" s="375"/>
      <c r="F23" s="1"/>
      <c r="G23" s="375">
        <f>G5</f>
        <v>2020</v>
      </c>
      <c r="H23" s="375"/>
      <c r="I23" s="375"/>
      <c r="J23" s="375"/>
      <c r="K23" s="1"/>
      <c r="L23" s="375">
        <f>L5</f>
        <v>2035</v>
      </c>
      <c r="M23" s="375"/>
      <c r="N23" s="375"/>
      <c r="O23" s="375"/>
      <c r="R23" s="375">
        <f>R5</f>
        <v>2015</v>
      </c>
      <c r="S23" s="375"/>
      <c r="T23" s="375"/>
      <c r="U23" s="375"/>
      <c r="V23" s="1"/>
      <c r="W23" s="375">
        <f>W5</f>
        <v>2020</v>
      </c>
      <c r="X23" s="375"/>
      <c r="Y23" s="375"/>
      <c r="Z23" s="375"/>
      <c r="AA23" s="1"/>
      <c r="AB23" s="375">
        <f>AB5</f>
        <v>2035</v>
      </c>
      <c r="AC23" s="375"/>
      <c r="AD23" s="375"/>
      <c r="AE23" s="375"/>
      <c r="AH23" s="375">
        <f>AH5</f>
        <v>2015</v>
      </c>
      <c r="AI23" s="375"/>
      <c r="AJ23" s="375"/>
      <c r="AK23" s="375"/>
      <c r="AL23" s="1"/>
      <c r="AM23" s="375">
        <f>AM5</f>
        <v>2020</v>
      </c>
      <c r="AN23" s="375"/>
      <c r="AO23" s="375"/>
      <c r="AP23" s="375"/>
      <c r="AQ23" s="1"/>
      <c r="AR23" s="375">
        <f>AR5</f>
        <v>2035</v>
      </c>
      <c r="AS23" s="375"/>
      <c r="AT23" s="375"/>
      <c r="AU23" s="375"/>
    </row>
    <row r="24" spans="1:47" x14ac:dyDescent="0.2">
      <c r="A24" s="40" t="s">
        <v>463</v>
      </c>
      <c r="B24" s="337" t="s">
        <v>339</v>
      </c>
      <c r="C24" s="337" t="s">
        <v>341</v>
      </c>
      <c r="D24" s="337" t="s">
        <v>337</v>
      </c>
      <c r="E24" s="337" t="s">
        <v>32</v>
      </c>
      <c r="F24" s="338"/>
      <c r="G24" s="337" t="s">
        <v>339</v>
      </c>
      <c r="H24" s="337" t="s">
        <v>341</v>
      </c>
      <c r="I24" s="337" t="s">
        <v>337</v>
      </c>
      <c r="J24" s="337" t="s">
        <v>32</v>
      </c>
      <c r="K24" s="338"/>
      <c r="L24" s="337" t="s">
        <v>339</v>
      </c>
      <c r="M24" s="337" t="s">
        <v>341</v>
      </c>
      <c r="N24" s="337" t="s">
        <v>337</v>
      </c>
      <c r="O24" s="337" t="s">
        <v>32</v>
      </c>
      <c r="Q24" s="40" t="s">
        <v>463</v>
      </c>
      <c r="R24" s="337" t="s">
        <v>339</v>
      </c>
      <c r="S24" s="337" t="s">
        <v>341</v>
      </c>
      <c r="T24" s="337" t="s">
        <v>337</v>
      </c>
      <c r="U24" s="337" t="s">
        <v>32</v>
      </c>
      <c r="V24" s="338"/>
      <c r="W24" s="337" t="s">
        <v>339</v>
      </c>
      <c r="X24" s="337" t="s">
        <v>341</v>
      </c>
      <c r="Y24" s="337" t="s">
        <v>337</v>
      </c>
      <c r="Z24" s="337" t="s">
        <v>32</v>
      </c>
      <c r="AA24" s="338"/>
      <c r="AB24" s="337" t="s">
        <v>339</v>
      </c>
      <c r="AC24" s="337" t="s">
        <v>341</v>
      </c>
      <c r="AD24" s="337" t="s">
        <v>337</v>
      </c>
      <c r="AE24" s="337" t="s">
        <v>32</v>
      </c>
      <c r="AG24" s="40" t="s">
        <v>463</v>
      </c>
      <c r="AH24" s="337" t="s">
        <v>339</v>
      </c>
      <c r="AI24" s="337" t="s">
        <v>341</v>
      </c>
      <c r="AJ24" s="337" t="s">
        <v>337</v>
      </c>
      <c r="AK24" s="337" t="s">
        <v>32</v>
      </c>
      <c r="AL24" s="338"/>
      <c r="AM24" s="337" t="s">
        <v>339</v>
      </c>
      <c r="AN24" s="337" t="s">
        <v>341</v>
      </c>
      <c r="AO24" s="337" t="s">
        <v>337</v>
      </c>
      <c r="AP24" s="337" t="s">
        <v>32</v>
      </c>
      <c r="AQ24" s="338"/>
      <c r="AR24" s="337" t="s">
        <v>339</v>
      </c>
      <c r="AS24" s="337" t="s">
        <v>341</v>
      </c>
      <c r="AT24" s="337" t="s">
        <v>337</v>
      </c>
      <c r="AU24" s="337" t="s">
        <v>32</v>
      </c>
    </row>
    <row r="25" spans="1:47" x14ac:dyDescent="0.2">
      <c r="A25" s="1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Q25" s="1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G25" s="1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</row>
    <row r="26" spans="1:47" x14ac:dyDescent="0.2">
      <c r="A26" t="str">
        <f>$A$8</f>
        <v>Managers, directors and senior officials</v>
      </c>
      <c r="B26" s="17">
        <f>B8/B$18*100</f>
        <v>13.77721354205419</v>
      </c>
      <c r="C26" s="17">
        <f t="shared" ref="C26:O26" si="23">C8/C$18*100</f>
        <v>4.4616251776714622</v>
      </c>
      <c r="D26" s="17">
        <f t="shared" si="23"/>
        <v>11.430763633124778</v>
      </c>
      <c r="E26" s="17">
        <f t="shared" si="23"/>
        <v>11.239897688540685</v>
      </c>
      <c r="F26" s="17"/>
      <c r="G26" s="17">
        <f t="shared" si="23"/>
        <v>14.18292689904559</v>
      </c>
      <c r="H26" s="17">
        <f t="shared" si="23"/>
        <v>6.2011756695655809</v>
      </c>
      <c r="I26" s="17">
        <f t="shared" si="23"/>
        <v>13.404044121569727</v>
      </c>
      <c r="J26" s="17">
        <f t="shared" si="23"/>
        <v>12.212004457593421</v>
      </c>
      <c r="K26" s="17"/>
      <c r="L26" s="17">
        <f t="shared" si="23"/>
        <v>14.416868409232993</v>
      </c>
      <c r="M26" s="17">
        <f t="shared" si="23"/>
        <v>7.1787833642482104</v>
      </c>
      <c r="N26" s="17">
        <f t="shared" si="23"/>
        <v>14.278777554965973</v>
      </c>
      <c r="O26" s="17">
        <f t="shared" si="23"/>
        <v>12.73662262051595</v>
      </c>
      <c r="Q26" t="str">
        <f>$A$8</f>
        <v>Managers, directors and senior officials</v>
      </c>
      <c r="R26" s="17">
        <f>R8/R$18*100</f>
        <v>15.888547278374343</v>
      </c>
      <c r="S26" s="17">
        <f t="shared" ref="S26:U26" si="24">S8/S$18*100</f>
        <v>5.8792128447029972</v>
      </c>
      <c r="T26" s="17">
        <f t="shared" si="24"/>
        <v>11.808762110496135</v>
      </c>
      <c r="U26" s="17">
        <f t="shared" si="24"/>
        <v>13.79573487528479</v>
      </c>
      <c r="V26" s="17"/>
      <c r="W26" s="17">
        <f t="shared" ref="W26:Z26" si="25">W8/W$18*100</f>
        <v>16.330292659176273</v>
      </c>
      <c r="X26" s="17">
        <f t="shared" si="25"/>
        <v>7.4955866992649431</v>
      </c>
      <c r="Y26" s="17">
        <f t="shared" si="25"/>
        <v>14.128465230134873</v>
      </c>
      <c r="Z26" s="17">
        <f t="shared" si="25"/>
        <v>14.645576970228177</v>
      </c>
      <c r="AA26" s="17"/>
      <c r="AB26" s="17">
        <f t="shared" ref="AB26:AE26" si="26">AB8/AB$18*100</f>
        <v>15.923273524181008</v>
      </c>
      <c r="AC26" s="17">
        <f t="shared" si="26"/>
        <v>8.6803343252592509</v>
      </c>
      <c r="AD26" s="17">
        <f t="shared" si="26"/>
        <v>15.120715407773913</v>
      </c>
      <c r="AE26" s="17">
        <f t="shared" si="26"/>
        <v>14.641451471992067</v>
      </c>
      <c r="AG26" t="str">
        <f>$A$8</f>
        <v>Managers, directors and senior officials</v>
      </c>
      <c r="AH26" s="17">
        <f>AH8/AH$18*100</f>
        <v>10.820955705168576</v>
      </c>
      <c r="AI26" s="17">
        <f t="shared" ref="AI26:AK26" si="27">AI8/AI$18*100</f>
        <v>3.805133178146348</v>
      </c>
      <c r="AJ26" s="17">
        <f t="shared" si="27"/>
        <v>10.701941284334705</v>
      </c>
      <c r="AK26" s="17">
        <f t="shared" si="27"/>
        <v>8.3681321069749313</v>
      </c>
      <c r="AL26" s="17"/>
      <c r="AM26" s="17">
        <f t="shared" ref="AM26:AP26" si="28">AM8/AM$18*100</f>
        <v>11.297369082938795</v>
      </c>
      <c r="AN26" s="17">
        <f t="shared" si="28"/>
        <v>5.5102038235116471</v>
      </c>
      <c r="AO26" s="17">
        <f t="shared" si="28"/>
        <v>12.286148006929851</v>
      </c>
      <c r="AP26" s="17">
        <f t="shared" si="28"/>
        <v>9.5293324072899726</v>
      </c>
      <c r="AQ26" s="17"/>
      <c r="AR26" s="17">
        <f t="shared" ref="AR26:AU26" si="29">AR8/AR$18*100</f>
        <v>12.459264637947363</v>
      </c>
      <c r="AS26" s="17">
        <f t="shared" si="29"/>
        <v>6.3048451552481053</v>
      </c>
      <c r="AT26" s="17">
        <f t="shared" si="29"/>
        <v>12.952758360594215</v>
      </c>
      <c r="AU26" s="17">
        <f t="shared" si="29"/>
        <v>10.62577775168403</v>
      </c>
    </row>
    <row r="27" spans="1:47" x14ac:dyDescent="0.2">
      <c r="A27" t="str">
        <f>$A$9</f>
        <v>Professional occupations</v>
      </c>
      <c r="B27" s="17">
        <f t="shared" ref="B27:B34" si="30">B9/B$18*100</f>
        <v>31.422026279634718</v>
      </c>
      <c r="C27" s="17">
        <f t="shared" ref="C27:O27" si="31">C9/C$18*100</f>
        <v>19.139500133475607</v>
      </c>
      <c r="D27" s="17">
        <f t="shared" si="31"/>
        <v>21.618159196975594</v>
      </c>
      <c r="E27" s="17">
        <f t="shared" si="31"/>
        <v>27.208227492382044</v>
      </c>
      <c r="F27" s="17"/>
      <c r="G27" s="17">
        <f t="shared" si="31"/>
        <v>34.750825889130361</v>
      </c>
      <c r="H27" s="17">
        <f t="shared" si="31"/>
        <v>21.203354882587004</v>
      </c>
      <c r="I27" s="17">
        <f t="shared" si="31"/>
        <v>26.336427772719752</v>
      </c>
      <c r="J27" s="17">
        <f t="shared" si="31"/>
        <v>30.555783583343928</v>
      </c>
      <c r="K27" s="17"/>
      <c r="L27" s="17">
        <f t="shared" si="31"/>
        <v>38.158013783134791</v>
      </c>
      <c r="M27" s="17">
        <f t="shared" si="31"/>
        <v>24.173810657086296</v>
      </c>
      <c r="N27" s="17">
        <f t="shared" si="31"/>
        <v>23.113916185495498</v>
      </c>
      <c r="O27" s="17">
        <f t="shared" si="31"/>
        <v>33.057434030586542</v>
      </c>
      <c r="Q27" t="str">
        <f>$A$9</f>
        <v>Professional occupations</v>
      </c>
      <c r="R27" s="17">
        <f t="shared" ref="R27:U27" si="32">R9/R$18*100</f>
        <v>29.467246552269682</v>
      </c>
      <c r="S27" s="17">
        <f t="shared" si="32"/>
        <v>12.836510516274622</v>
      </c>
      <c r="T27" s="17">
        <f t="shared" si="32"/>
        <v>20.529855846998885</v>
      </c>
      <c r="U27" s="17">
        <f t="shared" si="32"/>
        <v>25.642312250275157</v>
      </c>
      <c r="V27" s="17"/>
      <c r="W27" s="17">
        <f t="shared" ref="W27:Z27" si="33">W9/W$18*100</f>
        <v>32.488082867527105</v>
      </c>
      <c r="X27" s="17">
        <f t="shared" si="33"/>
        <v>16.496003842268344</v>
      </c>
      <c r="Y27" s="17">
        <f t="shared" si="33"/>
        <v>25.475646154607627</v>
      </c>
      <c r="Z27" s="17">
        <f t="shared" si="33"/>
        <v>29.018822900423341</v>
      </c>
      <c r="AA27" s="17"/>
      <c r="AB27" s="17">
        <f t="shared" ref="AB27:AE27" si="34">AB9/AB$18*100</f>
        <v>35.810361265807153</v>
      </c>
      <c r="AC27" s="17">
        <f t="shared" si="34"/>
        <v>20.555459073789077</v>
      </c>
      <c r="AD27" s="17">
        <f t="shared" si="34"/>
        <v>21.965440654930013</v>
      </c>
      <c r="AE27" s="17">
        <f t="shared" si="34"/>
        <v>31.335919127067019</v>
      </c>
      <c r="AG27" t="str">
        <f>$A$9</f>
        <v>Professional occupations</v>
      </c>
      <c r="AH27" s="17">
        <f t="shared" ref="AH27:AK27" si="35">AH9/AH$18*100</f>
        <v>34.159079540802225</v>
      </c>
      <c r="AI27" s="17">
        <f t="shared" si="35"/>
        <v>22.05844642019601</v>
      </c>
      <c r="AJ27" s="17">
        <f t="shared" si="35"/>
        <v>23.7165269185653</v>
      </c>
      <c r="AK27" s="17">
        <f t="shared" si="35"/>
        <v>28.967706350916245</v>
      </c>
      <c r="AL27" s="17"/>
      <c r="AM27" s="17">
        <f t="shared" ref="AM27:AP27" si="36">AM9/AM$18*100</f>
        <v>37.791423784959264</v>
      </c>
      <c r="AN27" s="17">
        <f t="shared" si="36"/>
        <v>23.716194285004942</v>
      </c>
      <c r="AO27" s="17">
        <f t="shared" si="36"/>
        <v>27.66474967701507</v>
      </c>
      <c r="AP27" s="17">
        <f t="shared" si="36"/>
        <v>32.250066965112715</v>
      </c>
      <c r="AQ27" s="17"/>
      <c r="AR27" s="17">
        <f t="shared" ref="AR27:AU27" si="37">AR9/AR$18*100</f>
        <v>41.208835488388644</v>
      </c>
      <c r="AS27" s="17">
        <f t="shared" si="37"/>
        <v>26.279776944178053</v>
      </c>
      <c r="AT27" s="17">
        <f t="shared" si="37"/>
        <v>24.922720235244693</v>
      </c>
      <c r="AU27" s="17">
        <f t="shared" si="37"/>
        <v>34.965138703316526</v>
      </c>
    </row>
    <row r="28" spans="1:47" x14ac:dyDescent="0.2">
      <c r="A28" t="str">
        <f>$A$10</f>
        <v>Associate professional occupations</v>
      </c>
      <c r="B28" s="17">
        <f t="shared" si="30"/>
        <v>19.128091458874145</v>
      </c>
      <c r="C28" s="17">
        <f t="shared" ref="C28:O28" si="38">C10/C$18*100</f>
        <v>11.759888520968088</v>
      </c>
      <c r="D28" s="17">
        <f t="shared" si="38"/>
        <v>19.712515566755702</v>
      </c>
      <c r="E28" s="17">
        <f t="shared" si="38"/>
        <v>17.437003560233524</v>
      </c>
      <c r="F28" s="17"/>
      <c r="G28" s="17">
        <f t="shared" si="38"/>
        <v>19.830213998581566</v>
      </c>
      <c r="H28" s="17">
        <f t="shared" si="38"/>
        <v>12.195494228930247</v>
      </c>
      <c r="I28" s="17">
        <f t="shared" si="38"/>
        <v>21.898805993120433</v>
      </c>
      <c r="J28" s="17">
        <f t="shared" si="38"/>
        <v>18.28209991961149</v>
      </c>
      <c r="K28" s="17"/>
      <c r="L28" s="17">
        <f t="shared" si="38"/>
        <v>19.063348954074975</v>
      </c>
      <c r="M28" s="17">
        <f t="shared" si="38"/>
        <v>12.49455111567503</v>
      </c>
      <c r="N28" s="17">
        <f t="shared" si="38"/>
        <v>20.689935208753585</v>
      </c>
      <c r="O28" s="17">
        <f t="shared" si="38"/>
        <v>17.758305061668793</v>
      </c>
      <c r="Q28" t="str">
        <f>$A$10</f>
        <v>Associate professional occupations</v>
      </c>
      <c r="R28" s="17">
        <f t="shared" ref="R28:U28" si="39">R10/R$18*100</f>
        <v>19.820075247744587</v>
      </c>
      <c r="S28" s="17">
        <f t="shared" si="39"/>
        <v>10.330661028523197</v>
      </c>
      <c r="T28" s="17">
        <f t="shared" si="39"/>
        <v>16.721061654402195</v>
      </c>
      <c r="U28" s="17">
        <f t="shared" si="39"/>
        <v>17.959799968803765</v>
      </c>
      <c r="V28" s="17"/>
      <c r="W28" s="17">
        <f t="shared" ref="W28:Z28" si="40">W10/W$18*100</f>
        <v>20.177699089055654</v>
      </c>
      <c r="X28" s="17">
        <f t="shared" si="40"/>
        <v>11.194228725353874</v>
      </c>
      <c r="Y28" s="17">
        <f t="shared" si="40"/>
        <v>18.825768113431028</v>
      </c>
      <c r="Z28" s="17">
        <f t="shared" si="40"/>
        <v>18.587598530435116</v>
      </c>
      <c r="AA28" s="17"/>
      <c r="AB28" s="17">
        <f t="shared" ref="AB28:AE28" si="41">AB10/AB$18*100</f>
        <v>18.922074237949076</v>
      </c>
      <c r="AC28" s="17">
        <f t="shared" si="41"/>
        <v>9.5335696366418325</v>
      </c>
      <c r="AD28" s="17">
        <f t="shared" si="41"/>
        <v>17.422849745264923</v>
      </c>
      <c r="AE28" s="17">
        <f t="shared" si="41"/>
        <v>17.193531853321069</v>
      </c>
      <c r="AG28" t="str">
        <f>$A$10</f>
        <v>Associate professional occupations</v>
      </c>
      <c r="AH28" s="17">
        <f t="shared" ref="AH28:AK28" si="42">AH10/AH$18*100</f>
        <v>18.159186134407737</v>
      </c>
      <c r="AI28" s="17">
        <f t="shared" si="42"/>
        <v>12.421770982358421</v>
      </c>
      <c r="AJ28" s="17">
        <f t="shared" si="42"/>
        <v>25.480365431814217</v>
      </c>
      <c r="AK28" s="17">
        <f t="shared" si="42"/>
        <v>16.849584009377537</v>
      </c>
      <c r="AL28" s="17"/>
      <c r="AM28" s="17">
        <f t="shared" ref="AM28:AP28" si="43">AM10/AM$18*100</f>
        <v>19.363275232296594</v>
      </c>
      <c r="AN28" s="17">
        <f t="shared" si="43"/>
        <v>12.72998154209613</v>
      </c>
      <c r="AO28" s="17">
        <f t="shared" si="43"/>
        <v>26.640988496126582</v>
      </c>
      <c r="AP28" s="17">
        <f t="shared" si="43"/>
        <v>17.94533058958001</v>
      </c>
      <c r="AQ28" s="17"/>
      <c r="AR28" s="17">
        <f t="shared" ref="AR28:AU28" si="44">AR10/AR$18*100</f>
        <v>19.246938291585234</v>
      </c>
      <c r="AS28" s="17">
        <f t="shared" si="44"/>
        <v>14.217912438640962</v>
      </c>
      <c r="AT28" s="17">
        <f t="shared" si="44"/>
        <v>25.835467055065692</v>
      </c>
      <c r="AU28" s="17">
        <f t="shared" si="44"/>
        <v>18.384161094860811</v>
      </c>
    </row>
    <row r="29" spans="1:47" x14ac:dyDescent="0.2">
      <c r="A29" t="str">
        <f>$A$11</f>
        <v>Administrative and secretarial occupations</v>
      </c>
      <c r="B29" s="17">
        <f t="shared" si="30"/>
        <v>9.1131590344275999</v>
      </c>
      <c r="C29" s="17">
        <f t="shared" ref="C29:O29" si="45">C11/C$18*100</f>
        <v>11.997614950651867</v>
      </c>
      <c r="D29" s="17">
        <f t="shared" si="45"/>
        <v>2.9059993537295674</v>
      </c>
      <c r="E29" s="17">
        <f t="shared" si="45"/>
        <v>9.0014997290512699</v>
      </c>
      <c r="F29" s="17"/>
      <c r="G29" s="17">
        <f t="shared" si="45"/>
        <v>8.2634675271638027</v>
      </c>
      <c r="H29" s="17">
        <f t="shared" si="45"/>
        <v>11.224215819840831</v>
      </c>
      <c r="I29" s="17">
        <f t="shared" si="45"/>
        <v>2.6929524307424981</v>
      </c>
      <c r="J29" s="17">
        <f t="shared" si="45"/>
        <v>8.2925052434695719</v>
      </c>
      <c r="K29" s="17"/>
      <c r="L29" s="17">
        <f t="shared" si="45"/>
        <v>6.192586378958306</v>
      </c>
      <c r="M29" s="17">
        <f t="shared" si="45"/>
        <v>9.3037016337934428</v>
      </c>
      <c r="N29" s="17">
        <f t="shared" si="45"/>
        <v>2.0737288809648033</v>
      </c>
      <c r="O29" s="17">
        <f t="shared" si="45"/>
        <v>6.3905066070702139</v>
      </c>
      <c r="Q29" t="str">
        <f>$A$11</f>
        <v>Administrative and secretarial occupations</v>
      </c>
      <c r="R29" s="17">
        <f t="shared" ref="R29:U29" si="46">R11/R$18*100</f>
        <v>4.1789211520893454</v>
      </c>
      <c r="S29" s="17">
        <f t="shared" si="46"/>
        <v>4.6135901701514603</v>
      </c>
      <c r="T29" s="17">
        <f t="shared" si="46"/>
        <v>1.1191335234294446</v>
      </c>
      <c r="U29" s="17">
        <f t="shared" si="46"/>
        <v>3.7484701945737644</v>
      </c>
      <c r="V29" s="17"/>
      <c r="W29" s="17">
        <f t="shared" ref="W29:Z29" si="47">W11/W$18*100</f>
        <v>4.3046529049260149</v>
      </c>
      <c r="X29" s="17">
        <f t="shared" si="47"/>
        <v>4.7324991785188235</v>
      </c>
      <c r="Y29" s="17">
        <f t="shared" si="47"/>
        <v>1.2044128770759575</v>
      </c>
      <c r="Z29" s="17">
        <f t="shared" si="47"/>
        <v>3.9415904763266174</v>
      </c>
      <c r="AA29" s="17"/>
      <c r="AB29" s="17">
        <f t="shared" ref="AB29:AE29" si="48">AB11/AB$18*100</f>
        <v>3.941183874885565</v>
      </c>
      <c r="AC29" s="17">
        <f t="shared" si="48"/>
        <v>3.0329980635176206</v>
      </c>
      <c r="AD29" s="17">
        <f t="shared" si="48"/>
        <v>1.2363735387208621</v>
      </c>
      <c r="AE29" s="17">
        <f t="shared" si="48"/>
        <v>3.4002196030640834</v>
      </c>
      <c r="AG29" t="str">
        <f>$A$11</f>
        <v>Administrative and secretarial occupations</v>
      </c>
      <c r="AH29" s="17">
        <f t="shared" ref="AH29:AK29" si="49">AH11/AH$18*100</f>
        <v>16.022004925434789</v>
      </c>
      <c r="AI29" s="17">
        <f t="shared" si="49"/>
        <v>15.417194074703247</v>
      </c>
      <c r="AJ29" s="17">
        <f t="shared" si="49"/>
        <v>6.3512718333131897</v>
      </c>
      <c r="AK29" s="17">
        <f t="shared" si="49"/>
        <v>14.903859039848502</v>
      </c>
      <c r="AL29" s="17"/>
      <c r="AM29" s="17">
        <f t="shared" ref="AM29:AP29" si="50">AM11/AM$18*100</f>
        <v>13.583189340657237</v>
      </c>
      <c r="AN29" s="17">
        <f t="shared" si="50"/>
        <v>14.689570586444786</v>
      </c>
      <c r="AO29" s="17">
        <f t="shared" si="50"/>
        <v>4.9900039162072689</v>
      </c>
      <c r="AP29" s="17">
        <f t="shared" si="50"/>
        <v>13.088777957131164</v>
      </c>
      <c r="AQ29" s="17"/>
      <c r="AR29" s="17">
        <f t="shared" ref="AR29:AU29" si="51">AR11/AR$18*100</f>
        <v>9.1183292544442569</v>
      </c>
      <c r="AS29" s="17">
        <f t="shared" si="51"/>
        <v>12.953399572574964</v>
      </c>
      <c r="AT29" s="17">
        <f t="shared" si="51"/>
        <v>3.3925308003963601</v>
      </c>
      <c r="AU29" s="17">
        <f t="shared" si="51"/>
        <v>9.7042069292013728</v>
      </c>
    </row>
    <row r="30" spans="1:47" x14ac:dyDescent="0.2">
      <c r="A30" t="str">
        <f>$A$12</f>
        <v>Skilled trades occupations</v>
      </c>
      <c r="B30" s="17">
        <f t="shared" si="30"/>
        <v>6.8923277124263782</v>
      </c>
      <c r="C30" s="17">
        <f t="shared" ref="C30:O30" si="52">C12/C$18*100</f>
        <v>2.7924489558408165</v>
      </c>
      <c r="D30" s="17">
        <f t="shared" si="52"/>
        <v>21.995625743790875</v>
      </c>
      <c r="E30" s="17">
        <f t="shared" si="52"/>
        <v>7.8638277668989414</v>
      </c>
      <c r="F30" s="17"/>
      <c r="G30" s="17">
        <f t="shared" si="52"/>
        <v>5.7021239069489953</v>
      </c>
      <c r="H30" s="17">
        <f t="shared" si="52"/>
        <v>2.4092439143451654</v>
      </c>
      <c r="I30" s="17">
        <f t="shared" si="52"/>
        <v>15.434820174179778</v>
      </c>
      <c r="J30" s="17">
        <f t="shared" si="52"/>
        <v>6.0936538082830376</v>
      </c>
      <c r="K30" s="17"/>
      <c r="L30" s="17">
        <f t="shared" si="52"/>
        <v>5.4507002897427386</v>
      </c>
      <c r="M30" s="17">
        <f t="shared" si="52"/>
        <v>2.7357267296818342</v>
      </c>
      <c r="N30" s="17">
        <f t="shared" si="52"/>
        <v>17.224074259627223</v>
      </c>
      <c r="O30" s="17">
        <f t="shared" si="52"/>
        <v>6.3042999159309607</v>
      </c>
      <c r="Q30" t="str">
        <f>$A$12</f>
        <v>Skilled trades occupations</v>
      </c>
      <c r="R30" s="17">
        <f t="shared" ref="R30:U30" si="53">R12/R$18*100</f>
        <v>10.603951249625174</v>
      </c>
      <c r="S30" s="17">
        <f t="shared" si="53"/>
        <v>6.1762461250003389</v>
      </c>
      <c r="T30" s="17">
        <f t="shared" si="53"/>
        <v>30.90574151534015</v>
      </c>
      <c r="U30" s="17">
        <f t="shared" si="53"/>
        <v>13.238585030207217</v>
      </c>
      <c r="V30" s="17"/>
      <c r="W30" s="17">
        <f t="shared" ref="W30:Z30" si="54">W12/W$18*100</f>
        <v>8.7719840227771027</v>
      </c>
      <c r="X30" s="17">
        <f t="shared" si="54"/>
        <v>4.5704897264481303</v>
      </c>
      <c r="Y30" s="17">
        <f t="shared" si="54"/>
        <v>22.040414339106196</v>
      </c>
      <c r="Z30" s="17">
        <f t="shared" si="54"/>
        <v>9.9557160567022525</v>
      </c>
      <c r="AA30" s="17"/>
      <c r="AB30" s="17">
        <f t="shared" ref="AB30:AE30" si="55">AB12/AB$18*100</f>
        <v>8.283052977578361</v>
      </c>
      <c r="AC30" s="17">
        <f t="shared" si="55"/>
        <v>4.8581964292610751</v>
      </c>
      <c r="AD30" s="17">
        <f t="shared" si="55"/>
        <v>23.94379997668802</v>
      </c>
      <c r="AE30" s="17">
        <f t="shared" si="55"/>
        <v>10.018983299421718</v>
      </c>
      <c r="AG30" t="str">
        <f>$A$12</f>
        <v>Skilled trades occupations</v>
      </c>
      <c r="AH30" s="17">
        <f t="shared" ref="AH30:AK30" si="56">AH12/AH$18*100</f>
        <v>1.6953680936514084</v>
      </c>
      <c r="AI30" s="17">
        <f t="shared" si="56"/>
        <v>1.2253954174725601</v>
      </c>
      <c r="AJ30" s="17">
        <f t="shared" si="56"/>
        <v>4.8159493869674579</v>
      </c>
      <c r="AK30" s="17">
        <f t="shared" si="56"/>
        <v>1.8246938979289622</v>
      </c>
      <c r="AL30" s="17"/>
      <c r="AM30" s="17">
        <f t="shared" ref="AM30:AP30" si="57">AM12/AM$18*100</f>
        <v>1.5769492319819989</v>
      </c>
      <c r="AN30" s="17">
        <f t="shared" si="57"/>
        <v>1.2555454566674717</v>
      </c>
      <c r="AO30" s="17">
        <f t="shared" si="57"/>
        <v>5.2413457370733436</v>
      </c>
      <c r="AP30" s="17">
        <f t="shared" si="57"/>
        <v>1.8362723673868282</v>
      </c>
      <c r="AQ30" s="17"/>
      <c r="AR30" s="17">
        <f t="shared" ref="AR30:AU30" si="58">AR12/AR$18*100</f>
        <v>1.7700009557462617</v>
      </c>
      <c r="AS30" s="17">
        <f t="shared" si="58"/>
        <v>1.5003991143884441</v>
      </c>
      <c r="AT30" s="17">
        <f t="shared" si="58"/>
        <v>6.6407690287021497</v>
      </c>
      <c r="AU30" s="17">
        <f t="shared" si="58"/>
        <v>2.1878564080009304</v>
      </c>
    </row>
    <row r="31" spans="1:47" x14ac:dyDescent="0.2">
      <c r="A31" t="str">
        <f>$A$13</f>
        <v>Caring, leisure and other service occupations</v>
      </c>
      <c r="B31" s="17">
        <f t="shared" si="30"/>
        <v>5.5287060293288279</v>
      </c>
      <c r="C31" s="17">
        <f t="shared" ref="C31:O31" si="59">C13/C$18*100</f>
        <v>9.8196223884221165</v>
      </c>
      <c r="D31" s="17">
        <f t="shared" si="59"/>
        <v>4.6467234238482185</v>
      </c>
      <c r="E31" s="17">
        <f t="shared" si="59"/>
        <v>6.4434261434292166</v>
      </c>
      <c r="F31" s="17"/>
      <c r="G31" s="17">
        <f t="shared" si="59"/>
        <v>5.1000255351365551</v>
      </c>
      <c r="H31" s="17">
        <f t="shared" si="59"/>
        <v>8.8804799336416487</v>
      </c>
      <c r="I31" s="17">
        <f t="shared" si="59"/>
        <v>5.4915199571879967</v>
      </c>
      <c r="J31" s="17">
        <f t="shared" si="59"/>
        <v>6.0362339825530604</v>
      </c>
      <c r="K31" s="17"/>
      <c r="L31" s="17">
        <f t="shared" si="59"/>
        <v>5.519071814981884</v>
      </c>
      <c r="M31" s="17">
        <f t="shared" si="59"/>
        <v>8.5249163784210964</v>
      </c>
      <c r="N31" s="17">
        <f t="shared" si="59"/>
        <v>6.2589796182189561</v>
      </c>
      <c r="O31" s="17">
        <f t="shared" si="59"/>
        <v>6.3024967152773375</v>
      </c>
      <c r="Q31" t="str">
        <f>$A$13</f>
        <v>Caring, leisure and other service occupations</v>
      </c>
      <c r="R31" s="17">
        <f t="shared" ref="R31:U31" si="60">R13/R$18*100</f>
        <v>3.0172660562398512</v>
      </c>
      <c r="S31" s="17">
        <f t="shared" si="60"/>
        <v>6.5765711124257136</v>
      </c>
      <c r="T31" s="17">
        <f t="shared" si="60"/>
        <v>1.3904424308368846</v>
      </c>
      <c r="U31" s="17">
        <f t="shared" si="60"/>
        <v>3.265800348449273</v>
      </c>
      <c r="V31" s="17"/>
      <c r="W31" s="17">
        <f t="shared" ref="W31:Z31" si="61">W13/W$18*100</f>
        <v>2.916957251795568</v>
      </c>
      <c r="X31" s="17">
        <f t="shared" si="61"/>
        <v>6.6515332734938983</v>
      </c>
      <c r="Y31" s="17">
        <f t="shared" si="61"/>
        <v>1.9457505082060136</v>
      </c>
      <c r="Z31" s="17">
        <f t="shared" si="61"/>
        <v>3.3653980652322208</v>
      </c>
      <c r="AA31" s="17"/>
      <c r="AB31" s="17">
        <f t="shared" ref="AB31:AE31" si="62">AB13/AB$18*100</f>
        <v>3.4809731310900567</v>
      </c>
      <c r="AC31" s="17">
        <f t="shared" si="62"/>
        <v>7.0767626522471998</v>
      </c>
      <c r="AD31" s="17">
        <f t="shared" si="62"/>
        <v>2.5817293084004209</v>
      </c>
      <c r="AE31" s="17">
        <f t="shared" si="62"/>
        <v>3.9278647150722539</v>
      </c>
      <c r="AG31" t="str">
        <f>$A$13</f>
        <v>Caring, leisure and other service occupations</v>
      </c>
      <c r="AH31" s="17">
        <f t="shared" ref="AH31:AK31" si="63">AH13/AH$18*100</f>
        <v>9.0451866191062731</v>
      </c>
      <c r="AI31" s="17">
        <f t="shared" si="63"/>
        <v>11.321495793683624</v>
      </c>
      <c r="AJ31" s="17">
        <f t="shared" si="63"/>
        <v>10.925188824425526</v>
      </c>
      <c r="AK31" s="17">
        <f t="shared" si="63"/>
        <v>10.01383995399898</v>
      </c>
      <c r="AL31" s="17"/>
      <c r="AM31" s="17">
        <f t="shared" ref="AM31:AP31" si="64">AM13/AM$18*100</f>
        <v>8.033559199986497</v>
      </c>
      <c r="AN31" s="17">
        <f t="shared" si="64"/>
        <v>10.07031790101108</v>
      </c>
      <c r="AO31" s="17">
        <f t="shared" si="64"/>
        <v>10.963201888539787</v>
      </c>
      <c r="AP31" s="17">
        <f t="shared" si="64"/>
        <v>8.9804556275394667</v>
      </c>
      <c r="AQ31" s="17"/>
      <c r="AR31" s="17">
        <f t="shared" ref="AR31:AU31" si="65">AR13/AR$18*100</f>
        <v>8.1676220822694887</v>
      </c>
      <c r="AS31" s="17">
        <f t="shared" si="65"/>
        <v>9.367776132549638</v>
      </c>
      <c r="AT31" s="17">
        <f t="shared" si="65"/>
        <v>12.050505058091503</v>
      </c>
      <c r="AU31" s="17">
        <f t="shared" si="65"/>
        <v>8.9339561081318042</v>
      </c>
    </row>
    <row r="32" spans="1:47" x14ac:dyDescent="0.2">
      <c r="A32" t="str">
        <f>$A$14</f>
        <v>Sales and customer service occupations</v>
      </c>
      <c r="B32" s="17">
        <f t="shared" si="30"/>
        <v>4.3404972087574158</v>
      </c>
      <c r="C32" s="17">
        <f t="shared" ref="C32:O32" si="66">C14/C$18*100</f>
        <v>16.423325841397531</v>
      </c>
      <c r="D32" s="17">
        <f t="shared" si="66"/>
        <v>3.2839097054806956</v>
      </c>
      <c r="E32" s="17">
        <f t="shared" si="66"/>
        <v>7.1009362984978761</v>
      </c>
      <c r="F32" s="17"/>
      <c r="G32" s="17">
        <f t="shared" si="66"/>
        <v>3.7714956187263566</v>
      </c>
      <c r="H32" s="17">
        <f t="shared" si="66"/>
        <v>14.459814727621897</v>
      </c>
      <c r="I32" s="17">
        <f t="shared" si="66"/>
        <v>2.199067740267111</v>
      </c>
      <c r="J32" s="17">
        <f t="shared" si="66"/>
        <v>6.097376406428384</v>
      </c>
      <c r="K32" s="17"/>
      <c r="L32" s="17">
        <f t="shared" si="66"/>
        <v>3.4185625997520175</v>
      </c>
      <c r="M32" s="17">
        <f t="shared" si="66"/>
        <v>13.677839141536435</v>
      </c>
      <c r="N32" s="17">
        <f t="shared" si="66"/>
        <v>1.8361175390002999</v>
      </c>
      <c r="O32" s="17">
        <f t="shared" si="66"/>
        <v>5.5770164847901667</v>
      </c>
      <c r="Q32" t="str">
        <f>$A$14</f>
        <v>Sales and customer service occupations</v>
      </c>
      <c r="R32" s="17">
        <f t="shared" ref="R32:U32" si="67">R14/R$18*100</f>
        <v>3.9445902885543531</v>
      </c>
      <c r="S32" s="17">
        <f t="shared" si="67"/>
        <v>19.707348746455278</v>
      </c>
      <c r="T32" s="17">
        <f t="shared" si="67"/>
        <v>3.1733611889983893</v>
      </c>
      <c r="U32" s="17">
        <f t="shared" si="67"/>
        <v>6.0813826263716022</v>
      </c>
      <c r="V32" s="17"/>
      <c r="W32" s="17">
        <f t="shared" ref="W32:Z32" si="68">W14/W$18*100</f>
        <v>3.6098068519519493</v>
      </c>
      <c r="X32" s="17">
        <f t="shared" si="68"/>
        <v>16.649219532773991</v>
      </c>
      <c r="Y32" s="17">
        <f t="shared" si="68"/>
        <v>2.2213969183460165</v>
      </c>
      <c r="Z32" s="17">
        <f t="shared" si="68"/>
        <v>5.4532253299162381</v>
      </c>
      <c r="AA32" s="17"/>
      <c r="AB32" s="17">
        <f t="shared" ref="AB32:AE32" si="69">AB14/AB$18*100</f>
        <v>3.4377866701748401</v>
      </c>
      <c r="AC32" s="17">
        <f t="shared" si="69"/>
        <v>15.598924403163089</v>
      </c>
      <c r="AD32" s="17">
        <f t="shared" si="69"/>
        <v>1.8284851424251272</v>
      </c>
      <c r="AE32" s="17">
        <f t="shared" si="69"/>
        <v>5.1582811878524373</v>
      </c>
      <c r="AG32" t="str">
        <f>$A$14</f>
        <v>Sales and customer service occupations</v>
      </c>
      <c r="AH32" s="17">
        <f t="shared" ref="AH32:AK32" si="70">AH14/AH$18*100</f>
        <v>4.8948401415651368</v>
      </c>
      <c r="AI32" s="17">
        <f t="shared" si="70"/>
        <v>14.902478268039182</v>
      </c>
      <c r="AJ32" s="17">
        <f t="shared" si="70"/>
        <v>3.4970593191992103</v>
      </c>
      <c r="AK32" s="17">
        <f t="shared" si="70"/>
        <v>8.2465175426228718</v>
      </c>
      <c r="AL32" s="17"/>
      <c r="AM32" s="17">
        <f t="shared" ref="AM32:AP32" si="71">AM14/AM$18*100</f>
        <v>3.9887675401684413</v>
      </c>
      <c r="AN32" s="17">
        <f t="shared" si="71"/>
        <v>13.291084667953983</v>
      </c>
      <c r="AO32" s="17">
        <f t="shared" si="71"/>
        <v>2.1646102940077747</v>
      </c>
      <c r="AP32" s="17">
        <f t="shared" si="71"/>
        <v>6.8074625370697444</v>
      </c>
      <c r="AQ32" s="17"/>
      <c r="AR32" s="17">
        <f t="shared" ref="AR32:AU32" si="72">AR14/AR$18*100</f>
        <v>3.3935805332509466</v>
      </c>
      <c r="AS32" s="17">
        <f t="shared" si="72"/>
        <v>12.55972203697141</v>
      </c>
      <c r="AT32" s="17">
        <f t="shared" si="72"/>
        <v>1.8481382651429537</v>
      </c>
      <c r="AU32" s="17">
        <f t="shared" si="72"/>
        <v>6.0410399335398335</v>
      </c>
    </row>
    <row r="33" spans="1:47" x14ac:dyDescent="0.2">
      <c r="A33" t="str">
        <f>$A$15</f>
        <v>Process, plant and machine operatives</v>
      </c>
      <c r="B33" s="17">
        <f t="shared" si="30"/>
        <v>3.4425643111911133</v>
      </c>
      <c r="C33" s="17">
        <f t="shared" ref="C33:O33" si="73">C15/C$18*100</f>
        <v>2.6072168473206139</v>
      </c>
      <c r="D33" s="17">
        <f t="shared" si="73"/>
        <v>8.5669675038157393</v>
      </c>
      <c r="E33" s="17">
        <f t="shared" si="73"/>
        <v>3.9054289604047514</v>
      </c>
      <c r="F33" s="17"/>
      <c r="G33" s="17">
        <f t="shared" si="73"/>
        <v>2.9327182709418724</v>
      </c>
      <c r="H33" s="17">
        <f t="shared" si="73"/>
        <v>3.0901651188730934</v>
      </c>
      <c r="I33" s="17">
        <f t="shared" si="73"/>
        <v>8.3060929573018356</v>
      </c>
      <c r="J33" s="17">
        <f t="shared" si="73"/>
        <v>3.6135733761833979</v>
      </c>
      <c r="K33" s="17"/>
      <c r="L33" s="17">
        <f t="shared" si="73"/>
        <v>2.5820474812350827</v>
      </c>
      <c r="M33" s="17">
        <f t="shared" si="73"/>
        <v>3.9580099038622363</v>
      </c>
      <c r="N33" s="17">
        <f t="shared" si="73"/>
        <v>9.3391331354443565</v>
      </c>
      <c r="O33" s="17">
        <f t="shared" si="73"/>
        <v>3.7460648973056698</v>
      </c>
      <c r="Q33" t="str">
        <f>$A$15</f>
        <v>Process, plant and machine operatives</v>
      </c>
      <c r="R33" s="17">
        <f t="shared" ref="R33:U33" si="74">R15/R$18*100</f>
        <v>5.4626895267238167</v>
      </c>
      <c r="S33" s="17">
        <f t="shared" si="74"/>
        <v>6.6540313962271656</v>
      </c>
      <c r="T33" s="17">
        <f t="shared" si="74"/>
        <v>12.022523737068152</v>
      </c>
      <c r="U33" s="17">
        <f t="shared" si="74"/>
        <v>6.6900812950558439</v>
      </c>
      <c r="V33" s="17"/>
      <c r="W33" s="17">
        <f t="shared" ref="W33:Z33" si="75">W15/W$18*100</f>
        <v>4.7742976807066846</v>
      </c>
      <c r="X33" s="17">
        <f t="shared" si="75"/>
        <v>7.6515520223095139</v>
      </c>
      <c r="Y33" s="17">
        <f t="shared" si="75"/>
        <v>12.218479896140302</v>
      </c>
      <c r="Z33" s="17">
        <f t="shared" si="75"/>
        <v>6.2557179567138865</v>
      </c>
      <c r="AA33" s="17"/>
      <c r="AB33" s="17">
        <f t="shared" ref="AB33:AE33" si="76">AB15/AB$18*100</f>
        <v>4.1599605877867223</v>
      </c>
      <c r="AC33" s="17">
        <f t="shared" si="76"/>
        <v>8.1889733524604669</v>
      </c>
      <c r="AD33" s="17">
        <f t="shared" si="76"/>
        <v>13.677286282741436</v>
      </c>
      <c r="AE33" s="17">
        <f t="shared" si="76"/>
        <v>6.1974429365406518</v>
      </c>
      <c r="AG33" t="str">
        <f>$A$15</f>
        <v>Process, plant and machine operatives</v>
      </c>
      <c r="AH33" s="17">
        <f t="shared" ref="AH33:AK33" si="77">AH15/AH$18*100</f>
        <v>0.61401527738586792</v>
      </c>
      <c r="AI33" s="17">
        <f t="shared" si="77"/>
        <v>0.73311661584625509</v>
      </c>
      <c r="AJ33" s="17">
        <f t="shared" si="77"/>
        <v>1.9042776755153497</v>
      </c>
      <c r="AK33" s="17">
        <f t="shared" si="77"/>
        <v>0.77656426872813911</v>
      </c>
      <c r="AL33" s="17"/>
      <c r="AM33" s="17">
        <f t="shared" ref="AM33:AP33" si="78">AM15/AM$18*100</f>
        <v>0.45806585797576493</v>
      </c>
      <c r="AN33" s="17">
        <f t="shared" si="78"/>
        <v>0.65524309107964662</v>
      </c>
      <c r="AO33" s="17">
        <f t="shared" si="78"/>
        <v>2.2686623714397447</v>
      </c>
      <c r="AP33" s="17">
        <f t="shared" si="78"/>
        <v>0.70097990208308547</v>
      </c>
      <c r="AQ33" s="17"/>
      <c r="AR33" s="17">
        <f t="shared" ref="AR33:AU33" si="79">AR15/AR$18*100</f>
        <v>0.53151763538206209</v>
      </c>
      <c r="AS33" s="17">
        <f t="shared" si="79"/>
        <v>1.4954890073865432</v>
      </c>
      <c r="AT33" s="17">
        <f t="shared" si="79"/>
        <v>2.5067115710080881</v>
      </c>
      <c r="AU33" s="17">
        <f t="shared" si="79"/>
        <v>1.0295590276698976</v>
      </c>
    </row>
    <row r="34" spans="1:47" x14ac:dyDescent="0.2">
      <c r="A34" t="str">
        <f>$A$16</f>
        <v>Elementary occupations</v>
      </c>
      <c r="B34" s="17">
        <f t="shared" si="30"/>
        <v>6.3554144233056196</v>
      </c>
      <c r="C34" s="17">
        <f t="shared" ref="C34:O34" si="80">C16/C$18*100</f>
        <v>20.998757184251897</v>
      </c>
      <c r="D34" s="17">
        <f t="shared" si="80"/>
        <v>5.8393358724788422</v>
      </c>
      <c r="E34" s="17">
        <f t="shared" si="80"/>
        <v>9.7997523605616941</v>
      </c>
      <c r="F34" s="17"/>
      <c r="G34" s="17">
        <f t="shared" si="80"/>
        <v>5.4662023543249072</v>
      </c>
      <c r="H34" s="17">
        <f t="shared" si="80"/>
        <v>20.336055704594518</v>
      </c>
      <c r="I34" s="17">
        <f t="shared" si="80"/>
        <v>4.2362688529108796</v>
      </c>
      <c r="J34" s="17">
        <f t="shared" si="80"/>
        <v>8.8167692225337095</v>
      </c>
      <c r="K34" s="17"/>
      <c r="L34" s="17">
        <f t="shared" si="80"/>
        <v>5.1988002888872096</v>
      </c>
      <c r="M34" s="17">
        <f t="shared" si="80"/>
        <v>17.95266107569541</v>
      </c>
      <c r="N34" s="17">
        <f t="shared" si="80"/>
        <v>5.1853376175293002</v>
      </c>
      <c r="O34" s="17">
        <f t="shared" si="80"/>
        <v>8.1272536668543616</v>
      </c>
      <c r="Q34" t="str">
        <f>$A$16</f>
        <v>Elementary occupations</v>
      </c>
      <c r="R34" s="17">
        <f t="shared" ref="R34:U34" si="81">R16/R$18*100</f>
        <v>7.6167126483788481</v>
      </c>
      <c r="S34" s="17">
        <f t="shared" si="81"/>
        <v>27.225828060239245</v>
      </c>
      <c r="T34" s="17">
        <f t="shared" si="81"/>
        <v>2.3291179924297594</v>
      </c>
      <c r="U34" s="17">
        <f t="shared" si="81"/>
        <v>9.5778334109785934</v>
      </c>
      <c r="V34" s="17"/>
      <c r="W34" s="17">
        <f t="shared" ref="W34:Z34" si="82">W16/W$18*100</f>
        <v>6.6262266720836296</v>
      </c>
      <c r="X34" s="17">
        <f t="shared" si="82"/>
        <v>24.558886999568479</v>
      </c>
      <c r="Y34" s="17">
        <f t="shared" si="82"/>
        <v>1.9396659629519859</v>
      </c>
      <c r="Z34" s="17">
        <f t="shared" si="82"/>
        <v>8.7763537140221253</v>
      </c>
      <c r="AA34" s="17"/>
      <c r="AB34" s="17">
        <f t="shared" ref="AB34:AE34" si="83">AB16/AB$18*100</f>
        <v>6.0413337305472341</v>
      </c>
      <c r="AC34" s="17">
        <f t="shared" si="83"/>
        <v>22.474782063660392</v>
      </c>
      <c r="AD34" s="17">
        <f t="shared" si="83"/>
        <v>2.2233199430553099</v>
      </c>
      <c r="AE34" s="17">
        <f t="shared" si="83"/>
        <v>8.1263058056687054</v>
      </c>
      <c r="AG34" t="str">
        <f>$A$16</f>
        <v>Elementary occupations</v>
      </c>
      <c r="AH34" s="17">
        <f t="shared" ref="AH34:AK34" si="84">AH16/AH$18*100</f>
        <v>4.5893635624779865</v>
      </c>
      <c r="AI34" s="17">
        <f t="shared" si="84"/>
        <v>18.114969249554356</v>
      </c>
      <c r="AJ34" s="17">
        <f t="shared" si="84"/>
        <v>12.607419325865033</v>
      </c>
      <c r="AK34" s="17">
        <f t="shared" si="84"/>
        <v>10.049102829603832</v>
      </c>
      <c r="AL34" s="17"/>
      <c r="AM34" s="17">
        <f t="shared" ref="AM34:AP34" si="85">AM16/AM$18*100</f>
        <v>3.9074007290354187</v>
      </c>
      <c r="AN34" s="17">
        <f t="shared" si="85"/>
        <v>18.081858646230305</v>
      </c>
      <c r="AO34" s="17">
        <f t="shared" si="85"/>
        <v>7.7802896126605692</v>
      </c>
      <c r="AP34" s="17">
        <f t="shared" si="85"/>
        <v>8.8613216468070348</v>
      </c>
      <c r="AQ34" s="17"/>
      <c r="AR34" s="17">
        <f t="shared" ref="AR34:AU34" si="86">AR16/AR$18*100</f>
        <v>4.1039111209857522</v>
      </c>
      <c r="AS34" s="17">
        <f t="shared" si="86"/>
        <v>15.320679598061886</v>
      </c>
      <c r="AT34" s="17">
        <f t="shared" si="86"/>
        <v>9.8503996257543438</v>
      </c>
      <c r="AU34" s="17">
        <f t="shared" si="86"/>
        <v>8.1283040435948077</v>
      </c>
    </row>
    <row r="35" spans="1:47" x14ac:dyDescent="0.2"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</row>
    <row r="36" spans="1:47" x14ac:dyDescent="0.2">
      <c r="A36" s="23" t="str">
        <f>$A$18</f>
        <v>All occupations</v>
      </c>
      <c r="B36" s="25">
        <f>B18/B$18*100</f>
        <v>100</v>
      </c>
      <c r="C36" s="25">
        <f t="shared" ref="C36:O36" si="87">C18/C$18*100</f>
        <v>100</v>
      </c>
      <c r="D36" s="25">
        <f t="shared" si="87"/>
        <v>100</v>
      </c>
      <c r="E36" s="25">
        <f t="shared" si="87"/>
        <v>100</v>
      </c>
      <c r="F36" s="25"/>
      <c r="G36" s="25">
        <f t="shared" si="87"/>
        <v>100</v>
      </c>
      <c r="H36" s="25">
        <f t="shared" si="87"/>
        <v>100</v>
      </c>
      <c r="I36" s="25">
        <f t="shared" si="87"/>
        <v>100</v>
      </c>
      <c r="J36" s="25">
        <f t="shared" si="87"/>
        <v>100</v>
      </c>
      <c r="K36" s="25"/>
      <c r="L36" s="25">
        <f t="shared" si="87"/>
        <v>100</v>
      </c>
      <c r="M36" s="25">
        <f t="shared" si="87"/>
        <v>100</v>
      </c>
      <c r="N36" s="25">
        <f t="shared" si="87"/>
        <v>100</v>
      </c>
      <c r="O36" s="25">
        <f t="shared" si="87"/>
        <v>100</v>
      </c>
      <c r="Q36" s="23" t="str">
        <f>$A$18</f>
        <v>All occupations</v>
      </c>
      <c r="R36" s="25">
        <f>R18/R$18*100</f>
        <v>100</v>
      </c>
      <c r="S36" s="25">
        <f t="shared" ref="S36:U36" si="88">S18/S$18*100</f>
        <v>100</v>
      </c>
      <c r="T36" s="25">
        <f t="shared" si="88"/>
        <v>100</v>
      </c>
      <c r="U36" s="25">
        <f t="shared" si="88"/>
        <v>100</v>
      </c>
      <c r="V36" s="25"/>
      <c r="W36" s="25">
        <f t="shared" ref="W36:Z36" si="89">W18/W$18*100</f>
        <v>100</v>
      </c>
      <c r="X36" s="25">
        <f t="shared" si="89"/>
        <v>100</v>
      </c>
      <c r="Y36" s="25">
        <f t="shared" si="89"/>
        <v>100</v>
      </c>
      <c r="Z36" s="25">
        <f t="shared" si="89"/>
        <v>100</v>
      </c>
      <c r="AA36" s="25"/>
      <c r="AB36" s="25">
        <f t="shared" ref="AB36:AE36" si="90">AB18/AB$18*100</f>
        <v>100</v>
      </c>
      <c r="AC36" s="25">
        <f t="shared" si="90"/>
        <v>100</v>
      </c>
      <c r="AD36" s="25">
        <f t="shared" si="90"/>
        <v>100</v>
      </c>
      <c r="AE36" s="25">
        <f t="shared" si="90"/>
        <v>100</v>
      </c>
      <c r="AG36" s="23" t="str">
        <f>$A$18</f>
        <v>All occupations</v>
      </c>
      <c r="AH36" s="25">
        <f>AH18/AH$18*100</f>
        <v>100</v>
      </c>
      <c r="AI36" s="25">
        <f t="shared" ref="AI36:AK36" si="91">AI18/AI$18*100</f>
        <v>100</v>
      </c>
      <c r="AJ36" s="25">
        <f t="shared" si="91"/>
        <v>100</v>
      </c>
      <c r="AK36" s="25">
        <f t="shared" si="91"/>
        <v>100</v>
      </c>
      <c r="AL36" s="25"/>
      <c r="AM36" s="25">
        <f t="shared" ref="AM36:AP36" si="92">AM18/AM$18*100</f>
        <v>100</v>
      </c>
      <c r="AN36" s="25">
        <f t="shared" si="92"/>
        <v>100</v>
      </c>
      <c r="AO36" s="25">
        <f t="shared" si="92"/>
        <v>100</v>
      </c>
      <c r="AP36" s="25">
        <f t="shared" si="92"/>
        <v>100</v>
      </c>
      <c r="AQ36" s="25"/>
      <c r="AR36" s="25">
        <f t="shared" ref="AR36:AU36" si="93">AR18/AR$18*100</f>
        <v>100</v>
      </c>
      <c r="AS36" s="25">
        <f t="shared" si="93"/>
        <v>100</v>
      </c>
      <c r="AT36" s="25">
        <f t="shared" si="93"/>
        <v>100</v>
      </c>
      <c r="AU36" s="25">
        <f t="shared" si="93"/>
        <v>100</v>
      </c>
    </row>
    <row r="37" spans="1:47" x14ac:dyDescent="0.2"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</row>
    <row r="38" spans="1:47" x14ac:dyDescent="0.2"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</row>
    <row r="39" spans="1:47" x14ac:dyDescent="0.2"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</row>
    <row r="40" spans="1:47" x14ac:dyDescent="0.2">
      <c r="A40" s="35"/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Q40" s="3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G40" s="3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</row>
    <row r="41" spans="1:47" x14ac:dyDescent="0.2">
      <c r="B41" s="375" t="str">
        <f>B5&amp;"-"&amp;G5</f>
        <v>2015-2020</v>
      </c>
      <c r="C41" s="375"/>
      <c r="D41" s="375"/>
      <c r="E41" s="375"/>
      <c r="F41" s="1"/>
      <c r="G41" s="375" t="str">
        <f>G5&amp;"-"&amp;L5</f>
        <v>2020-2035</v>
      </c>
      <c r="H41" s="375"/>
      <c r="I41" s="375"/>
      <c r="J41" s="375"/>
      <c r="K41" s="1"/>
      <c r="L41" s="375" t="str">
        <f>B5&amp;"-"&amp;L5</f>
        <v>2015-2035</v>
      </c>
      <c r="M41" s="375"/>
      <c r="N41" s="375"/>
      <c r="O41" s="375"/>
      <c r="R41" s="375" t="str">
        <f>R5&amp;"-"&amp;W5</f>
        <v>2015-2020</v>
      </c>
      <c r="S41" s="375"/>
      <c r="T41" s="375"/>
      <c r="U41" s="375"/>
      <c r="V41" s="1"/>
      <c r="W41" s="375" t="str">
        <f>W5&amp;"-"&amp;AB5</f>
        <v>2020-2035</v>
      </c>
      <c r="X41" s="375"/>
      <c r="Y41" s="375"/>
      <c r="Z41" s="375"/>
      <c r="AA41" s="1"/>
      <c r="AB41" s="375" t="str">
        <f>R5&amp;"-"&amp;AB5</f>
        <v>2015-2035</v>
      </c>
      <c r="AC41" s="375"/>
      <c r="AD41" s="375"/>
      <c r="AE41" s="375"/>
      <c r="AH41" s="375" t="str">
        <f>AH5&amp;"-"&amp;AM5</f>
        <v>2015-2020</v>
      </c>
      <c r="AI41" s="375"/>
      <c r="AJ41" s="375"/>
      <c r="AK41" s="375"/>
      <c r="AL41" s="1"/>
      <c r="AM41" s="375" t="str">
        <f>AM5&amp;"-"&amp;AR5</f>
        <v>2020-2035</v>
      </c>
      <c r="AN41" s="375"/>
      <c r="AO41" s="375"/>
      <c r="AP41" s="375"/>
      <c r="AQ41" s="1"/>
      <c r="AR41" s="375" t="str">
        <f>AH5&amp;"-"&amp;AR5</f>
        <v>2015-2035</v>
      </c>
      <c r="AS41" s="375"/>
      <c r="AT41" s="375"/>
      <c r="AU41" s="375"/>
    </row>
    <row r="42" spans="1:47" x14ac:dyDescent="0.2">
      <c r="A42" s="40" t="s">
        <v>15</v>
      </c>
      <c r="B42" s="337" t="s">
        <v>339</v>
      </c>
      <c r="C42" s="337" t="s">
        <v>341</v>
      </c>
      <c r="D42" s="337" t="s">
        <v>337</v>
      </c>
      <c r="E42" s="337" t="s">
        <v>32</v>
      </c>
      <c r="F42" s="338"/>
      <c r="G42" s="337" t="s">
        <v>339</v>
      </c>
      <c r="H42" s="337" t="s">
        <v>341</v>
      </c>
      <c r="I42" s="337" t="s">
        <v>337</v>
      </c>
      <c r="J42" s="337" t="s">
        <v>32</v>
      </c>
      <c r="K42" s="338"/>
      <c r="L42" s="337" t="s">
        <v>339</v>
      </c>
      <c r="M42" s="337" t="s">
        <v>341</v>
      </c>
      <c r="N42" s="337" t="s">
        <v>337</v>
      </c>
      <c r="O42" s="337" t="s">
        <v>32</v>
      </c>
      <c r="Q42" s="40" t="s">
        <v>15</v>
      </c>
      <c r="R42" s="337" t="s">
        <v>339</v>
      </c>
      <c r="S42" s="337" t="s">
        <v>341</v>
      </c>
      <c r="T42" s="337" t="s">
        <v>337</v>
      </c>
      <c r="U42" s="337" t="s">
        <v>32</v>
      </c>
      <c r="V42" s="338"/>
      <c r="W42" s="337" t="s">
        <v>339</v>
      </c>
      <c r="X42" s="337" t="s">
        <v>341</v>
      </c>
      <c r="Y42" s="337" t="s">
        <v>337</v>
      </c>
      <c r="Z42" s="337" t="s">
        <v>32</v>
      </c>
      <c r="AA42" s="338"/>
      <c r="AB42" s="337" t="s">
        <v>339</v>
      </c>
      <c r="AC42" s="337" t="s">
        <v>341</v>
      </c>
      <c r="AD42" s="337" t="s">
        <v>337</v>
      </c>
      <c r="AE42" s="337" t="s">
        <v>32</v>
      </c>
      <c r="AG42" s="40" t="s">
        <v>15</v>
      </c>
      <c r="AH42" s="337" t="s">
        <v>339</v>
      </c>
      <c r="AI42" s="337" t="s">
        <v>341</v>
      </c>
      <c r="AJ42" s="337" t="s">
        <v>337</v>
      </c>
      <c r="AK42" s="337" t="s">
        <v>32</v>
      </c>
      <c r="AL42" s="338"/>
      <c r="AM42" s="337" t="s">
        <v>339</v>
      </c>
      <c r="AN42" s="337" t="s">
        <v>341</v>
      </c>
      <c r="AO42" s="337" t="s">
        <v>337</v>
      </c>
      <c r="AP42" s="337" t="s">
        <v>32</v>
      </c>
      <c r="AQ42" s="338"/>
      <c r="AR42" s="337" t="s">
        <v>339</v>
      </c>
      <c r="AS42" s="337" t="s">
        <v>341</v>
      </c>
      <c r="AT42" s="337" t="s">
        <v>337</v>
      </c>
      <c r="AU42" s="337" t="s">
        <v>32</v>
      </c>
    </row>
    <row r="43" spans="1:47" x14ac:dyDescent="0.2">
      <c r="A43" s="1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Q43" s="1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G43" s="1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</row>
    <row r="44" spans="1:47" x14ac:dyDescent="0.2">
      <c r="A44" t="str">
        <f>$A$8</f>
        <v>Managers, directors and senior officials</v>
      </c>
      <c r="B44" s="26">
        <f>G8-B8</f>
        <v>58.718440904140721</v>
      </c>
      <c r="C44" s="26">
        <f t="shared" ref="C44:E44" si="94">H8-C8</f>
        <v>26.985711874567215</v>
      </c>
      <c r="D44" s="26">
        <f t="shared" si="94"/>
        <v>12.907087592265725</v>
      </c>
      <c r="E44" s="26">
        <f t="shared" si="94"/>
        <v>98.611240370973633</v>
      </c>
      <c r="F44" s="26"/>
      <c r="G44" s="26">
        <f>L8-G8</f>
        <v>59.316292416063447</v>
      </c>
      <c r="H44" s="26">
        <f t="shared" ref="H44:J44" si="95">M8-H8</f>
        <v>20.275202819635396</v>
      </c>
      <c r="I44" s="26">
        <f t="shared" si="95"/>
        <v>20.762032365990052</v>
      </c>
      <c r="J44" s="26">
        <f t="shared" si="95"/>
        <v>100.35352760168894</v>
      </c>
      <c r="K44" s="26"/>
      <c r="L44" s="26">
        <f>L8-B8</f>
        <v>118.03473332020417</v>
      </c>
      <c r="M44" s="26">
        <f t="shared" ref="M44:O44" si="96">M8-C8</f>
        <v>47.260914694202611</v>
      </c>
      <c r="N44" s="26">
        <f t="shared" si="96"/>
        <v>33.669119958255777</v>
      </c>
      <c r="O44" s="26">
        <f t="shared" si="96"/>
        <v>198.96476797266257</v>
      </c>
      <c r="Q44" t="str">
        <f>$A$8</f>
        <v>Managers, directors and senior officials</v>
      </c>
      <c r="R44" s="26">
        <f>W8-R8</f>
        <v>32.648144861067294</v>
      </c>
      <c r="S44" s="26">
        <f t="shared" ref="S44:S52" si="97">X8-S8</f>
        <v>11.566034512727597</v>
      </c>
      <c r="T44" s="26">
        <f t="shared" ref="T44:T52" si="98">Y8-T8</f>
        <v>4.9014746383671053</v>
      </c>
      <c r="U44" s="26">
        <f t="shared" ref="U44:U52" si="99">Z8-U8</f>
        <v>49.11565401216194</v>
      </c>
      <c r="V44" s="26"/>
      <c r="W44" s="26">
        <f>AB8-W8</f>
        <v>17.490420619520819</v>
      </c>
      <c r="X44" s="26">
        <f t="shared" ref="X44:X52" si="100">AC8-X8</f>
        <v>11.113131706178741</v>
      </c>
      <c r="Y44" s="26">
        <f t="shared" ref="Y44:Y52" si="101">AD8-Y8</f>
        <v>14.222808925135318</v>
      </c>
      <c r="Z44" s="26">
        <f t="shared" ref="Z44:Z52" si="102">AE8-Z8</f>
        <v>42.82636125083485</v>
      </c>
      <c r="AA44" s="26"/>
      <c r="AB44" s="26">
        <f>AB8-R8</f>
        <v>50.138565480588113</v>
      </c>
      <c r="AC44" s="26">
        <f t="shared" ref="AC44:AC52" si="103">AC8-S8</f>
        <v>22.679166218906339</v>
      </c>
      <c r="AD44" s="26">
        <f t="shared" ref="AD44:AD52" si="104">AD8-T8</f>
        <v>19.124283563502424</v>
      </c>
      <c r="AE44" s="26">
        <f t="shared" ref="AE44:AE52" si="105">AE8-U8</f>
        <v>91.94201526299679</v>
      </c>
      <c r="AG44" t="str">
        <f>$A$8</f>
        <v>Managers, directors and senior officials</v>
      </c>
      <c r="AH44" s="26">
        <f>AM8-AH8</f>
        <v>26.070296043073796</v>
      </c>
      <c r="AI44" s="26">
        <f t="shared" ref="AI44:AI52" si="106">AN8-AI8</f>
        <v>15.419677361839696</v>
      </c>
      <c r="AJ44" s="26">
        <f t="shared" ref="AJ44:AJ52" si="107">AO8-AJ8</f>
        <v>8.0056129538987051</v>
      </c>
      <c r="AK44" s="26">
        <f t="shared" ref="AK44:AK52" si="108">AP8-AK8</f>
        <v>49.495586358812204</v>
      </c>
      <c r="AL44" s="26"/>
      <c r="AM44" s="26">
        <f>AR8-AM8</f>
        <v>41.825871796542515</v>
      </c>
      <c r="AN44" s="26">
        <f t="shared" ref="AN44:AN52" si="109">AS8-AN8</f>
        <v>9.1620711134565624</v>
      </c>
      <c r="AO44" s="26">
        <f t="shared" ref="AO44:AO52" si="110">AT8-AO8</f>
        <v>6.5392234408546628</v>
      </c>
      <c r="AP44" s="26">
        <f t="shared" ref="AP44:AP52" si="111">AU8-AP8</f>
        <v>57.527166350853747</v>
      </c>
      <c r="AQ44" s="26"/>
      <c r="AR44" s="26">
        <f>AR8-AH8</f>
        <v>67.896167839616311</v>
      </c>
      <c r="AS44" s="26">
        <f t="shared" ref="AS44:AS52" si="112">AS8-AI8</f>
        <v>24.581748475296259</v>
      </c>
      <c r="AT44" s="26">
        <f t="shared" ref="AT44:AT52" si="113">AT8-AJ8</f>
        <v>14.544836394753368</v>
      </c>
      <c r="AU44" s="26">
        <f t="shared" ref="AU44:AU52" si="114">AU8-AK8</f>
        <v>107.02275270966595</v>
      </c>
    </row>
    <row r="45" spans="1:47" x14ac:dyDescent="0.2">
      <c r="A45" t="str">
        <f>$A$9</f>
        <v>Professional occupations</v>
      </c>
      <c r="B45" s="26">
        <f t="shared" ref="B45:B54" si="115">G9-B9</f>
        <v>225.95693743851757</v>
      </c>
      <c r="C45" s="26">
        <f t="shared" ref="C45:C54" si="116">H9-C9</f>
        <v>40.363497118414472</v>
      </c>
      <c r="D45" s="26">
        <f t="shared" ref="D45:D54" si="117">I9-D9</f>
        <v>31.427058426851943</v>
      </c>
      <c r="E45" s="26">
        <f t="shared" ref="E45:E54" si="118">J9-E9</f>
        <v>297.74749298378424</v>
      </c>
      <c r="F45" s="26"/>
      <c r="G45" s="26">
        <f t="shared" ref="G45:G54" si="119">L9-G9</f>
        <v>263.75690437393382</v>
      </c>
      <c r="H45" s="26">
        <f t="shared" ref="H45:H54" si="120">M9-H9</f>
        <v>63.783776360035631</v>
      </c>
      <c r="I45" s="26">
        <f t="shared" ref="I45:I54" si="121">N9-I9</f>
        <v>0.61072771041943952</v>
      </c>
      <c r="J45" s="26">
        <f t="shared" ref="J45:J54" si="122">O9-J9</f>
        <v>328.15140844438906</v>
      </c>
      <c r="K45" s="26"/>
      <c r="L45" s="26">
        <f t="shared" ref="L45:L54" si="123">L9-B9</f>
        <v>489.71384181245139</v>
      </c>
      <c r="M45" s="26">
        <f t="shared" ref="M45:M54" si="124">M9-C9</f>
        <v>104.1472734784501</v>
      </c>
      <c r="N45" s="26">
        <f t="shared" ref="N45:N54" si="125">N9-D9</f>
        <v>32.037786137271382</v>
      </c>
      <c r="O45" s="26">
        <f t="shared" ref="O45:O54" si="126">O9-E9</f>
        <v>625.8989014281733</v>
      </c>
      <c r="Q45" t="str">
        <f>$A$9</f>
        <v>Professional occupations</v>
      </c>
      <c r="R45" s="26">
        <f t="shared" ref="R45:R52" si="127">W9-R9</f>
        <v>108.88478636142304</v>
      </c>
      <c r="S45" s="26">
        <f t="shared" si="97"/>
        <v>25.886563901670861</v>
      </c>
      <c r="T45" s="26">
        <f t="shared" si="98"/>
        <v>12.462125891603179</v>
      </c>
      <c r="U45" s="26">
        <f t="shared" si="99"/>
        <v>147.2334761546972</v>
      </c>
      <c r="V45" s="26"/>
      <c r="W45" s="26">
        <f t="shared" ref="W45:W52" si="128">AB9-W9</f>
        <v>132.37102532546999</v>
      </c>
      <c r="X45" s="26">
        <f t="shared" si="100"/>
        <v>32.411583606096173</v>
      </c>
      <c r="Y45" s="26">
        <f t="shared" si="101"/>
        <v>-0.71338125788410878</v>
      </c>
      <c r="Z45" s="26">
        <f t="shared" si="102"/>
        <v>164.06922767368201</v>
      </c>
      <c r="AA45" s="26"/>
      <c r="AB45" s="26">
        <f t="shared" ref="AB45:AB52" si="129">AB9-R9</f>
        <v>241.25581168689303</v>
      </c>
      <c r="AC45" s="26">
        <f t="shared" si="103"/>
        <v>58.298147507767034</v>
      </c>
      <c r="AD45" s="26">
        <f t="shared" si="104"/>
        <v>11.74874463371907</v>
      </c>
      <c r="AE45" s="26">
        <f t="shared" si="105"/>
        <v>311.30270382837921</v>
      </c>
      <c r="AG45" t="str">
        <f>$A$9</f>
        <v>Professional occupations</v>
      </c>
      <c r="AH45" s="26">
        <f t="shared" ref="AH45:AH52" si="130">AM9-AH9</f>
        <v>117.07215107709499</v>
      </c>
      <c r="AI45" s="26">
        <f t="shared" si="106"/>
        <v>14.476933216743362</v>
      </c>
      <c r="AJ45" s="26">
        <f t="shared" si="107"/>
        <v>18.964932535248977</v>
      </c>
      <c r="AK45" s="26">
        <f t="shared" si="108"/>
        <v>150.51401682908727</v>
      </c>
      <c r="AL45" s="26"/>
      <c r="AM45" s="26">
        <f t="shared" ref="AM45:AM52" si="131">AR9-AM9</f>
        <v>131.38587904846315</v>
      </c>
      <c r="AN45" s="26">
        <f t="shared" si="109"/>
        <v>31.3721927539398</v>
      </c>
      <c r="AO45" s="26">
        <f t="shared" si="110"/>
        <v>1.3241089683035341</v>
      </c>
      <c r="AP45" s="26">
        <f t="shared" si="111"/>
        <v>164.0821807707066</v>
      </c>
      <c r="AQ45" s="26"/>
      <c r="AR45" s="26">
        <f t="shared" ref="AR45:AR52" si="132">AR9-AH9</f>
        <v>248.45803012555814</v>
      </c>
      <c r="AS45" s="26">
        <f t="shared" si="112"/>
        <v>45.849125970683161</v>
      </c>
      <c r="AT45" s="26">
        <f t="shared" si="113"/>
        <v>20.289041503552511</v>
      </c>
      <c r="AU45" s="26">
        <f t="shared" si="114"/>
        <v>314.59619759979387</v>
      </c>
    </row>
    <row r="46" spans="1:47" x14ac:dyDescent="0.2">
      <c r="A46" t="str">
        <f>$A$10</f>
        <v>Associate professional occupations</v>
      </c>
      <c r="B46" s="26">
        <f t="shared" si="115"/>
        <v>86.840299536542943</v>
      </c>
      <c r="C46" s="26">
        <f t="shared" si="116"/>
        <v>13.173270601278347</v>
      </c>
      <c r="D46" s="26">
        <f t="shared" si="117"/>
        <v>13.603198738855809</v>
      </c>
      <c r="E46" s="26">
        <f t="shared" si="118"/>
        <v>113.61676887667716</v>
      </c>
      <c r="F46" s="26"/>
      <c r="G46" s="26">
        <f t="shared" si="119"/>
        <v>37.222547119562932</v>
      </c>
      <c r="H46" s="26">
        <f t="shared" si="120"/>
        <v>15.700744080832635</v>
      </c>
      <c r="I46" s="26">
        <f t="shared" si="121"/>
        <v>12.467473310268247</v>
      </c>
      <c r="J46" s="26">
        <f t="shared" si="122"/>
        <v>65.390764510663757</v>
      </c>
      <c r="K46" s="26"/>
      <c r="L46" s="26">
        <f t="shared" si="123"/>
        <v>124.06284665610588</v>
      </c>
      <c r="M46" s="26">
        <f t="shared" si="124"/>
        <v>28.874014682110982</v>
      </c>
      <c r="N46" s="26">
        <f t="shared" si="125"/>
        <v>26.070672049124056</v>
      </c>
      <c r="O46" s="26">
        <f t="shared" si="126"/>
        <v>179.00753338734091</v>
      </c>
      <c r="Q46" t="str">
        <f>$A$10</f>
        <v>Associate professional occupations</v>
      </c>
      <c r="R46" s="26">
        <f t="shared" si="127"/>
        <v>36.480055121949249</v>
      </c>
      <c r="S46" s="26">
        <f t="shared" si="97"/>
        <v>10.715011704065319</v>
      </c>
      <c r="T46" s="26">
        <f t="shared" si="98"/>
        <v>1.8469218037519255</v>
      </c>
      <c r="U46" s="26">
        <f t="shared" si="99"/>
        <v>49.041988629766479</v>
      </c>
      <c r="V46" s="26"/>
      <c r="W46" s="26">
        <f t="shared" si="128"/>
        <v>3.8363339262692193</v>
      </c>
      <c r="X46" s="26">
        <f t="shared" si="100"/>
        <v>-2.1917847344285235</v>
      </c>
      <c r="Y46" s="26">
        <f t="shared" si="101"/>
        <v>5.3969886768489488</v>
      </c>
      <c r="Z46" s="26">
        <f t="shared" si="102"/>
        <v>7.041537868689602</v>
      </c>
      <c r="AA46" s="26"/>
      <c r="AB46" s="26">
        <f t="shared" si="129"/>
        <v>40.316389048218468</v>
      </c>
      <c r="AC46" s="26">
        <f t="shared" si="103"/>
        <v>8.523226969636795</v>
      </c>
      <c r="AD46" s="26">
        <f t="shared" si="104"/>
        <v>7.2439104806008743</v>
      </c>
      <c r="AE46" s="26">
        <f t="shared" si="105"/>
        <v>56.083526498456081</v>
      </c>
      <c r="AG46" t="str">
        <f>$A$10</f>
        <v>Associate professional occupations</v>
      </c>
      <c r="AH46" s="26">
        <f t="shared" si="130"/>
        <v>50.360244414595286</v>
      </c>
      <c r="AI46" s="26">
        <f t="shared" si="106"/>
        <v>2.4582588972129855</v>
      </c>
      <c r="AJ46" s="26">
        <f t="shared" si="107"/>
        <v>11.756276935103983</v>
      </c>
      <c r="AK46" s="26">
        <f t="shared" si="108"/>
        <v>64.574780246912269</v>
      </c>
      <c r="AL46" s="26"/>
      <c r="AM46" s="26">
        <f t="shared" si="131"/>
        <v>33.386213193292804</v>
      </c>
      <c r="AN46" s="26">
        <f t="shared" si="109"/>
        <v>17.892528815261286</v>
      </c>
      <c r="AO46" s="26">
        <f t="shared" si="110"/>
        <v>7.0704846334192695</v>
      </c>
      <c r="AP46" s="26">
        <f t="shared" si="111"/>
        <v>58.34922664197336</v>
      </c>
      <c r="AQ46" s="26"/>
      <c r="AR46" s="26">
        <f t="shared" si="132"/>
        <v>83.74645760788809</v>
      </c>
      <c r="AS46" s="26">
        <f t="shared" si="112"/>
        <v>20.350787712474272</v>
      </c>
      <c r="AT46" s="26">
        <f t="shared" si="113"/>
        <v>18.826761568523253</v>
      </c>
      <c r="AU46" s="26">
        <f t="shared" si="114"/>
        <v>122.92400688888563</v>
      </c>
    </row>
    <row r="47" spans="1:47" x14ac:dyDescent="0.2">
      <c r="A47" t="str">
        <f>$A$11</f>
        <v>Administrative and secretarial occupations</v>
      </c>
      <c r="B47" s="26">
        <f t="shared" si="115"/>
        <v>-3.9734725071537582</v>
      </c>
      <c r="C47" s="26">
        <f t="shared" si="116"/>
        <v>-3.5694583676600473</v>
      </c>
      <c r="D47" s="26">
        <f t="shared" si="117"/>
        <v>-1.8030666138685127</v>
      </c>
      <c r="E47" s="26">
        <f t="shared" si="118"/>
        <v>-9.3459974886823147</v>
      </c>
      <c r="F47" s="26"/>
      <c r="G47" s="26">
        <f t="shared" si="119"/>
        <v>-57.669547386204272</v>
      </c>
      <c r="H47" s="26">
        <f t="shared" si="120"/>
        <v>-18.24271332557916</v>
      </c>
      <c r="I47" s="26">
        <f t="shared" si="121"/>
        <v>-2.2935716762361302</v>
      </c>
      <c r="J47" s="26">
        <f t="shared" si="122"/>
        <v>-78.20583238801953</v>
      </c>
      <c r="K47" s="26"/>
      <c r="L47" s="26">
        <f t="shared" si="123"/>
        <v>-61.64301989335803</v>
      </c>
      <c r="M47" s="26">
        <f t="shared" si="124"/>
        <v>-21.812171693239208</v>
      </c>
      <c r="N47" s="26">
        <f t="shared" si="125"/>
        <v>-4.096638290104643</v>
      </c>
      <c r="O47" s="26">
        <f t="shared" si="126"/>
        <v>-87.551829876701845</v>
      </c>
      <c r="Q47" t="str">
        <f>$A$11</f>
        <v>Administrative and secretarial occupations</v>
      </c>
      <c r="R47" s="26">
        <f t="shared" si="127"/>
        <v>8.7965264916386019</v>
      </c>
      <c r="S47" s="26">
        <f t="shared" si="97"/>
        <v>3.4885792399554454</v>
      </c>
      <c r="T47" s="26">
        <f t="shared" si="98"/>
        <v>-0.1163397362549583</v>
      </c>
      <c r="U47" s="26">
        <f t="shared" si="99"/>
        <v>12.168765995339086</v>
      </c>
      <c r="V47" s="26"/>
      <c r="W47" s="26">
        <f t="shared" si="128"/>
        <v>-1.4390435166761932</v>
      </c>
      <c r="X47" s="26">
        <f t="shared" si="100"/>
        <v>-6.3902741093191402</v>
      </c>
      <c r="Y47" s="26">
        <f t="shared" si="101"/>
        <v>0.95069345537449568</v>
      </c>
      <c r="Z47" s="26">
        <f t="shared" si="102"/>
        <v>-6.8786241706208244</v>
      </c>
      <c r="AA47" s="26"/>
      <c r="AB47" s="26">
        <f t="shared" si="129"/>
        <v>7.3574829749624087</v>
      </c>
      <c r="AC47" s="26">
        <f t="shared" si="103"/>
        <v>-2.9016948693636948</v>
      </c>
      <c r="AD47" s="26">
        <f t="shared" si="104"/>
        <v>0.83435371911953737</v>
      </c>
      <c r="AE47" s="26">
        <f t="shared" si="105"/>
        <v>5.2901418247182619</v>
      </c>
      <c r="AG47" t="str">
        <f>$A$11</f>
        <v>Administrative and secretarial occupations</v>
      </c>
      <c r="AH47" s="26">
        <f t="shared" si="130"/>
        <v>-12.769998998792431</v>
      </c>
      <c r="AI47" s="26">
        <f t="shared" si="106"/>
        <v>-7.0580376076154607</v>
      </c>
      <c r="AJ47" s="26">
        <f t="shared" si="107"/>
        <v>-1.686726877613566</v>
      </c>
      <c r="AK47" s="26">
        <f t="shared" si="108"/>
        <v>-21.514763484021444</v>
      </c>
      <c r="AL47" s="26"/>
      <c r="AM47" s="26">
        <f t="shared" si="131"/>
        <v>-56.230503869527752</v>
      </c>
      <c r="AN47" s="26">
        <f t="shared" si="109"/>
        <v>-11.852439216260095</v>
      </c>
      <c r="AO47" s="26">
        <f t="shared" si="110"/>
        <v>-3.2442651316106215</v>
      </c>
      <c r="AP47" s="26">
        <f t="shared" si="111"/>
        <v>-71.327208217398493</v>
      </c>
      <c r="AQ47" s="26"/>
      <c r="AR47" s="26">
        <f t="shared" si="132"/>
        <v>-69.000502868320183</v>
      </c>
      <c r="AS47" s="26">
        <f t="shared" si="112"/>
        <v>-18.910476823875555</v>
      </c>
      <c r="AT47" s="26">
        <f t="shared" si="113"/>
        <v>-4.9309920092241875</v>
      </c>
      <c r="AU47" s="26">
        <f t="shared" si="114"/>
        <v>-92.841971701419936</v>
      </c>
    </row>
    <row r="48" spans="1:47" x14ac:dyDescent="0.2">
      <c r="A48" t="str">
        <f>$A$12</f>
        <v>Skilled trades occupations</v>
      </c>
      <c r="B48" s="26">
        <f t="shared" si="115"/>
        <v>-23.973540173568523</v>
      </c>
      <c r="C48" s="26">
        <f t="shared" si="116"/>
        <v>-3.6688106584651408</v>
      </c>
      <c r="D48" s="26">
        <f t="shared" si="117"/>
        <v>-48.849050080852962</v>
      </c>
      <c r="E48" s="26">
        <f t="shared" si="118"/>
        <v>-76.491400912886547</v>
      </c>
      <c r="F48" s="26"/>
      <c r="G48" s="26">
        <f t="shared" si="119"/>
        <v>9.4114845740398039</v>
      </c>
      <c r="H48" s="26">
        <f t="shared" si="120"/>
        <v>7.0831376888194484</v>
      </c>
      <c r="I48" s="26">
        <f t="shared" si="121"/>
        <v>30.266905475221208</v>
      </c>
      <c r="J48" s="26">
        <f t="shared" si="122"/>
        <v>46.761527738080417</v>
      </c>
      <c r="K48" s="26"/>
      <c r="L48" s="26">
        <f t="shared" si="123"/>
        <v>-14.562055599528719</v>
      </c>
      <c r="M48" s="26">
        <f t="shared" si="124"/>
        <v>3.4143270303543076</v>
      </c>
      <c r="N48" s="26">
        <f t="shared" si="125"/>
        <v>-18.582144605631754</v>
      </c>
      <c r="O48" s="26">
        <f t="shared" si="126"/>
        <v>-29.72987317480613</v>
      </c>
      <c r="Q48" t="str">
        <f>$A$12</f>
        <v>Skilled trades occupations</v>
      </c>
      <c r="R48" s="26">
        <f t="shared" si="127"/>
        <v>-24.903823208412575</v>
      </c>
      <c r="S48" s="26">
        <f t="shared" si="97"/>
        <v>-3.908996827728668</v>
      </c>
      <c r="T48" s="26">
        <f t="shared" si="98"/>
        <v>-51.647389653858767</v>
      </c>
      <c r="U48" s="26">
        <f t="shared" si="99"/>
        <v>-80.460209689999999</v>
      </c>
      <c r="V48" s="26"/>
      <c r="W48" s="26">
        <f t="shared" si="128"/>
        <v>3.0122786875714098</v>
      </c>
      <c r="X48" s="26">
        <f t="shared" si="100"/>
        <v>4.3951433561168969</v>
      </c>
      <c r="Y48" s="26">
        <f t="shared" si="101"/>
        <v>23.955725561057562</v>
      </c>
      <c r="Z48" s="26">
        <f t="shared" si="102"/>
        <v>31.363147604745905</v>
      </c>
      <c r="AA48" s="26"/>
      <c r="AB48" s="26">
        <f t="shared" si="129"/>
        <v>-21.891544520841165</v>
      </c>
      <c r="AC48" s="26">
        <f t="shared" si="103"/>
        <v>0.48614652838822892</v>
      </c>
      <c r="AD48" s="26">
        <f t="shared" si="104"/>
        <v>-27.691664092801204</v>
      </c>
      <c r="AE48" s="26">
        <f t="shared" si="105"/>
        <v>-49.097062085254095</v>
      </c>
      <c r="AG48" t="str">
        <f>$A$12</f>
        <v>Skilled trades occupations</v>
      </c>
      <c r="AH48" s="26">
        <f t="shared" si="130"/>
        <v>0.93028303484447505</v>
      </c>
      <c r="AI48" s="26">
        <f t="shared" si="106"/>
        <v>0.24018616926353609</v>
      </c>
      <c r="AJ48" s="26">
        <f t="shared" si="107"/>
        <v>2.7983395730057996</v>
      </c>
      <c r="AK48" s="26">
        <f t="shared" si="108"/>
        <v>3.9688087771138143</v>
      </c>
      <c r="AL48" s="26"/>
      <c r="AM48" s="26">
        <f t="shared" si="131"/>
        <v>6.3992058864683798</v>
      </c>
      <c r="AN48" s="26">
        <f t="shared" si="109"/>
        <v>2.6879943327025924</v>
      </c>
      <c r="AO48" s="26">
        <f t="shared" si="110"/>
        <v>6.3111799141636915</v>
      </c>
      <c r="AP48" s="26">
        <f t="shared" si="111"/>
        <v>15.398380133334655</v>
      </c>
      <c r="AQ48" s="26"/>
      <c r="AR48" s="26">
        <f t="shared" si="132"/>
        <v>7.3294889213128549</v>
      </c>
      <c r="AS48" s="26">
        <f t="shared" si="112"/>
        <v>2.9281805019661284</v>
      </c>
      <c r="AT48" s="26">
        <f t="shared" si="113"/>
        <v>9.1095194871694911</v>
      </c>
      <c r="AU48" s="26">
        <f t="shared" si="114"/>
        <v>19.367188910448469</v>
      </c>
    </row>
    <row r="49" spans="1:47" x14ac:dyDescent="0.2">
      <c r="A49" t="str">
        <f>$A$13</f>
        <v>Caring, leisure and other service occupations</v>
      </c>
      <c r="B49" s="26">
        <f t="shared" si="115"/>
        <v>0.91339515336866839</v>
      </c>
      <c r="C49" s="26">
        <f t="shared" si="116"/>
        <v>-7.1973363976311049</v>
      </c>
      <c r="D49" s="26">
        <f t="shared" si="117"/>
        <v>5.5501864173006226</v>
      </c>
      <c r="E49" s="26">
        <f t="shared" si="118"/>
        <v>-0.73375482696184235</v>
      </c>
      <c r="F49" s="26"/>
      <c r="G49" s="26">
        <f t="shared" si="119"/>
        <v>35.324589281750491</v>
      </c>
      <c r="H49" s="26">
        <f t="shared" si="120"/>
        <v>2.8964985615515957</v>
      </c>
      <c r="I49" s="26">
        <f t="shared" si="121"/>
        <v>11.83281306202651</v>
      </c>
      <c r="J49" s="26">
        <f t="shared" si="122"/>
        <v>50.053900905328589</v>
      </c>
      <c r="K49" s="26"/>
      <c r="L49" s="26">
        <f t="shared" si="123"/>
        <v>36.237984435119159</v>
      </c>
      <c r="M49" s="26">
        <f t="shared" si="124"/>
        <v>-4.3008378360795092</v>
      </c>
      <c r="N49" s="26">
        <f t="shared" si="125"/>
        <v>17.382999479327133</v>
      </c>
      <c r="O49" s="26">
        <f t="shared" si="126"/>
        <v>49.320146078366747</v>
      </c>
      <c r="Q49" t="str">
        <f>$A$13</f>
        <v>Caring, leisure and other service occupations</v>
      </c>
      <c r="R49" s="26">
        <f t="shared" si="127"/>
        <v>2.1559447129631337</v>
      </c>
      <c r="S49" s="26">
        <f t="shared" si="97"/>
        <v>4.5133442362846381</v>
      </c>
      <c r="T49" s="26">
        <f t="shared" si="98"/>
        <v>1.7951675413781842</v>
      </c>
      <c r="U49" s="26">
        <f t="shared" si="99"/>
        <v>8.4644564906259632</v>
      </c>
      <c r="V49" s="26"/>
      <c r="W49" s="26">
        <f t="shared" si="128"/>
        <v>18.159885444091969</v>
      </c>
      <c r="X49" s="26">
        <f t="shared" si="100"/>
        <v>6.4320819740232977</v>
      </c>
      <c r="Y49" s="26">
        <f t="shared" si="101"/>
        <v>4.442404008548209</v>
      </c>
      <c r="Z49" s="26">
        <f t="shared" si="102"/>
        <v>29.034371426663455</v>
      </c>
      <c r="AA49" s="26"/>
      <c r="AB49" s="26">
        <f t="shared" si="129"/>
        <v>20.315830157055103</v>
      </c>
      <c r="AC49" s="26">
        <f t="shared" si="103"/>
        <v>10.945426210307936</v>
      </c>
      <c r="AD49" s="26">
        <f t="shared" si="104"/>
        <v>6.2375715499263933</v>
      </c>
      <c r="AE49" s="26">
        <f t="shared" si="105"/>
        <v>37.498827917289418</v>
      </c>
      <c r="AG49" t="str">
        <f>$A$13</f>
        <v>Caring, leisure and other service occupations</v>
      </c>
      <c r="AH49" s="26">
        <f t="shared" si="130"/>
        <v>-1.2425495595944653</v>
      </c>
      <c r="AI49" s="26">
        <f t="shared" si="106"/>
        <v>-11.710680633915885</v>
      </c>
      <c r="AJ49" s="26">
        <f t="shared" si="107"/>
        <v>3.755018875922449</v>
      </c>
      <c r="AK49" s="26">
        <f t="shared" si="108"/>
        <v>-9.1982113175878624</v>
      </c>
      <c r="AL49" s="26"/>
      <c r="AM49" s="26">
        <f t="shared" si="131"/>
        <v>17.164703837658749</v>
      </c>
      <c r="AN49" s="26">
        <f t="shared" si="109"/>
        <v>-3.5355834124715813</v>
      </c>
      <c r="AO49" s="26">
        <f t="shared" si="110"/>
        <v>7.3904090534783151</v>
      </c>
      <c r="AP49" s="26">
        <f t="shared" si="111"/>
        <v>21.019529478665476</v>
      </c>
      <c r="AQ49" s="26"/>
      <c r="AR49" s="26">
        <f t="shared" si="132"/>
        <v>15.922154278064284</v>
      </c>
      <c r="AS49" s="26">
        <f t="shared" si="112"/>
        <v>-15.246264046387466</v>
      </c>
      <c r="AT49" s="26">
        <f t="shared" si="113"/>
        <v>11.145427929400764</v>
      </c>
      <c r="AU49" s="26">
        <f t="shared" si="114"/>
        <v>11.821318161077613</v>
      </c>
    </row>
    <row r="50" spans="1:47" x14ac:dyDescent="0.2">
      <c r="A50" t="str">
        <f>$A$14</f>
        <v>Sales and customer service occupations</v>
      </c>
      <c r="B50" s="26">
        <f t="shared" si="115"/>
        <v>-8.1841667948806673</v>
      </c>
      <c r="C50" s="26">
        <f t="shared" si="116"/>
        <v>-17.523670225876998</v>
      </c>
      <c r="D50" s="26">
        <f t="shared" si="117"/>
        <v>-8.0423558465535141</v>
      </c>
      <c r="E50" s="26">
        <f t="shared" si="118"/>
        <v>-33.750192867311171</v>
      </c>
      <c r="F50" s="26"/>
      <c r="G50" s="26">
        <f t="shared" si="119"/>
        <v>-1.573848532341799</v>
      </c>
      <c r="H50" s="26">
        <f t="shared" si="120"/>
        <v>1.6934408256618099</v>
      </c>
      <c r="I50" s="26">
        <f t="shared" si="121"/>
        <v>-0.71240126142455651</v>
      </c>
      <c r="J50" s="26">
        <f t="shared" si="122"/>
        <v>-0.59280896810452077</v>
      </c>
      <c r="K50" s="26"/>
      <c r="L50" s="26">
        <f t="shared" si="123"/>
        <v>-9.7580153272224663</v>
      </c>
      <c r="M50" s="26">
        <f t="shared" si="124"/>
        <v>-15.830229400215188</v>
      </c>
      <c r="N50" s="26">
        <f t="shared" si="125"/>
        <v>-8.7547571079780706</v>
      </c>
      <c r="O50" s="26">
        <f t="shared" si="126"/>
        <v>-34.343001835415691</v>
      </c>
      <c r="Q50" t="str">
        <f>$A$14</f>
        <v>Sales and customer service occupations</v>
      </c>
      <c r="R50" s="26">
        <f t="shared" si="127"/>
        <v>-1.6524415496665199</v>
      </c>
      <c r="S50" s="26">
        <f t="shared" si="97"/>
        <v>-2.4324546113035836</v>
      </c>
      <c r="T50" s="26">
        <f t="shared" si="98"/>
        <v>-5.4830224137355472</v>
      </c>
      <c r="U50" s="26">
        <f t="shared" si="99"/>
        <v>-9.5679185747056579</v>
      </c>
      <c r="V50" s="26"/>
      <c r="W50" s="26">
        <f t="shared" si="128"/>
        <v>1.9287250498322379</v>
      </c>
      <c r="X50" s="26">
        <f t="shared" si="100"/>
        <v>4.5163594577851285</v>
      </c>
      <c r="Y50" s="26">
        <f t="shared" si="101"/>
        <v>-0.49411183829131566</v>
      </c>
      <c r="Z50" s="26">
        <f t="shared" si="102"/>
        <v>5.9509726693260632</v>
      </c>
      <c r="AA50" s="26"/>
      <c r="AB50" s="26">
        <f t="shared" si="129"/>
        <v>0.27628350016571801</v>
      </c>
      <c r="AC50" s="26">
        <f t="shared" si="103"/>
        <v>2.0839048464815448</v>
      </c>
      <c r="AD50" s="26">
        <f t="shared" si="104"/>
        <v>-5.9771342520268629</v>
      </c>
      <c r="AE50" s="26">
        <f t="shared" si="105"/>
        <v>-3.6169459053795947</v>
      </c>
      <c r="AG50" t="str">
        <f>$A$14</f>
        <v>Sales and customer service occupations</v>
      </c>
      <c r="AH50" s="26">
        <f t="shared" si="130"/>
        <v>-6.5317252452145738</v>
      </c>
      <c r="AI50" s="26">
        <f t="shared" si="106"/>
        <v>-15.091215614573599</v>
      </c>
      <c r="AJ50" s="26">
        <f t="shared" si="107"/>
        <v>-2.5593334328179624</v>
      </c>
      <c r="AK50" s="26">
        <f t="shared" si="108"/>
        <v>-24.182274292606138</v>
      </c>
      <c r="AL50" s="26"/>
      <c r="AM50" s="26">
        <f t="shared" si="131"/>
        <v>-3.5025735821739801</v>
      </c>
      <c r="AN50" s="26">
        <f t="shared" si="109"/>
        <v>-2.8229186321231481</v>
      </c>
      <c r="AO50" s="26">
        <f t="shared" si="110"/>
        <v>-0.21828942313323285</v>
      </c>
      <c r="AP50" s="26">
        <f t="shared" si="111"/>
        <v>-6.5437816374303566</v>
      </c>
      <c r="AQ50" s="26"/>
      <c r="AR50" s="26">
        <f t="shared" si="132"/>
        <v>-10.034298827388554</v>
      </c>
      <c r="AS50" s="26">
        <f t="shared" si="112"/>
        <v>-17.914134246696747</v>
      </c>
      <c r="AT50" s="26">
        <f t="shared" si="113"/>
        <v>-2.7776228559511953</v>
      </c>
      <c r="AU50" s="26">
        <f t="shared" si="114"/>
        <v>-30.726055930036495</v>
      </c>
    </row>
    <row r="51" spans="1:47" x14ac:dyDescent="0.2">
      <c r="A51" t="str">
        <f>$A$15</f>
        <v>Process, plant and machine operatives</v>
      </c>
      <c r="B51" s="26">
        <f t="shared" si="115"/>
        <v>-8.7333521000883536</v>
      </c>
      <c r="C51" s="26">
        <f t="shared" si="116"/>
        <v>8.3169939159883768</v>
      </c>
      <c r="D51" s="26">
        <f t="shared" si="117"/>
        <v>-2.7032929056727966</v>
      </c>
      <c r="E51" s="26">
        <f t="shared" si="118"/>
        <v>-3.1196510897727876</v>
      </c>
      <c r="F51" s="26"/>
      <c r="G51" s="26">
        <f t="shared" si="119"/>
        <v>-4.4091599986895744</v>
      </c>
      <c r="H51" s="26">
        <f t="shared" si="120"/>
        <v>15.771604763510815</v>
      </c>
      <c r="I51" s="26">
        <f t="shared" si="121"/>
        <v>16.858475099096665</v>
      </c>
      <c r="J51" s="26">
        <f t="shared" si="122"/>
        <v>28.220919863917914</v>
      </c>
      <c r="K51" s="26"/>
      <c r="L51" s="26">
        <f t="shared" si="123"/>
        <v>-13.142512098777928</v>
      </c>
      <c r="M51" s="26">
        <f t="shared" si="124"/>
        <v>24.088598679499192</v>
      </c>
      <c r="N51" s="26">
        <f t="shared" si="125"/>
        <v>14.155182193423869</v>
      </c>
      <c r="O51" s="26">
        <f t="shared" si="126"/>
        <v>25.101268774145126</v>
      </c>
      <c r="Q51" t="str">
        <f>$A$15</f>
        <v>Process, plant and machine operatives</v>
      </c>
      <c r="R51" s="26">
        <f t="shared" si="127"/>
        <v>-7.2230528744953091</v>
      </c>
      <c r="S51" s="26">
        <f t="shared" si="97"/>
        <v>9.0466668224982882</v>
      </c>
      <c r="T51" s="26">
        <f t="shared" si="98"/>
        <v>-4.3585541870491369</v>
      </c>
      <c r="U51" s="26">
        <f t="shared" si="99"/>
        <v>-2.5349402390461648</v>
      </c>
      <c r="V51" s="26"/>
      <c r="W51" s="26">
        <f t="shared" si="128"/>
        <v>-6.5837050996970987</v>
      </c>
      <c r="X51" s="26">
        <f t="shared" si="100"/>
        <v>7.6634685127531981</v>
      </c>
      <c r="Y51" s="26">
        <f t="shared" si="101"/>
        <v>15.287935314794048</v>
      </c>
      <c r="Z51" s="26">
        <f t="shared" si="102"/>
        <v>16.367698727850154</v>
      </c>
      <c r="AA51" s="26"/>
      <c r="AB51" s="26">
        <f t="shared" si="129"/>
        <v>-13.806757974192408</v>
      </c>
      <c r="AC51" s="26">
        <f t="shared" si="103"/>
        <v>16.710135335251486</v>
      </c>
      <c r="AD51" s="26">
        <f t="shared" si="104"/>
        <v>10.929381127744911</v>
      </c>
      <c r="AE51" s="26">
        <f t="shared" si="105"/>
        <v>13.832758488803989</v>
      </c>
      <c r="AG51" t="str">
        <f>$A$15</f>
        <v>Process, plant and machine operatives</v>
      </c>
      <c r="AH51" s="26">
        <f t="shared" si="130"/>
        <v>-1.5102992255929824</v>
      </c>
      <c r="AI51" s="26">
        <f t="shared" si="106"/>
        <v>-0.72967290650999939</v>
      </c>
      <c r="AJ51" s="26">
        <f t="shared" si="107"/>
        <v>1.6552612813763607</v>
      </c>
      <c r="AK51" s="26">
        <f t="shared" si="108"/>
        <v>-0.58471085072662277</v>
      </c>
      <c r="AL51" s="26"/>
      <c r="AM51" s="26">
        <f t="shared" si="131"/>
        <v>2.1745451010071566</v>
      </c>
      <c r="AN51" s="26">
        <f t="shared" si="109"/>
        <v>8.1081362507576884</v>
      </c>
      <c r="AO51" s="26">
        <f t="shared" si="110"/>
        <v>1.5705397843026585</v>
      </c>
      <c r="AP51" s="26">
        <f t="shared" si="111"/>
        <v>11.853221136067503</v>
      </c>
      <c r="AQ51" s="26"/>
      <c r="AR51" s="26">
        <f t="shared" si="132"/>
        <v>0.66424587541417424</v>
      </c>
      <c r="AS51" s="26">
        <f t="shared" si="112"/>
        <v>7.3784633442476881</v>
      </c>
      <c r="AT51" s="26">
        <f t="shared" si="113"/>
        <v>3.2258010656790193</v>
      </c>
      <c r="AU51" s="26">
        <f t="shared" si="114"/>
        <v>11.268510285340881</v>
      </c>
    </row>
    <row r="52" spans="1:47" x14ac:dyDescent="0.2">
      <c r="A52" t="str">
        <f>$A$16</f>
        <v>Elementary occupations</v>
      </c>
      <c r="B52" s="26">
        <f t="shared" si="115"/>
        <v>-14.130541436356651</v>
      </c>
      <c r="C52" s="26">
        <f t="shared" si="116"/>
        <v>3.4028021202058198</v>
      </c>
      <c r="D52" s="26">
        <f t="shared" si="117"/>
        <v>-11.981765728445311</v>
      </c>
      <c r="E52" s="26">
        <f t="shared" si="118"/>
        <v>-22.709505044596085</v>
      </c>
      <c r="F52" s="26"/>
      <c r="G52" s="26">
        <f t="shared" si="119"/>
        <v>7.9197381512782101</v>
      </c>
      <c r="H52" s="26">
        <f t="shared" si="120"/>
        <v>-16.730691770820783</v>
      </c>
      <c r="I52" s="26">
        <f t="shared" si="121"/>
        <v>12.031545913728813</v>
      </c>
      <c r="J52" s="26">
        <f t="shared" si="122"/>
        <v>3.22059229418619</v>
      </c>
      <c r="K52" s="26"/>
      <c r="L52" s="26">
        <f t="shared" si="123"/>
        <v>-6.2108032850784411</v>
      </c>
      <c r="M52" s="26">
        <f t="shared" si="124"/>
        <v>-13.327889650614964</v>
      </c>
      <c r="N52" s="26">
        <f t="shared" si="125"/>
        <v>4.9780185283502476E-2</v>
      </c>
      <c r="O52" s="26">
        <f t="shared" si="126"/>
        <v>-19.488912750409895</v>
      </c>
      <c r="Q52" t="str">
        <f>$A$16</f>
        <v>Elementary occupations</v>
      </c>
      <c r="R52" s="26">
        <f t="shared" si="127"/>
        <v>-10.744139903579367</v>
      </c>
      <c r="S52" s="26">
        <f t="shared" si="97"/>
        <v>4.2122510138609925</v>
      </c>
      <c r="T52" s="26">
        <f t="shared" si="98"/>
        <v>-2.689383885351285</v>
      </c>
      <c r="U52" s="26">
        <f t="shared" si="99"/>
        <v>-9.2212727750696786</v>
      </c>
      <c r="V52" s="26"/>
      <c r="W52" s="26">
        <f t="shared" si="128"/>
        <v>-2.8149204356359974</v>
      </c>
      <c r="X52" s="26">
        <f t="shared" si="100"/>
        <v>3.7322902306166412</v>
      </c>
      <c r="Y52" s="26">
        <f t="shared" si="101"/>
        <v>2.6859371543299932</v>
      </c>
      <c r="Z52" s="26">
        <f t="shared" si="102"/>
        <v>3.6033069493105927</v>
      </c>
      <c r="AA52" s="26"/>
      <c r="AB52" s="26">
        <f t="shared" si="129"/>
        <v>-13.559060339215364</v>
      </c>
      <c r="AC52" s="26">
        <f t="shared" si="103"/>
        <v>7.9445412444776338</v>
      </c>
      <c r="AD52" s="26">
        <f t="shared" si="104"/>
        <v>-3.4467310212917823E-3</v>
      </c>
      <c r="AE52" s="26">
        <f t="shared" si="105"/>
        <v>-5.6179658257590859</v>
      </c>
      <c r="AG52" t="str">
        <f>$A$16</f>
        <v>Elementary occupations</v>
      </c>
      <c r="AH52" s="26">
        <f t="shared" si="130"/>
        <v>-3.3864015327778034</v>
      </c>
      <c r="AI52" s="26">
        <f t="shared" si="106"/>
        <v>-0.80944889365480321</v>
      </c>
      <c r="AJ52" s="26">
        <f t="shared" si="107"/>
        <v>-9.2923818430940095</v>
      </c>
      <c r="AK52" s="26">
        <f t="shared" si="108"/>
        <v>-13.488232269526605</v>
      </c>
      <c r="AL52" s="26"/>
      <c r="AM52" s="26">
        <f t="shared" si="131"/>
        <v>10.734658586914698</v>
      </c>
      <c r="AN52" s="26">
        <f t="shared" si="109"/>
        <v>-20.462982001437467</v>
      </c>
      <c r="AO52" s="26">
        <f t="shared" si="110"/>
        <v>9.3456087593988251</v>
      </c>
      <c r="AP52" s="26">
        <f t="shared" si="111"/>
        <v>-0.38271465512394798</v>
      </c>
      <c r="AQ52" s="26"/>
      <c r="AR52" s="26">
        <f t="shared" si="132"/>
        <v>7.3482570541368943</v>
      </c>
      <c r="AS52" s="26">
        <f t="shared" si="112"/>
        <v>-21.27243089509227</v>
      </c>
      <c r="AT52" s="26">
        <f t="shared" si="113"/>
        <v>5.3226916304815575E-2</v>
      </c>
      <c r="AU52" s="26">
        <f t="shared" si="114"/>
        <v>-13.870946924650553</v>
      </c>
    </row>
    <row r="53" spans="1:47" x14ac:dyDescent="0.2"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</row>
    <row r="54" spans="1:47" x14ac:dyDescent="0.2">
      <c r="A54" s="23" t="str">
        <f>$A$18</f>
        <v>All occupations</v>
      </c>
      <c r="B54" s="28">
        <f t="shared" si="115"/>
        <v>313.43400002052203</v>
      </c>
      <c r="C54" s="28">
        <f t="shared" si="116"/>
        <v>60.28299998082116</v>
      </c>
      <c r="D54" s="28">
        <f t="shared" si="117"/>
        <v>-9.8920000001189692</v>
      </c>
      <c r="E54" s="28">
        <f t="shared" si="118"/>
        <v>363.825000001224</v>
      </c>
      <c r="F54" s="28"/>
      <c r="G54" s="28">
        <f t="shared" si="119"/>
        <v>349.29899999939335</v>
      </c>
      <c r="H54" s="28">
        <f t="shared" si="120"/>
        <v>92.231000003647296</v>
      </c>
      <c r="I54" s="28">
        <f t="shared" si="121"/>
        <v>101.82399999909035</v>
      </c>
      <c r="J54" s="28">
        <f t="shared" si="122"/>
        <v>543.35400000213122</v>
      </c>
      <c r="K54" s="28"/>
      <c r="L54" s="28">
        <f t="shared" si="123"/>
        <v>662.73300001991538</v>
      </c>
      <c r="M54" s="28">
        <f t="shared" si="124"/>
        <v>152.51399998446846</v>
      </c>
      <c r="N54" s="28">
        <f t="shared" si="125"/>
        <v>91.931999998971378</v>
      </c>
      <c r="O54" s="28">
        <f t="shared" si="126"/>
        <v>907.17900000335521</v>
      </c>
      <c r="Q54" s="23" t="str">
        <f>$A$18</f>
        <v>All occupations</v>
      </c>
      <c r="R54" s="28">
        <f t="shared" ref="R54" si="133">W18-R18</f>
        <v>144.442000012888</v>
      </c>
      <c r="S54" s="28">
        <f t="shared" ref="S54" si="134">X18-S18</f>
        <v>63.086999992030997</v>
      </c>
      <c r="T54" s="28">
        <f t="shared" ref="T54" si="135">Y18-T18</f>
        <v>-43.289000001149304</v>
      </c>
      <c r="U54" s="28">
        <f t="shared" ref="U54" si="136">Z18-U18</f>
        <v>164.24000000377009</v>
      </c>
      <c r="V54" s="28"/>
      <c r="W54" s="28">
        <f t="shared" ref="W54" si="137">AB18-W18</f>
        <v>165.96100000074557</v>
      </c>
      <c r="X54" s="28">
        <f t="shared" ref="X54" si="138">AC18-X18</f>
        <v>61.681999999822381</v>
      </c>
      <c r="Y54" s="28">
        <f t="shared" ref="Y54" si="139">AD18-Y18</f>
        <v>65.734999999912986</v>
      </c>
      <c r="Z54" s="28">
        <f t="shared" ref="Z54" si="140">AE18-Z18</f>
        <v>293.37800000048082</v>
      </c>
      <c r="AA54" s="28"/>
      <c r="AB54" s="28">
        <f t="shared" ref="AB54" si="141">AB18-R18</f>
        <v>310.40300001363357</v>
      </c>
      <c r="AC54" s="28">
        <f t="shared" ref="AC54" si="142">AC18-S18</f>
        <v>124.76899999185338</v>
      </c>
      <c r="AD54" s="28">
        <f t="shared" ref="AD54" si="143">AD18-T18</f>
        <v>22.445999998763682</v>
      </c>
      <c r="AE54" s="28">
        <f t="shared" ref="AE54" si="144">AE18-U18</f>
        <v>457.61800000425092</v>
      </c>
      <c r="AG54" s="23" t="str">
        <f>$A$18</f>
        <v>All occupations</v>
      </c>
      <c r="AH54" s="28">
        <f t="shared" ref="AH54" si="145">AM18-AH18</f>
        <v>168.99200000763608</v>
      </c>
      <c r="AI54" s="28">
        <f t="shared" ref="AI54" si="146">AN18-AI18</f>
        <v>-2.8040000112100643</v>
      </c>
      <c r="AJ54" s="28">
        <f t="shared" ref="AJ54" si="147">AO18-AJ18</f>
        <v>33.397000001030733</v>
      </c>
      <c r="AK54" s="28">
        <f t="shared" ref="AK54" si="148">AP18-AK18</f>
        <v>199.58499999745618</v>
      </c>
      <c r="AL54" s="28"/>
      <c r="AM54" s="28">
        <f t="shared" ref="AM54" si="149">AR18-AM18</f>
        <v>183.33799999864573</v>
      </c>
      <c r="AN54" s="28">
        <f t="shared" ref="AN54" si="150">AS18-AN18</f>
        <v>30.54900000382554</v>
      </c>
      <c r="AO54" s="28">
        <f t="shared" ref="AO54" si="151">AT18-AO18</f>
        <v>36.088999999177076</v>
      </c>
      <c r="AP54" s="28">
        <f t="shared" ref="AP54" si="152">AU18-AP18</f>
        <v>249.97600000164903</v>
      </c>
      <c r="AQ54" s="28"/>
      <c r="AR54" s="28">
        <f t="shared" ref="AR54" si="153">AR18-AH18</f>
        <v>352.33000000628181</v>
      </c>
      <c r="AS54" s="28">
        <f t="shared" ref="AS54" si="154">AS18-AI18</f>
        <v>27.744999992615476</v>
      </c>
      <c r="AT54" s="28">
        <f t="shared" ref="AT54" si="155">AT18-AJ18</f>
        <v>69.48600000020781</v>
      </c>
      <c r="AU54" s="28">
        <f t="shared" ref="AU54" si="156">AU18-AK18</f>
        <v>449.56099999910521</v>
      </c>
    </row>
  </sheetData>
  <mergeCells count="27">
    <mergeCell ref="AB5:AE5"/>
    <mergeCell ref="R23:U23"/>
    <mergeCell ref="W23:Z23"/>
    <mergeCell ref="AB23:AE23"/>
    <mergeCell ref="R41: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H41:AK41"/>
    <mergeCell ref="W41:Z41"/>
    <mergeCell ref="AB41:AE41"/>
    <mergeCell ref="AM41:AP41"/>
    <mergeCell ref="AR41:AU41"/>
    <mergeCell ref="AH5:AK5"/>
    <mergeCell ref="AM5:AP5"/>
    <mergeCell ref="AR5:AU5"/>
    <mergeCell ref="AH23:AK23"/>
    <mergeCell ref="AM23:AP23"/>
    <mergeCell ref="AR23:AU23"/>
  </mergeCells>
  <pageMargins left="0.39370078740157483" right="0.39370078740157483" top="0.78740157480314965" bottom="0.78740157480314965" header="0.51181102362204722" footer="0.51181102362204722"/>
  <pageSetup paperSize="9" scale="76" orientation="portrait" r:id="rId1"/>
  <headerFooter alignWithMargins="0"/>
  <colBreaks count="2" manualBreakCount="2">
    <brk id="15" max="1048575" man="1"/>
    <brk id="31" max="1048575" man="1"/>
  </col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6"/>
  <dimension ref="A1:P163"/>
  <sheetViews>
    <sheetView zoomScale="75" zoomScaleNormal="75" workbookViewId="0"/>
  </sheetViews>
  <sheetFormatPr defaultColWidth="9.140625" defaultRowHeight="12.75" x14ac:dyDescent="0.2"/>
  <cols>
    <col min="1" max="1" width="11" style="156" bestFit="1" customWidth="1"/>
    <col min="2" max="9" width="9.140625" style="156"/>
    <col min="10" max="10" width="17.5703125" style="156" customWidth="1"/>
    <col min="11" max="11" width="8.28515625" style="156" customWidth="1"/>
    <col min="12" max="12" width="52.7109375" style="90" customWidth="1"/>
    <col min="13" max="13" width="12.42578125" style="90" customWidth="1"/>
    <col min="14" max="14" width="10.140625" style="90" customWidth="1"/>
    <col min="15" max="16384" width="9.140625" style="90"/>
  </cols>
  <sheetData>
    <row r="1" spans="1:14" ht="15.75" x14ac:dyDescent="0.25">
      <c r="A1" s="155" t="str">
        <f>CONCATENATE("Occupation Figure 1  Growth in Employment by Occupation (SOC 2020), ",M6," and ",N6,", ",Info!B5)</f>
        <v>Occupation Figure 1  Growth in Employment by Occupation (SOC 2020), 2015-2020 and 2020-2035, London</v>
      </c>
    </row>
    <row r="2" spans="1:14" x14ac:dyDescent="0.2">
      <c r="A2" s="181" t="s">
        <v>538</v>
      </c>
    </row>
    <row r="3" spans="1:14" x14ac:dyDescent="0.2">
      <c r="L3" s="157" t="s">
        <v>439</v>
      </c>
    </row>
    <row r="5" spans="1:14" x14ac:dyDescent="0.2">
      <c r="L5" s="121" t="s">
        <v>422</v>
      </c>
    </row>
    <row r="6" spans="1:14" x14ac:dyDescent="0.2">
      <c r="M6" s="177" t="str">
        <f>'Occ T2'!H151</f>
        <v>2015-2020</v>
      </c>
      <c r="N6" s="177" t="str">
        <f>'Occ T2'!I151</f>
        <v>2020-2035</v>
      </c>
    </row>
    <row r="7" spans="1:14" x14ac:dyDescent="0.2">
      <c r="L7" s="113" t="str">
        <f>'Occ T3'!A51</f>
        <v>All occupations</v>
      </c>
      <c r="M7" s="90">
        <f>'Occ T2'!H180</f>
        <v>1.2727282491479697</v>
      </c>
      <c r="N7" s="90">
        <f>'Occ T2'!I180</f>
        <v>0.58547928810914751</v>
      </c>
    </row>
    <row r="8" spans="1:14" x14ac:dyDescent="0.2">
      <c r="L8" s="113"/>
    </row>
    <row r="9" spans="1:14" x14ac:dyDescent="0.2">
      <c r="L9" s="90" t="str">
        <f>'Occ T3'!A49</f>
        <v>92 Elementary administration and service occupations</v>
      </c>
      <c r="M9" s="90">
        <f>'Occ T2'!H178</f>
        <v>-0.58209241903665054</v>
      </c>
      <c r="N9" s="90">
        <f>'Occ T2'!I178</f>
        <v>0.15972083562194594</v>
      </c>
    </row>
    <row r="10" spans="1:14" x14ac:dyDescent="0.2">
      <c r="L10" s="90" t="str">
        <f>'Occ T3'!A48</f>
        <v>91 Elementary trades and related occupations</v>
      </c>
      <c r="M10" s="90">
        <f>'Occ T2'!H177</f>
        <v>-4.0643549512796024</v>
      </c>
      <c r="N10" s="90">
        <f>'Occ T2'!I177</f>
        <v>-1.8103167248515462</v>
      </c>
    </row>
    <row r="11" spans="1:14" x14ac:dyDescent="0.2">
      <c r="L11" s="113" t="str">
        <f>"["&amp;'Occ T3'!A47&amp;"]"</f>
        <v>[Elementary occupations]</v>
      </c>
      <c r="M11" s="90">
        <f>'Occ T1'!H88</f>
        <v>-0.84573849278366531</v>
      </c>
      <c r="N11" s="90">
        <f>'Occ T1'!I88</f>
        <v>4.089746290780738E-2</v>
      </c>
    </row>
    <row r="12" spans="1:14" x14ac:dyDescent="0.2">
      <c r="L12" s="113"/>
    </row>
    <row r="13" spans="1:14" x14ac:dyDescent="0.2">
      <c r="L13" s="90" t="str">
        <f>'Occ T3'!A45</f>
        <v>82 Transport and mobile machine drivers and operatives</v>
      </c>
      <c r="M13" s="90">
        <f>'Occ T2'!H176</f>
        <v>0.1323259908861063</v>
      </c>
      <c r="N13" s="90">
        <f>'Occ T2'!I176</f>
        <v>0.63686721950468872</v>
      </c>
    </row>
    <row r="14" spans="1:14" x14ac:dyDescent="0.2">
      <c r="L14" s="90" t="str">
        <f>'Occ T3'!A44</f>
        <v>81 Process, plant and machine operatives</v>
      </c>
      <c r="M14" s="90">
        <f>'Occ T2'!H175</f>
        <v>-2.5721019221459973</v>
      </c>
      <c r="N14" s="90">
        <f>'Occ T2'!I175</f>
        <v>1.8580526599982328</v>
      </c>
    </row>
    <row r="15" spans="1:14" x14ac:dyDescent="0.2">
      <c r="L15" s="113" t="str">
        <f>"["&amp;'Occ T3'!A43&amp;"]"</f>
        <v>[Process, plant and machine operatives]</v>
      </c>
      <c r="M15" s="90">
        <f>'Occ T1'!H87</f>
        <v>-0.28829626392248286</v>
      </c>
      <c r="N15" s="90">
        <f>'Occ T1'!I87</f>
        <v>0.82723344550887923</v>
      </c>
    </row>
    <row r="16" spans="1:14" x14ac:dyDescent="0.2">
      <c r="L16" s="113"/>
    </row>
    <row r="17" spans="12:14" x14ac:dyDescent="0.2">
      <c r="L17" s="90" t="str">
        <f>'Occ T3'!A41</f>
        <v>72 Customer service occupations</v>
      </c>
      <c r="M17" s="90">
        <f>'Occ T2'!H174</f>
        <v>1.6831019696085914</v>
      </c>
      <c r="N17" s="90">
        <f>'Occ T2'!I174</f>
        <v>2.2031734214792431</v>
      </c>
    </row>
    <row r="18" spans="12:14" x14ac:dyDescent="0.2">
      <c r="L18" s="90" t="str">
        <f>'Occ T3'!A40</f>
        <v>71 Sales occupations</v>
      </c>
      <c r="M18" s="90">
        <f>'Occ T2'!H173</f>
        <v>-2.6943186427201171</v>
      </c>
      <c r="N18" s="90">
        <f>'Occ T2'!I173</f>
        <v>-0.85324916714627497</v>
      </c>
    </row>
    <row r="19" spans="12:14" x14ac:dyDescent="0.2">
      <c r="L19" s="113" t="str">
        <f>"["&amp;'Occ T3'!A39&amp;"]"</f>
        <v>[Sales and customer service occupations]</v>
      </c>
      <c r="M19" s="90">
        <f>'Occ T1'!H86</f>
        <v>-1.7668687472097377</v>
      </c>
      <c r="N19" s="90">
        <f>'Occ T1'!I86</f>
        <v>-1.0924905154785503E-2</v>
      </c>
    </row>
    <row r="20" spans="12:14" x14ac:dyDescent="0.2">
      <c r="L20" s="113"/>
    </row>
    <row r="21" spans="12:14" x14ac:dyDescent="0.2">
      <c r="L21" s="106" t="str">
        <f>'Occ T3'!A37</f>
        <v>63 Community and civil enforcement occupations</v>
      </c>
      <c r="M21" s="90">
        <f>'Occ T2'!H172</f>
        <v>2.5621387633103732</v>
      </c>
      <c r="N21" s="90">
        <f>'Occ T2'!I172</f>
        <v>-0.78258900030340195</v>
      </c>
    </row>
    <row r="22" spans="12:14" x14ac:dyDescent="0.2">
      <c r="L22" s="90" t="str">
        <f>'Occ T3'!A36</f>
        <v>62 Leisure, travel and related personal service occupations</v>
      </c>
      <c r="M22" s="90">
        <f>'Occ T2'!H171</f>
        <v>-0.13877369678618745</v>
      </c>
      <c r="N22" s="90">
        <f>'Occ T2'!I171</f>
        <v>0.89860008763829047</v>
      </c>
    </row>
    <row r="23" spans="12:14" x14ac:dyDescent="0.2">
      <c r="L23" s="90" t="str">
        <f>'Occ T3'!A35</f>
        <v>61 Caring personal service occupations</v>
      </c>
      <c r="M23" s="90">
        <f>'Occ T2'!H170</f>
        <v>-6.6590122866416745E-2</v>
      </c>
      <c r="N23" s="90">
        <f>'Occ T2'!I170</f>
        <v>0.90565627312546582</v>
      </c>
    </row>
    <row r="24" spans="12:14" x14ac:dyDescent="0.2">
      <c r="L24" s="113" t="str">
        <f>"["&amp;'Occ T3'!A34&amp;"]"</f>
        <v>[Caring, leisure and other service occupations]</v>
      </c>
      <c r="M24" s="90">
        <f>'Occ T1'!H85</f>
        <v>-4.0896577623117381E-2</v>
      </c>
      <c r="N24" s="90">
        <f>'Occ T1'!I85</f>
        <v>0.87535136851821793</v>
      </c>
    </row>
    <row r="25" spans="12:14" x14ac:dyDescent="0.2">
      <c r="L25" s="113"/>
    </row>
    <row r="26" spans="12:14" x14ac:dyDescent="0.2">
      <c r="L26" s="90" t="str">
        <f>'Occ T3'!A32</f>
        <v>54 Textiles, printing and other skilled trades</v>
      </c>
      <c r="M26" s="90">
        <f>'Occ T2'!H169</f>
        <v>-2.5807187082415028</v>
      </c>
      <c r="N26" s="90">
        <f>'Occ T2'!I169</f>
        <v>0.75432219661022426</v>
      </c>
    </row>
    <row r="27" spans="12:14" x14ac:dyDescent="0.2">
      <c r="L27" s="90" t="str">
        <f>'Occ T3'!A31</f>
        <v>53 Skilled construction and building trades</v>
      </c>
      <c r="M27" s="90">
        <f>'Occ T2'!H168</f>
        <v>-7.202602914515877</v>
      </c>
      <c r="N27" s="90">
        <f>'Occ T2'!I168</f>
        <v>1.3599665941593786</v>
      </c>
    </row>
    <row r="28" spans="12:14" x14ac:dyDescent="0.2">
      <c r="L28" s="90" t="str">
        <f>'Occ T3'!A30</f>
        <v>52 Skilled metal, electrical and electronic trades</v>
      </c>
      <c r="M28" s="90">
        <f>'Occ T2'!H167</f>
        <v>-1.5027441930260177</v>
      </c>
      <c r="N28" s="90">
        <f>'Occ T2'!I167</f>
        <v>4.7365195685378225E-2</v>
      </c>
    </row>
    <row r="29" spans="12:14" x14ac:dyDescent="0.2">
      <c r="L29" s="90" t="str">
        <f>'Occ T3'!A29</f>
        <v>51 Skilled agricultural and related trades</v>
      </c>
      <c r="M29" s="90">
        <f>'Occ T2'!H166</f>
        <v>-0.82717854264899859</v>
      </c>
      <c r="N29" s="90">
        <f>'Occ T2'!I166</f>
        <v>1.6985561885287215</v>
      </c>
    </row>
    <row r="30" spans="12:14" x14ac:dyDescent="0.2">
      <c r="L30" s="113" t="str">
        <f>"["&amp;'Occ T3'!A28&amp;"]"</f>
        <v>[Skilled trades occupations]</v>
      </c>
      <c r="M30" s="90">
        <f>'Occ T1'!H84</f>
        <v>-3.7631793800655067</v>
      </c>
      <c r="N30" s="90">
        <f>'Occ T1'!I84</f>
        <v>0.81362447515980207</v>
      </c>
    </row>
    <row r="31" spans="12:14" x14ac:dyDescent="0.2">
      <c r="L31" s="113"/>
    </row>
    <row r="32" spans="12:14" x14ac:dyDescent="0.2">
      <c r="L32" s="90" t="str">
        <f>'Occ T3'!A26</f>
        <v>42 Secretarial and related occupations</v>
      </c>
      <c r="M32" s="90">
        <f>'Occ T2'!H165</f>
        <v>-2.7258854795243037</v>
      </c>
      <c r="N32" s="90">
        <f>'Occ T2'!I165</f>
        <v>-0.81010293674509404</v>
      </c>
    </row>
    <row r="33" spans="12:14" x14ac:dyDescent="0.2">
      <c r="L33" s="90" t="str">
        <f>'Occ T3'!A25</f>
        <v>41 Administrative occupations</v>
      </c>
      <c r="M33" s="90">
        <f>'Occ T2'!H164</f>
        <v>0.18941024333676282</v>
      </c>
      <c r="N33" s="90">
        <f>'Occ T2'!I164</f>
        <v>-1.2226699966289556</v>
      </c>
    </row>
    <row r="34" spans="12:14" x14ac:dyDescent="0.2">
      <c r="L34" s="113" t="str">
        <f>"["&amp;'Occ T3'!A24&amp;"]"</f>
        <v>[Administrative and secretarial occupations]</v>
      </c>
      <c r="M34" s="90">
        <f>'Occ T1'!H83</f>
        <v>-0.37537807140950452</v>
      </c>
      <c r="N34" s="90">
        <f>'Occ T1'!I83</f>
        <v>-1.1465285201289421</v>
      </c>
    </row>
    <row r="35" spans="12:14" x14ac:dyDescent="0.2">
      <c r="L35" s="113"/>
    </row>
    <row r="36" spans="12:14" x14ac:dyDescent="0.2">
      <c r="L36" s="90" t="str">
        <f>'Occ T3'!A22</f>
        <v>35 Business and public service associate professionals</v>
      </c>
      <c r="M36" s="90">
        <f>'Occ T2'!H163</f>
        <v>1.7884366470028779</v>
      </c>
      <c r="N36" s="90">
        <f>'Occ T2'!I163</f>
        <v>4.652395193225356E-2</v>
      </c>
    </row>
    <row r="37" spans="12:14" x14ac:dyDescent="0.2">
      <c r="L37" s="90" t="str">
        <f>'Occ T3'!A21</f>
        <v>34 Culture, media and sports occupations</v>
      </c>
      <c r="M37" s="90">
        <f>'Occ T2'!H162</f>
        <v>1.8112849230487615</v>
      </c>
      <c r="N37" s="90">
        <f>'Occ T2'!I162</f>
        <v>0.87403537750601057</v>
      </c>
    </row>
    <row r="38" spans="12:14" x14ac:dyDescent="0.2">
      <c r="L38" s="90" t="str">
        <f>'Occ T3'!A20</f>
        <v>33 Protective service occupations</v>
      </c>
      <c r="M38" s="90">
        <f>'Occ T2'!H161</f>
        <v>2.6809480949242515</v>
      </c>
      <c r="N38" s="90">
        <f>'Occ T2'!I161</f>
        <v>1.9720145703349345</v>
      </c>
    </row>
    <row r="39" spans="12:14" x14ac:dyDescent="0.2">
      <c r="L39" s="90" t="str">
        <f>'Occ T3'!A19</f>
        <v>32 Health and social care associate professionals</v>
      </c>
      <c r="M39" s="90">
        <f>'Occ T2'!H160</f>
        <v>2.5645759397642243</v>
      </c>
      <c r="N39" s="90">
        <f>'Occ T2'!I160</f>
        <v>0.20158910823686593</v>
      </c>
    </row>
    <row r="40" spans="12:14" x14ac:dyDescent="0.2">
      <c r="L40" s="90" t="str">
        <f>'Occ T3'!A18</f>
        <v>31 Science, engineering and technology associate professionals</v>
      </c>
      <c r="M40" s="90">
        <f>'Occ T2'!H159</f>
        <v>5.182184761858033</v>
      </c>
      <c r="N40" s="90">
        <f>'Occ T2'!I159</f>
        <v>-0.10943294985110708</v>
      </c>
    </row>
    <row r="41" spans="12:14" x14ac:dyDescent="0.2">
      <c r="L41" s="113" t="str">
        <f>"["&amp;'Occ T3'!A17&amp;"]"</f>
        <v>[Associate professional occupations]</v>
      </c>
      <c r="M41" s="90">
        <f>'Occ T1'!H82</f>
        <v>2.2358834644008008</v>
      </c>
      <c r="N41" s="90">
        <f>'Occ T1'!I82</f>
        <v>0.39073917218710452</v>
      </c>
    </row>
    <row r="42" spans="12:14" x14ac:dyDescent="0.2">
      <c r="L42" s="113"/>
    </row>
    <row r="43" spans="12:14" x14ac:dyDescent="0.2">
      <c r="L43" s="90" t="str">
        <f>'Occ T3'!A15</f>
        <v>24 Business, media and public service professionals</v>
      </c>
      <c r="M43" s="90">
        <f>'Occ T2'!H158</f>
        <v>4.7449564103496877</v>
      </c>
      <c r="N43" s="90">
        <f>'Occ T2'!I158</f>
        <v>1.487820890278968</v>
      </c>
    </row>
    <row r="44" spans="12:14" x14ac:dyDescent="0.2">
      <c r="L44" s="90" t="str">
        <f>'Occ T3'!A14</f>
        <v>23 Teaching and other educational professionals</v>
      </c>
      <c r="M44" s="90">
        <f>'Occ T2'!H157</f>
        <v>1.584786086936707</v>
      </c>
      <c r="N44" s="90">
        <f>'Occ T2'!I157</f>
        <v>0.59772691405810541</v>
      </c>
    </row>
    <row r="45" spans="12:14" x14ac:dyDescent="0.2">
      <c r="L45" s="90" t="str">
        <f>'Occ T3'!A13</f>
        <v>22 Health professionals</v>
      </c>
      <c r="M45" s="90">
        <f>'Occ T2'!H156</f>
        <v>2.7269118245508261</v>
      </c>
      <c r="N45" s="90">
        <f>'Occ T2'!I156</f>
        <v>0.54812575904370497</v>
      </c>
    </row>
    <row r="46" spans="12:14" x14ac:dyDescent="0.2">
      <c r="L46" s="90" t="str">
        <f>'Occ T3'!A12</f>
        <v>21 Science, research, engineering and technology professionals</v>
      </c>
      <c r="M46" s="90">
        <f>'Occ T2'!H155</f>
        <v>4.408845610371781</v>
      </c>
      <c r="N46" s="90">
        <f>'Occ T2'!I155</f>
        <v>1.2621036641635719</v>
      </c>
    </row>
    <row r="47" spans="12:14" x14ac:dyDescent="0.2">
      <c r="L47" s="113" t="str">
        <f>"["&amp;'Occ T3'!A11&amp;"]"</f>
        <v>[Professional occupations]</v>
      </c>
      <c r="M47" s="90">
        <f>'Occ T1'!H81</f>
        <v>3.6504387798138804</v>
      </c>
      <c r="N47" s="90">
        <f>'Occ T1'!I81</f>
        <v>1.1145540086237915</v>
      </c>
    </row>
    <row r="49" spans="12:14" x14ac:dyDescent="0.2">
      <c r="L49" s="106" t="str">
        <f>'Occ T3'!A9</f>
        <v>12 Other managers and proprietors</v>
      </c>
      <c r="M49" s="90">
        <f>'Occ T2'!H154</f>
        <v>1.1874144187313806</v>
      </c>
      <c r="N49" s="90">
        <f>'Occ T2'!I154</f>
        <v>2.3765497394548474</v>
      </c>
    </row>
    <row r="50" spans="12:14" x14ac:dyDescent="0.2">
      <c r="L50" s="106" t="str">
        <f>'Occ T3'!A8</f>
        <v>11 Corporate managers and directors</v>
      </c>
      <c r="M50" s="90">
        <f>'Occ T2'!H153</f>
        <v>3.687284863990592</v>
      </c>
      <c r="N50" s="90">
        <f>'Occ T2'!I153</f>
        <v>0.20753766374692617</v>
      </c>
    </row>
    <row r="51" spans="12:14" x14ac:dyDescent="0.2">
      <c r="L51" s="113" t="str">
        <f>"["&amp;'Occ T3'!A7&amp;"]"</f>
        <v>[Managers, directors and senior officials]</v>
      </c>
      <c r="M51" s="90">
        <f>'Occ T1'!H80</f>
        <v>2.966850529847509</v>
      </c>
      <c r="N51" s="90">
        <f>'Occ T1'!I80</f>
        <v>0.86793071555335555</v>
      </c>
    </row>
    <row r="80" spans="1:1" ht="15.75" x14ac:dyDescent="0.25">
      <c r="A80" s="155" t="str">
        <f>CONCATENATE("Occupation Figure 1.1  Change in Employment by Occupation (SOC 2020), ",M81," and ",N81,", ",Info!B5)</f>
        <v>Occupation Figure 1.1  Change in Employment by Occupation (SOC 2020), 2015-2020 and 2020-2035, London</v>
      </c>
    </row>
    <row r="81" spans="12:14" x14ac:dyDescent="0.2">
      <c r="M81" s="106" t="str">
        <f>'Occ F1'!M6</f>
        <v>2015-2020</v>
      </c>
      <c r="N81" s="106" t="str">
        <f>'Occ F1'!N6</f>
        <v>2020-2035</v>
      </c>
    </row>
    <row r="82" spans="12:14" x14ac:dyDescent="0.2">
      <c r="L82" s="10" t="str">
        <f>name!D4</f>
        <v>11 Corporate managers and directors</v>
      </c>
      <c r="M82" s="93">
        <f>'Occ T2'!D8-'Occ T2'!B8</f>
        <v>87.251672873265079</v>
      </c>
      <c r="N82" s="93">
        <f>'Occ T2'!F119</f>
        <v>16.642273917947023</v>
      </c>
    </row>
    <row r="83" spans="12:14" x14ac:dyDescent="0.2">
      <c r="L83" s="10" t="str">
        <f>name!D5</f>
        <v>12 Other managers and proprietors</v>
      </c>
      <c r="M83" s="93">
        <f>'Occ T2'!D9-'Occ T2'!B9</f>
        <v>11.359567497708071</v>
      </c>
      <c r="N83" s="93">
        <f>'Occ T2'!F120</f>
        <v>83.711253683744047</v>
      </c>
    </row>
    <row r="84" spans="12:14" x14ac:dyDescent="0.2">
      <c r="L84" s="10" t="str">
        <f>name!D6</f>
        <v>21 Science, research, engineering and technology professionals</v>
      </c>
      <c r="M84" s="93">
        <f>'Occ T2'!D10-'Occ T2'!B10</f>
        <v>82.241659212574746</v>
      </c>
      <c r="N84" s="93">
        <f>'Occ T2'!F121</f>
        <v>87.731004275463022</v>
      </c>
    </row>
    <row r="85" spans="12:14" x14ac:dyDescent="0.2">
      <c r="L85" s="10" t="str">
        <f>name!D7</f>
        <v>22 Health professionals</v>
      </c>
      <c r="M85" s="93">
        <f>'Occ T2'!D11-'Occ T2'!B11</f>
        <v>36.483512459303512</v>
      </c>
      <c r="N85" s="93">
        <f>'Occ T2'!F122</f>
        <v>24.768766466038869</v>
      </c>
    </row>
    <row r="86" spans="12:14" x14ac:dyDescent="0.2">
      <c r="L86" s="10" t="str">
        <f>name!D8</f>
        <v>23 Teaching and other educational professionals</v>
      </c>
      <c r="M86" s="93">
        <f>'Occ T2'!D12-'Occ T2'!B12</f>
        <v>28.024304339779917</v>
      </c>
      <c r="N86" s="93">
        <f>'Occ T2'!F123</f>
        <v>34.659957418558406</v>
      </c>
    </row>
    <row r="87" spans="12:14" x14ac:dyDescent="0.2">
      <c r="L87" s="10" t="str">
        <f>name!D9</f>
        <v>24 Business, media and public service professionals</v>
      </c>
      <c r="M87" s="93">
        <f>'Occ T2'!D13-'Occ T2'!B13</f>
        <v>150.99801697212547</v>
      </c>
      <c r="N87" s="93">
        <f>'Occ T2'!F124</f>
        <v>180.99168028432575</v>
      </c>
    </row>
    <row r="88" spans="12:14" x14ac:dyDescent="0.2">
      <c r="L88" s="10" t="str">
        <f>name!D10</f>
        <v>31 Science, engineering and technology associate professionals</v>
      </c>
      <c r="M88" s="93">
        <f>'Occ T2'!D14-'Occ T2'!B14</f>
        <v>23.538518297442081</v>
      </c>
      <c r="N88" s="93">
        <f>'Occ T2'!F125</f>
        <v>-1.7176329840366975</v>
      </c>
    </row>
    <row r="89" spans="12:14" x14ac:dyDescent="0.2">
      <c r="L89" s="10" t="str">
        <f>name!D11</f>
        <v>32 Health and social care associate professionals</v>
      </c>
      <c r="M89" s="93">
        <f>'Occ T2'!D15-'Occ T2'!B15</f>
        <v>13.04105098255522</v>
      </c>
      <c r="N89" s="93">
        <f>'Occ T2'!F126</f>
        <v>3.3630844646808526</v>
      </c>
    </row>
    <row r="90" spans="12:14" x14ac:dyDescent="0.2">
      <c r="L90" s="10" t="str">
        <f>name!D12</f>
        <v>33 Protective service occupations</v>
      </c>
      <c r="M90" s="93">
        <f>'Occ T2'!D16-'Occ T2'!B16</f>
        <v>9.3926305320832029</v>
      </c>
      <c r="N90" s="93">
        <f>'Occ T2'!F127</f>
        <v>25.799277619357383</v>
      </c>
    </row>
    <row r="91" spans="12:14" x14ac:dyDescent="0.2">
      <c r="L91" s="10" t="str">
        <f>name!D13</f>
        <v>34 Culture, media and sports occupations</v>
      </c>
      <c r="M91" s="93">
        <f>'Occ T2'!D17-'Occ T2'!B17</f>
        <v>20.990131562635185</v>
      </c>
      <c r="N91" s="93">
        <f>'Occ T2'!F128</f>
        <v>34.094880115172089</v>
      </c>
    </row>
    <row r="92" spans="12:14" x14ac:dyDescent="0.2">
      <c r="L92" s="10" t="str">
        <f>name!D14</f>
        <v>35 Business and public service associate professionals</v>
      </c>
      <c r="M92" s="93">
        <f>'Occ T2'!D18-'Occ T2'!B18</f>
        <v>46.654437501960899</v>
      </c>
      <c r="N92" s="93">
        <f>'Occ T2'!F129</f>
        <v>3.8511552954906847</v>
      </c>
    </row>
    <row r="93" spans="12:14" x14ac:dyDescent="0.2">
      <c r="L93" s="10" t="str">
        <f>name!D15</f>
        <v>41 Administrative occupations</v>
      </c>
      <c r="M93" s="93">
        <f>'Occ T2'!D19-'Occ T2'!B19</f>
        <v>3.8010498622587079</v>
      </c>
      <c r="N93" s="93">
        <f>'Occ T2'!F130</f>
        <v>-68.015637264586644</v>
      </c>
    </row>
    <row r="94" spans="12:14" x14ac:dyDescent="0.2">
      <c r="L94" s="10" t="str">
        <f>name!D16</f>
        <v>42 Secretarial and related occupations</v>
      </c>
      <c r="M94" s="93">
        <f>'Occ T2'!D20-'Occ T2'!B20</f>
        <v>-13.147047350942401</v>
      </c>
      <c r="N94" s="93">
        <f>'Occ T2'!F131</f>
        <v>-10.190195123432233</v>
      </c>
    </row>
    <row r="95" spans="12:14" x14ac:dyDescent="0.2">
      <c r="L95" s="10" t="str">
        <f>name!D17</f>
        <v>51 Skilled agricultural and related trades</v>
      </c>
      <c r="M95" s="93">
        <f>'Occ T2'!D21-'Occ T2'!B21</f>
        <v>-1.0696672903411901</v>
      </c>
      <c r="N95" s="93">
        <f>'Occ T2'!F132</f>
        <v>7.2502245720960268</v>
      </c>
    </row>
    <row r="96" spans="12:14" x14ac:dyDescent="0.2">
      <c r="L96" s="10" t="str">
        <f>name!D18</f>
        <v>52 Skilled metal, electrical and electronic trades</v>
      </c>
      <c r="M96" s="93">
        <f>'Occ T2'!D22-'Occ T2'!B22</f>
        <v>-8.7408853175172396</v>
      </c>
      <c r="N96" s="93">
        <f>'Occ T2'!F133</f>
        <v>0.79225371216502083</v>
      </c>
    </row>
    <row r="97" spans="12:14" x14ac:dyDescent="0.2">
      <c r="L97" s="10" t="str">
        <f>name!D19</f>
        <v>53 Skilled construction and building trades</v>
      </c>
      <c r="M97" s="93">
        <f>'Occ T2'!D23-'Occ T2'!B23</f>
        <v>-50.874300625038813</v>
      </c>
      <c r="N97" s="93">
        <f>'Occ T2'!F134</f>
        <v>25.214282216333601</v>
      </c>
    </row>
    <row r="98" spans="12:14" x14ac:dyDescent="0.2">
      <c r="L98" s="10" t="str">
        <f>name!D20</f>
        <v>54 Textiles, printing and other skilled trades</v>
      </c>
      <c r="M98" s="93">
        <f>'Occ T2'!D24-'Occ T2'!B24</f>
        <v>-15.806547679988526</v>
      </c>
      <c r="N98" s="93">
        <f>'Occ T2'!F135</f>
        <v>13.504767237485424</v>
      </c>
    </row>
    <row r="99" spans="12:14" x14ac:dyDescent="0.2">
      <c r="L99" s="10" t="str">
        <f>name!D21</f>
        <v>61 Caring personal service occupations</v>
      </c>
      <c r="M99" s="93">
        <f>'Occ T2'!D25-'Occ T2'!B25</f>
        <v>-0.84125879604016518</v>
      </c>
      <c r="N99" s="93">
        <f>'Occ T2'!F136</f>
        <v>36.515259559435719</v>
      </c>
    </row>
    <row r="100" spans="12:14" x14ac:dyDescent="0.2">
      <c r="L100" s="10" t="str">
        <f>name!D22</f>
        <v>62 Leisure, travel and related personal service occupations</v>
      </c>
      <c r="M100" s="93">
        <f>'Occ T2'!D26-'Occ T2'!B26</f>
        <v>-0.69322682335047148</v>
      </c>
      <c r="N100" s="93">
        <f>'Occ T2'!F137</f>
        <v>14.287823757126247</v>
      </c>
    </row>
    <row r="101" spans="12:14" x14ac:dyDescent="0.2">
      <c r="L101" s="10" t="str">
        <f>name!D23</f>
        <v>63 Community and civil enforcement occupations</v>
      </c>
      <c r="M101" s="93">
        <f>'Occ T2'!D27-'Occ T2'!B27</f>
        <v>0.80073079242837863</v>
      </c>
      <c r="N101" s="93">
        <f>'Occ T2'!F138</f>
        <v>-0.74918241123257179</v>
      </c>
    </row>
    <row r="102" spans="12:14" x14ac:dyDescent="0.2">
      <c r="L102" s="10" t="str">
        <f>name!D24</f>
        <v>71 Sales occupations</v>
      </c>
      <c r="M102" s="93">
        <f>'Occ T2'!D28-'Occ T2'!B28</f>
        <v>-40.549052088594294</v>
      </c>
      <c r="N102" s="93">
        <f>'Occ T2'!F139</f>
        <v>-33.424625420297446</v>
      </c>
    </row>
    <row r="103" spans="12:14" x14ac:dyDescent="0.2">
      <c r="L103" s="10" t="str">
        <f>name!D25</f>
        <v>72 Customer service occupations</v>
      </c>
      <c r="M103" s="93">
        <f>'Occ T2'!D29-'Occ T2'!B29</f>
        <v>6.7988592212827683</v>
      </c>
      <c r="N103" s="93">
        <f>'Occ T2'!F140</f>
        <v>32.831816452192797</v>
      </c>
    </row>
    <row r="104" spans="12:14" x14ac:dyDescent="0.2">
      <c r="L104" s="10" t="str">
        <f>name!D26</f>
        <v>81 Process, plant and machine operatives</v>
      </c>
      <c r="M104" s="93">
        <f>'Occ T2'!D30-'Occ T2'!B30</f>
        <v>-4.3285796839095774</v>
      </c>
      <c r="N104" s="93">
        <f>'Occ T2'!F141</f>
        <v>9.8930954599275189</v>
      </c>
    </row>
    <row r="105" spans="12:14" x14ac:dyDescent="0.2">
      <c r="L105" s="10" t="str">
        <f>name!D27</f>
        <v>82 Transport and mobile machine drivers and operatives</v>
      </c>
      <c r="M105" s="93">
        <f>'Occ T2'!D31-'Occ T2'!B31</f>
        <v>1.2089285941375181</v>
      </c>
      <c r="N105" s="93">
        <f>'Occ T2'!F142</f>
        <v>18.32782440398978</v>
      </c>
    </row>
    <row r="106" spans="12:14" x14ac:dyDescent="0.2">
      <c r="L106" s="10" t="str">
        <f>name!D28</f>
        <v>91 Elementary trades and related occupations</v>
      </c>
      <c r="M106" s="93">
        <f>'Occ T2'!D32-'Occ T2'!B32</f>
        <v>-8.265901079087584</v>
      </c>
      <c r="N106" s="93">
        <f>'Occ T2'!F143</f>
        <v>-8.5936962311807612</v>
      </c>
    </row>
    <row r="107" spans="12:14" x14ac:dyDescent="0.2">
      <c r="L107" s="10" t="str">
        <f>name!D29</f>
        <v>92 Elementary administration and service occupations</v>
      </c>
      <c r="M107" s="93">
        <f>'Occ T2'!D33-'Occ T2'!B33</f>
        <v>-14.443603965508885</v>
      </c>
      <c r="N107" s="93">
        <f>'Occ T2'!F144</f>
        <v>11.814288525368227</v>
      </c>
    </row>
    <row r="108" spans="12:14" x14ac:dyDescent="0.2">
      <c r="L108" s="10"/>
      <c r="M108" s="93"/>
      <c r="N108" s="93"/>
    </row>
    <row r="109" spans="12:14" x14ac:dyDescent="0.2">
      <c r="L109" s="10" t="str">
        <f>name!D3</f>
        <v>All occupations</v>
      </c>
      <c r="M109" s="93">
        <f>'Occ T2'!D35-'Occ T2'!B35</f>
        <v>363.82500000122309</v>
      </c>
      <c r="N109" s="93">
        <f>'Occ T2'!F146</f>
        <v>543.35400000213122</v>
      </c>
    </row>
    <row r="150" spans="1:16" ht="15.75" x14ac:dyDescent="0.25">
      <c r="A150" s="155" t="str">
        <f>CONCATENATE("Occupation Figure 1.2  Change in Employment by Occupation (SOC 2020), ",M152," and ",N152,", ",Info!B5)</f>
        <v>Occupation Figure 1.2  Change in Employment by Occupation (SOC 2020), 2015 - 2020 and 2020-2035, London</v>
      </c>
    </row>
    <row r="151" spans="1:16" x14ac:dyDescent="0.2">
      <c r="P151" s="93"/>
    </row>
    <row r="152" spans="1:16" x14ac:dyDescent="0.2">
      <c r="M152" s="90" t="str">
        <f>'Occ T1'!B6&amp;" - "&amp;'Occ T1'!D6</f>
        <v>2015 - 2020</v>
      </c>
      <c r="N152" s="90" t="str">
        <f>'Occ T1'!H4</f>
        <v>2020-2035</v>
      </c>
      <c r="P152" s="93"/>
    </row>
    <row r="153" spans="1:16" x14ac:dyDescent="0.2">
      <c r="L153" s="10" t="str">
        <f>name!E4</f>
        <v>Managers, directors and senior officials</v>
      </c>
      <c r="M153" s="93">
        <f>'Occ T1'!D8-'Occ T1'!B8</f>
        <v>98.611240370973178</v>
      </c>
      <c r="N153" s="93">
        <f>'Occ T1'!H8</f>
        <v>100.35352760169098</v>
      </c>
      <c r="P153" s="93"/>
    </row>
    <row r="154" spans="1:16" x14ac:dyDescent="0.2">
      <c r="L154" s="10" t="str">
        <f>name!E5</f>
        <v>Professional occupations</v>
      </c>
      <c r="M154" s="93">
        <f>'Occ T1'!D9-'Occ T1'!B9</f>
        <v>297.74749298378379</v>
      </c>
      <c r="N154" s="93">
        <f>'Occ T1'!H9</f>
        <v>328.15140844438588</v>
      </c>
      <c r="P154" s="93"/>
    </row>
    <row r="155" spans="1:16" x14ac:dyDescent="0.2">
      <c r="L155" s="10" t="str">
        <f>name!E6</f>
        <v>Associate professional occupations</v>
      </c>
      <c r="M155" s="93">
        <f>'Occ T1'!D10-'Occ T1'!B10</f>
        <v>113.61676887667659</v>
      </c>
      <c r="N155" s="93">
        <f>'Occ T1'!H10</f>
        <v>65.39076451066444</v>
      </c>
      <c r="P155" s="93"/>
    </row>
    <row r="156" spans="1:16" x14ac:dyDescent="0.2">
      <c r="L156" s="10" t="str">
        <f>name!E7</f>
        <v>Administrative and secretarial occupations</v>
      </c>
      <c r="M156" s="93">
        <f>'Occ T1'!D11-'Occ T1'!B11</f>
        <v>-9.345997488683679</v>
      </c>
      <c r="N156" s="93">
        <f>'Occ T1'!H11</f>
        <v>-78.205832388018848</v>
      </c>
      <c r="P156" s="93"/>
    </row>
    <row r="157" spans="1:16" x14ac:dyDescent="0.2">
      <c r="L157" s="10" t="str">
        <f>name!E8</f>
        <v>Skilled trades occupations</v>
      </c>
      <c r="M157" s="93">
        <f>'Occ T1'!D12-'Occ T1'!B12</f>
        <v>-76.491400912885808</v>
      </c>
      <c r="N157" s="93">
        <f>'Occ T1'!H12</f>
        <v>46.761527738080076</v>
      </c>
      <c r="P157" s="93"/>
    </row>
    <row r="158" spans="1:16" x14ac:dyDescent="0.2">
      <c r="L158" s="10" t="str">
        <f>name!E9</f>
        <v>Caring, leisure and other service occupations</v>
      </c>
      <c r="M158" s="93">
        <f>'Occ T1'!D13-'Occ T1'!B13</f>
        <v>-0.7337548269622971</v>
      </c>
      <c r="N158" s="93">
        <f>'Occ T1'!H13</f>
        <v>50.053900905329442</v>
      </c>
      <c r="P158" s="93"/>
    </row>
    <row r="159" spans="1:16" x14ac:dyDescent="0.2">
      <c r="L159" s="10" t="str">
        <f>name!E10</f>
        <v>Sales and customer service occupations</v>
      </c>
      <c r="M159" s="93">
        <f>'Occ T1'!D14-'Occ T1'!B14</f>
        <v>-33.750192867311512</v>
      </c>
      <c r="N159" s="93">
        <f>'Occ T1'!H14</f>
        <v>-0.59280896810463446</v>
      </c>
      <c r="P159" s="93"/>
    </row>
    <row r="160" spans="1:16" x14ac:dyDescent="0.2">
      <c r="L160" s="10" t="str">
        <f>name!E11</f>
        <v>Process, plant and machine operatives</v>
      </c>
      <c r="M160" s="93">
        <f>'Occ T1'!D15-'Occ T1'!B15</f>
        <v>-3.1196510897720486</v>
      </c>
      <c r="N160" s="93">
        <f>'Occ T1'!H15</f>
        <v>28.220919863917288</v>
      </c>
      <c r="P160" s="93"/>
    </row>
    <row r="161" spans="12:16" x14ac:dyDescent="0.2">
      <c r="L161" s="10" t="str">
        <f>name!E12</f>
        <v>Elementary occupations</v>
      </c>
      <c r="M161" s="93">
        <f>'Occ T1'!D16-'Occ T1'!B16</f>
        <v>-22.709505044596426</v>
      </c>
      <c r="N161" s="93">
        <f>'Occ T1'!H16</f>
        <v>3.2205922941874405</v>
      </c>
      <c r="P161" s="93"/>
    </row>
    <row r="162" spans="12:16" x14ac:dyDescent="0.2">
      <c r="L162" s="10"/>
      <c r="M162" s="93"/>
      <c r="N162" s="93"/>
      <c r="P162" s="93"/>
    </row>
    <row r="163" spans="12:16" x14ac:dyDescent="0.2">
      <c r="L163" s="10" t="str">
        <f>name!E3</f>
        <v>All occupations</v>
      </c>
      <c r="M163" s="93">
        <f>'Occ T1'!D18-'Occ T1'!B18</f>
        <v>363.82500000122127</v>
      </c>
      <c r="N163" s="93">
        <f>'Occ T1'!H18</f>
        <v>543.35400000213201</v>
      </c>
    </row>
  </sheetData>
  <conditionalFormatting sqref="L17:L18 L6:N6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rowBreaks count="2" manualBreakCount="2">
    <brk id="78" max="16383" man="1"/>
    <brk id="149" max="9" man="1"/>
  </rowBreaks>
  <colBreaks count="1" manualBreakCount="1">
    <brk id="10" max="147" man="1"/>
  </col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BO508"/>
  <sheetViews>
    <sheetView zoomScale="75" zoomScaleNormal="75" workbookViewId="0"/>
  </sheetViews>
  <sheetFormatPr defaultColWidth="9.140625" defaultRowHeight="12.75" x14ac:dyDescent="0.2"/>
  <cols>
    <col min="1" max="1" width="17" style="80" customWidth="1"/>
    <col min="2" max="8" width="9.140625" style="80"/>
    <col min="9" max="9" width="31.85546875" style="80" customWidth="1"/>
    <col min="10" max="10" width="11.28515625" style="80" customWidth="1"/>
    <col min="11" max="11" width="6.140625" style="80" customWidth="1"/>
    <col min="12" max="12" width="52.28515625" customWidth="1"/>
    <col min="13" max="38" width="15.7109375" customWidth="1"/>
    <col min="39" max="39" width="7.7109375" customWidth="1"/>
    <col min="40" max="63" width="6.28515625" customWidth="1"/>
  </cols>
  <sheetData>
    <row r="1" spans="1:67" ht="15.75" x14ac:dyDescent="0.25">
      <c r="A1" s="79" t="str">
        <f>CONCATENATE("Occupation Figure 2  Employment by Occupation (SOC 2020), ",$M$2,"-",$O$2,", ",Info!B5)</f>
        <v>Occupation Figure 2  Employment by Occupation (SOC 2020), 2010-2035, London</v>
      </c>
      <c r="L1" s="45"/>
    </row>
    <row r="2" spans="1:67" x14ac:dyDescent="0.2">
      <c r="A2" s="181" t="s">
        <v>538</v>
      </c>
      <c r="L2" s="15" t="s">
        <v>28</v>
      </c>
      <c r="M2" s="47">
        <f>M4</f>
        <v>2010</v>
      </c>
      <c r="N2" s="46" t="s">
        <v>27</v>
      </c>
      <c r="O2" s="47">
        <f>MAX(Q4:BO4)</f>
        <v>2035</v>
      </c>
    </row>
    <row r="3" spans="1:67" x14ac:dyDescent="0.2">
      <c r="L3" s="15"/>
      <c r="M3" s="15"/>
      <c r="N3" s="46"/>
      <c r="O3" s="15"/>
    </row>
    <row r="4" spans="1:67" x14ac:dyDescent="0.2">
      <c r="L4" s="1" t="s">
        <v>35</v>
      </c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/>
      <c r="AN4" s="47"/>
      <c r="AO4" s="47"/>
      <c r="AP4" s="47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</row>
    <row r="5" spans="1:67" x14ac:dyDescent="0.2">
      <c r="L5" s="16" t="str">
        <f>'Occ T3'!A7</f>
        <v>Managers, directors and senior officials</v>
      </c>
      <c r="M5" s="86">
        <f t="shared" ref="M5:P5" si="0">SUM(M6:M7)</f>
        <v>484.91268706293999</v>
      </c>
      <c r="N5" s="86">
        <f t="shared" si="0"/>
        <v>533.09998041850906</v>
      </c>
      <c r="O5" s="86">
        <f t="shared" si="0"/>
        <v>568.54486103069507</v>
      </c>
      <c r="P5" s="86">
        <f t="shared" si="0"/>
        <v>573.08535979979274</v>
      </c>
      <c r="Q5" s="86">
        <f>SUM(Q6:Q7)</f>
        <v>608.60227928882136</v>
      </c>
      <c r="R5" s="86">
        <f t="shared" ref="R5:AL5" si="1">SUM(R6:R7)</f>
        <v>626.46199201398156</v>
      </c>
      <c r="S5" s="86">
        <f t="shared" si="1"/>
        <v>651.56462829229156</v>
      </c>
      <c r="T5" s="86">
        <f t="shared" si="1"/>
        <v>684.12708373224348</v>
      </c>
      <c r="U5" s="86">
        <f t="shared" si="1"/>
        <v>703.58419074351627</v>
      </c>
      <c r="V5" s="86">
        <f t="shared" si="1"/>
        <v>724.87092538366153</v>
      </c>
      <c r="W5" s="86">
        <f t="shared" si="1"/>
        <v>725.07323238495474</v>
      </c>
      <c r="X5" s="86">
        <f t="shared" si="1"/>
        <v>716.07898916102977</v>
      </c>
      <c r="Y5" s="86">
        <f t="shared" si="1"/>
        <v>725.62624018946804</v>
      </c>
      <c r="Z5" s="86">
        <f t="shared" si="1"/>
        <v>736.14297765886704</v>
      </c>
      <c r="AA5" s="86">
        <f t="shared" si="1"/>
        <v>746.11799124155402</v>
      </c>
      <c r="AB5" s="86">
        <f t="shared" si="1"/>
        <v>754.09062631299162</v>
      </c>
      <c r="AC5" s="86">
        <f t="shared" si="1"/>
        <v>761.50454998110922</v>
      </c>
      <c r="AD5" s="86">
        <f t="shared" si="1"/>
        <v>768.1248155682681</v>
      </c>
      <c r="AE5" s="86">
        <f t="shared" si="1"/>
        <v>774.69862539016231</v>
      </c>
      <c r="AF5" s="86">
        <f t="shared" si="1"/>
        <v>781.42861982076579</v>
      </c>
      <c r="AG5" s="86">
        <f t="shared" si="1"/>
        <v>788.50536549929484</v>
      </c>
      <c r="AH5" s="86">
        <f t="shared" si="1"/>
        <v>795.55737467618906</v>
      </c>
      <c r="AI5" s="86">
        <f t="shared" si="1"/>
        <v>802.83940953814295</v>
      </c>
      <c r="AJ5" s="86">
        <f t="shared" si="1"/>
        <v>810.03071755065321</v>
      </c>
      <c r="AK5" s="86">
        <f t="shared" si="1"/>
        <v>816.68140143362416</v>
      </c>
      <c r="AL5" s="86">
        <f t="shared" si="1"/>
        <v>825.42675998664572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67" x14ac:dyDescent="0.2">
      <c r="L6" s="232" t="str">
        <f>'Occ T3'!A8</f>
        <v>11 Corporate managers and directors</v>
      </c>
      <c r="M6" s="11">
        <v>341.69895718208096</v>
      </c>
      <c r="N6" s="11">
        <v>374.75161785008839</v>
      </c>
      <c r="O6" s="11">
        <v>400.13879879333081</v>
      </c>
      <c r="P6" s="11">
        <v>406.32688326000448</v>
      </c>
      <c r="Q6" s="11">
        <v>414.00457996123407</v>
      </c>
      <c r="R6" s="11">
        <v>439.61936541253647</v>
      </c>
      <c r="S6" s="11">
        <v>475.56946439483755</v>
      </c>
      <c r="T6" s="11">
        <v>494.15645119724348</v>
      </c>
      <c r="U6" s="11">
        <v>502.67784152828949</v>
      </c>
      <c r="V6" s="11">
        <v>523.51058807019922</v>
      </c>
      <c r="W6" s="11">
        <v>526.87103828580155</v>
      </c>
      <c r="X6" s="11">
        <v>481.36748976639524</v>
      </c>
      <c r="Y6" s="11">
        <v>486.90842639575663</v>
      </c>
      <c r="Z6" s="11">
        <v>493.12147066781978</v>
      </c>
      <c r="AA6" s="11">
        <v>499.02091418735682</v>
      </c>
      <c r="AB6" s="11">
        <v>503.60123376081771</v>
      </c>
      <c r="AC6" s="11">
        <v>507.80578781165201</v>
      </c>
      <c r="AD6" s="11">
        <v>511.59827513121024</v>
      </c>
      <c r="AE6" s="11">
        <v>515.33143624142213</v>
      </c>
      <c r="AF6" s="11">
        <v>519.17019377244333</v>
      </c>
      <c r="AG6" s="11">
        <v>523.19782403713475</v>
      </c>
      <c r="AH6" s="11">
        <v>527.21399695573098</v>
      </c>
      <c r="AI6" s="11">
        <v>531.27246573641787</v>
      </c>
      <c r="AJ6" s="11">
        <v>535.25380088419865</v>
      </c>
      <c r="AK6" s="11">
        <v>539.21286534848286</v>
      </c>
      <c r="AL6" s="11">
        <v>543.51331220374857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</row>
    <row r="7" spans="1:67" x14ac:dyDescent="0.2">
      <c r="L7" s="232" t="str">
        <f>'Occ T3'!A9</f>
        <v>12 Other managers and proprietors</v>
      </c>
      <c r="M7" s="11">
        <v>143.21372988085906</v>
      </c>
      <c r="N7" s="11">
        <v>158.34836256842064</v>
      </c>
      <c r="O7" s="11">
        <v>168.40606223736424</v>
      </c>
      <c r="P7" s="11">
        <v>166.75847653978832</v>
      </c>
      <c r="Q7" s="11">
        <v>194.59769932758735</v>
      </c>
      <c r="R7" s="11">
        <v>186.84262660144509</v>
      </c>
      <c r="S7" s="11">
        <v>175.99516389745401</v>
      </c>
      <c r="T7" s="11">
        <v>189.97063253499996</v>
      </c>
      <c r="U7" s="11">
        <v>200.90634921522678</v>
      </c>
      <c r="V7" s="11">
        <v>201.36033731346231</v>
      </c>
      <c r="W7" s="11">
        <v>198.20219409915316</v>
      </c>
      <c r="X7" s="11">
        <v>234.71149939463453</v>
      </c>
      <c r="Y7" s="11">
        <v>238.71781379371146</v>
      </c>
      <c r="Z7" s="11">
        <v>243.02150699104732</v>
      </c>
      <c r="AA7" s="11">
        <v>247.09707705419717</v>
      </c>
      <c r="AB7" s="11">
        <v>250.48939255217397</v>
      </c>
      <c r="AC7" s="11">
        <v>253.69876216945718</v>
      </c>
      <c r="AD7" s="11">
        <v>256.52654043705792</v>
      </c>
      <c r="AE7" s="11">
        <v>259.36718914874018</v>
      </c>
      <c r="AF7" s="11">
        <v>262.25842604832252</v>
      </c>
      <c r="AG7" s="11">
        <v>265.30754146216003</v>
      </c>
      <c r="AH7" s="11">
        <v>268.34337772045814</v>
      </c>
      <c r="AI7" s="11">
        <v>271.56694380172502</v>
      </c>
      <c r="AJ7" s="11">
        <v>274.7769166664545</v>
      </c>
      <c r="AK7" s="11">
        <v>277.4685360851413</v>
      </c>
      <c r="AL7" s="11">
        <v>281.91344778289721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</row>
    <row r="8" spans="1:67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</row>
    <row r="9" spans="1:67" x14ac:dyDescent="0.2">
      <c r="L9" s="16" t="str">
        <f>'Occ T3'!A11</f>
        <v>Professional occupations</v>
      </c>
      <c r="M9" s="86">
        <f t="shared" ref="M9:P9" si="2">SUM(M10:M13)</f>
        <v>1308.236302314785</v>
      </c>
      <c r="N9" s="86">
        <f t="shared" si="2"/>
        <v>1296.4197549564126</v>
      </c>
      <c r="O9" s="86">
        <f t="shared" si="2"/>
        <v>1352.9246183709249</v>
      </c>
      <c r="P9" s="86">
        <f t="shared" si="2"/>
        <v>1404.1038491932782</v>
      </c>
      <c r="Q9" s="86">
        <f>SUM(Q10:Q13)</f>
        <v>1504.5210766820665</v>
      </c>
      <c r="R9" s="86">
        <f t="shared" ref="R9:AL9" si="3">SUM(R10:R13)</f>
        <v>1516.4657958964276</v>
      </c>
      <c r="S9" s="86">
        <f t="shared" si="3"/>
        <v>1612.9155240530285</v>
      </c>
      <c r="T9" s="86">
        <f t="shared" si="3"/>
        <v>1632.192516760005</v>
      </c>
      <c r="U9" s="86">
        <f t="shared" si="3"/>
        <v>1691.7018089378194</v>
      </c>
      <c r="V9" s="86">
        <f t="shared" si="3"/>
        <v>1741.1553147238617</v>
      </c>
      <c r="W9" s="86">
        <f t="shared" si="3"/>
        <v>1814.2132888802114</v>
      </c>
      <c r="X9" s="86">
        <f t="shared" si="3"/>
        <v>1886.6963946534734</v>
      </c>
      <c r="Y9" s="86">
        <f t="shared" si="3"/>
        <v>1907.670788573525</v>
      </c>
      <c r="Z9" s="86">
        <f t="shared" si="3"/>
        <v>1932.5719499671929</v>
      </c>
      <c r="AA9" s="86">
        <f t="shared" si="3"/>
        <v>1957.1478133840901</v>
      </c>
      <c r="AB9" s="86">
        <f t="shared" si="3"/>
        <v>1977.1952508240422</v>
      </c>
      <c r="AC9" s="86">
        <f t="shared" si="3"/>
        <v>1995.1513524548589</v>
      </c>
      <c r="AD9" s="86">
        <f t="shared" si="3"/>
        <v>2011.2351612090361</v>
      </c>
      <c r="AE9" s="86">
        <f t="shared" si="3"/>
        <v>2026.5723031389095</v>
      </c>
      <c r="AF9" s="86">
        <f t="shared" si="3"/>
        <v>2042.2013696198669</v>
      </c>
      <c r="AG9" s="86">
        <f t="shared" si="3"/>
        <v>2058.5067993717703</v>
      </c>
      <c r="AH9" s="86">
        <f t="shared" si="3"/>
        <v>2074.9755015130163</v>
      </c>
      <c r="AI9" s="86">
        <f t="shared" si="3"/>
        <v>2091.6384526268998</v>
      </c>
      <c r="AJ9" s="86">
        <f t="shared" si="3"/>
        <v>2108.4646128812474</v>
      </c>
      <c r="AK9" s="86">
        <f t="shared" si="3"/>
        <v>2125.1424202536891</v>
      </c>
      <c r="AL9" s="86">
        <f t="shared" si="3"/>
        <v>2142.3646973245973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</row>
    <row r="10" spans="1:67" x14ac:dyDescent="0.2">
      <c r="L10" s="232" t="str">
        <f>'Occ T3'!A12</f>
        <v>21 Science, research, engineering and technology professionals</v>
      </c>
      <c r="M10" s="11">
        <v>286.09917024619034</v>
      </c>
      <c r="N10" s="11">
        <v>281.36041941650637</v>
      </c>
      <c r="O10" s="11">
        <v>289.8562402047682</v>
      </c>
      <c r="P10" s="11">
        <v>294.41242607005802</v>
      </c>
      <c r="Q10" s="11">
        <v>326.68636860338705</v>
      </c>
      <c r="R10" s="11">
        <v>341.5971984313648</v>
      </c>
      <c r="S10" s="11">
        <v>371.76295834605867</v>
      </c>
      <c r="T10" s="11">
        <v>364.21649800849082</v>
      </c>
      <c r="U10" s="11">
        <v>390.49799404642698</v>
      </c>
      <c r="V10" s="11">
        <v>405.77951277913274</v>
      </c>
      <c r="W10" s="11">
        <v>423.83885764393955</v>
      </c>
      <c r="X10" s="11">
        <v>435.31854207983656</v>
      </c>
      <c r="Y10" s="11">
        <v>442.09879154213553</v>
      </c>
      <c r="Z10" s="11">
        <v>449.27155561524665</v>
      </c>
      <c r="AA10" s="11">
        <v>456.03409462154514</v>
      </c>
      <c r="AB10" s="11">
        <v>461.74616557018186</v>
      </c>
      <c r="AC10" s="11">
        <v>467.17938979092509</v>
      </c>
      <c r="AD10" s="11">
        <v>472.05984516353124</v>
      </c>
      <c r="AE10" s="11">
        <v>476.7326939427391</v>
      </c>
      <c r="AF10" s="11">
        <v>481.58741607675756</v>
      </c>
      <c r="AG10" s="11">
        <v>486.52876244024105</v>
      </c>
      <c r="AH10" s="11">
        <v>491.47995355621043</v>
      </c>
      <c r="AI10" s="11">
        <v>496.39563398963145</v>
      </c>
      <c r="AJ10" s="11">
        <v>501.53824226349576</v>
      </c>
      <c r="AK10" s="11">
        <v>506.46547483367294</v>
      </c>
      <c r="AL10" s="11">
        <v>511.56986191940257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</row>
    <row r="11" spans="1:67" x14ac:dyDescent="0.2">
      <c r="L11" s="232" t="str">
        <f>'Occ T3'!A13</f>
        <v>22 Health professionals</v>
      </c>
      <c r="M11" s="11">
        <v>195.67975073936142</v>
      </c>
      <c r="N11" s="11">
        <v>210.97331920924745</v>
      </c>
      <c r="O11" s="11">
        <v>227.20784444734645</v>
      </c>
      <c r="P11" s="11">
        <v>242.54786287896755</v>
      </c>
      <c r="Q11" s="11">
        <v>252.50179416020609</v>
      </c>
      <c r="R11" s="11">
        <v>253.3802593272118</v>
      </c>
      <c r="S11" s="11">
        <v>264.62795804453998</v>
      </c>
      <c r="T11" s="11">
        <v>276.49058511916218</v>
      </c>
      <c r="U11" s="11">
        <v>282.88490933551384</v>
      </c>
      <c r="V11" s="11">
        <v>292.86266274936236</v>
      </c>
      <c r="W11" s="11">
        <v>289.86377178651531</v>
      </c>
      <c r="X11" s="11">
        <v>299.18555383654206</v>
      </c>
      <c r="Y11" s="11">
        <v>301.13045519400185</v>
      </c>
      <c r="Z11" s="11">
        <v>303.17505627891865</v>
      </c>
      <c r="AA11" s="11">
        <v>305.37278660657057</v>
      </c>
      <c r="AB11" s="11">
        <v>306.86800344284825</v>
      </c>
      <c r="AC11" s="11">
        <v>307.88289172331798</v>
      </c>
      <c r="AD11" s="11">
        <v>308.59523447230646</v>
      </c>
      <c r="AE11" s="11">
        <v>309.19535449309774</v>
      </c>
      <c r="AF11" s="11">
        <v>309.78247232439708</v>
      </c>
      <c r="AG11" s="11">
        <v>310.46174044426022</v>
      </c>
      <c r="AH11" s="11">
        <v>311.31589994557874</v>
      </c>
      <c r="AI11" s="11">
        <v>312.18506017476335</v>
      </c>
      <c r="AJ11" s="11">
        <v>312.97677300894571</v>
      </c>
      <c r="AK11" s="11">
        <v>313.77322103097629</v>
      </c>
      <c r="AL11" s="11">
        <v>314.63253825255418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</row>
    <row r="12" spans="1:67" x14ac:dyDescent="0.2">
      <c r="L12" s="232" t="str">
        <f>'Occ T3'!A14</f>
        <v>23 Teaching and other educational professionals</v>
      </c>
      <c r="M12" s="11">
        <v>292.3271959134558</v>
      </c>
      <c r="N12" s="11">
        <v>295.85117018018803</v>
      </c>
      <c r="O12" s="11">
        <v>302.96227547676165</v>
      </c>
      <c r="P12" s="11">
        <v>307.43991125266939</v>
      </c>
      <c r="Q12" s="11">
        <v>336.36466438885492</v>
      </c>
      <c r="R12" s="11">
        <v>342.63322989670951</v>
      </c>
      <c r="S12" s="11">
        <v>347.74826840393479</v>
      </c>
      <c r="T12" s="11">
        <v>341.52063495291242</v>
      </c>
      <c r="U12" s="11">
        <v>342.84489113120122</v>
      </c>
      <c r="V12" s="11">
        <v>347.72429910691096</v>
      </c>
      <c r="W12" s="11">
        <v>370.65753423648943</v>
      </c>
      <c r="X12" s="11">
        <v>368.24217308188281</v>
      </c>
      <c r="Y12" s="11">
        <v>367.61959701598192</v>
      </c>
      <c r="Z12" s="11">
        <v>371.04873507635818</v>
      </c>
      <c r="AA12" s="11">
        <v>374.77266100085615</v>
      </c>
      <c r="AB12" s="11">
        <v>378.16676625518454</v>
      </c>
      <c r="AC12" s="11">
        <v>381.20355471041466</v>
      </c>
      <c r="AD12" s="11">
        <v>383.83496949235081</v>
      </c>
      <c r="AE12" s="11">
        <v>386.31167094697747</v>
      </c>
      <c r="AF12" s="11">
        <v>388.83309812737599</v>
      </c>
      <c r="AG12" s="11">
        <v>391.39952851641436</v>
      </c>
      <c r="AH12" s="11">
        <v>394.01472231530488</v>
      </c>
      <c r="AI12" s="11">
        <v>396.76617831380378</v>
      </c>
      <c r="AJ12" s="11">
        <v>399.51569149990524</v>
      </c>
      <c r="AK12" s="11">
        <v>402.35690268680491</v>
      </c>
      <c r="AL12" s="11">
        <v>405.31749165504783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</row>
    <row r="13" spans="1:67" x14ac:dyDescent="0.2">
      <c r="L13" s="232" t="str">
        <f>'Occ T3'!A15</f>
        <v>24 Business, media and public service professionals</v>
      </c>
      <c r="M13" s="11">
        <v>534.13018541577742</v>
      </c>
      <c r="N13" s="11">
        <v>508.23484615047079</v>
      </c>
      <c r="O13" s="11">
        <v>532.89825824204866</v>
      </c>
      <c r="P13" s="11">
        <v>559.70364899158324</v>
      </c>
      <c r="Q13" s="11">
        <v>588.96824952961822</v>
      </c>
      <c r="R13" s="11">
        <v>578.85510824114158</v>
      </c>
      <c r="S13" s="11">
        <v>628.776339258495</v>
      </c>
      <c r="T13" s="11">
        <v>649.96479867943958</v>
      </c>
      <c r="U13" s="11">
        <v>675.47401442467742</v>
      </c>
      <c r="V13" s="11">
        <v>694.78884008845557</v>
      </c>
      <c r="W13" s="11">
        <v>729.85312521326705</v>
      </c>
      <c r="X13" s="11">
        <v>783.95012565521188</v>
      </c>
      <c r="Y13" s="11">
        <v>796.82194482140574</v>
      </c>
      <c r="Z13" s="11">
        <v>809.07660299666964</v>
      </c>
      <c r="AA13" s="11">
        <v>820.96827115511815</v>
      </c>
      <c r="AB13" s="11">
        <v>830.41431555582767</v>
      </c>
      <c r="AC13" s="11">
        <v>838.88551623020112</v>
      </c>
      <c r="AD13" s="11">
        <v>846.74511208084743</v>
      </c>
      <c r="AE13" s="11">
        <v>854.33258375609512</v>
      </c>
      <c r="AF13" s="11">
        <v>861.99838309133622</v>
      </c>
      <c r="AG13" s="11">
        <v>870.11676797085477</v>
      </c>
      <c r="AH13" s="11">
        <v>878.16492569592219</v>
      </c>
      <c r="AI13" s="11">
        <v>886.2915801487012</v>
      </c>
      <c r="AJ13" s="11">
        <v>894.43390610890083</v>
      </c>
      <c r="AK13" s="11">
        <v>902.54682170223498</v>
      </c>
      <c r="AL13" s="11">
        <v>910.8448054975928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</row>
    <row r="14" spans="1:67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</row>
    <row r="15" spans="1:67" x14ac:dyDescent="0.2">
      <c r="L15" s="16" t="str">
        <f>'Occ T3'!A17</f>
        <v>Associate professional occupations</v>
      </c>
      <c r="M15" s="86">
        <f>SUM(M16:M20)</f>
        <v>809.40001966628608</v>
      </c>
      <c r="N15" s="86">
        <f t="shared" ref="N15:P15" si="4">SUM(N16:N20)</f>
        <v>824.10541521622531</v>
      </c>
      <c r="O15" s="86">
        <f t="shared" si="4"/>
        <v>885.34839239749022</v>
      </c>
      <c r="P15" s="86">
        <f t="shared" si="4"/>
        <v>885.46344658180055</v>
      </c>
      <c r="Q15" s="86">
        <f>SUM(Q16:Q20)</f>
        <v>953.77061088907988</v>
      </c>
      <c r="R15" s="86">
        <f t="shared" ref="R15:AL15" si="5">SUM(R16:R20)</f>
        <v>971.86115815232506</v>
      </c>
      <c r="S15" s="86">
        <f t="shared" si="5"/>
        <v>1005.8210930211121</v>
      </c>
      <c r="T15" s="86">
        <f t="shared" si="5"/>
        <v>1030.3947243561606</v>
      </c>
      <c r="U15" s="86">
        <f t="shared" si="5"/>
        <v>1046.1972372910579</v>
      </c>
      <c r="V15" s="86">
        <f t="shared" si="5"/>
        <v>1034.9176447412417</v>
      </c>
      <c r="W15" s="86">
        <f t="shared" si="5"/>
        <v>1085.4779270290016</v>
      </c>
      <c r="X15" s="86">
        <f t="shared" si="5"/>
        <v>1040.2909160493814</v>
      </c>
      <c r="Y15" s="86">
        <f t="shared" si="5"/>
        <v>1052.6200623682466</v>
      </c>
      <c r="Z15" s="86">
        <f t="shared" si="5"/>
        <v>1064.6226403745129</v>
      </c>
      <c r="AA15" s="86">
        <f t="shared" si="5"/>
        <v>1075.4226605557101</v>
      </c>
      <c r="AB15" s="86">
        <f t="shared" si="5"/>
        <v>1083.2466314386847</v>
      </c>
      <c r="AC15" s="86">
        <f t="shared" si="5"/>
        <v>1090.4667663745026</v>
      </c>
      <c r="AD15" s="86">
        <f t="shared" si="5"/>
        <v>1097.3745677610077</v>
      </c>
      <c r="AE15" s="86">
        <f t="shared" si="5"/>
        <v>1104.0900729970685</v>
      </c>
      <c r="AF15" s="86">
        <f t="shared" si="5"/>
        <v>1110.3909635035334</v>
      </c>
      <c r="AG15" s="86">
        <f t="shared" si="5"/>
        <v>1117.2662576478333</v>
      </c>
      <c r="AH15" s="86">
        <f t="shared" si="5"/>
        <v>1123.8795629081255</v>
      </c>
      <c r="AI15" s="86">
        <f t="shared" si="5"/>
        <v>1130.6985212532022</v>
      </c>
      <c r="AJ15" s="86">
        <f t="shared" si="5"/>
        <v>1137.4709887671809</v>
      </c>
      <c r="AK15" s="86">
        <f t="shared" si="5"/>
        <v>1144.3370048067491</v>
      </c>
      <c r="AL15" s="86">
        <f t="shared" si="5"/>
        <v>1150.8686915396661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</row>
    <row r="16" spans="1:67" x14ac:dyDescent="0.2">
      <c r="L16" s="232" t="str">
        <f>'Occ T3'!A18</f>
        <v>31 Science, engineering and technology associate professionals</v>
      </c>
      <c r="M16" s="11">
        <v>77.372085795049344</v>
      </c>
      <c r="N16" s="11">
        <v>78.115070350713921</v>
      </c>
      <c r="O16" s="11">
        <v>81.468686863930245</v>
      </c>
      <c r="P16" s="11">
        <v>84.219809107300136</v>
      </c>
      <c r="Q16" s="11">
        <v>81.139789341643933</v>
      </c>
      <c r="R16" s="11">
        <v>81.903763878624659</v>
      </c>
      <c r="S16" s="11">
        <v>90.540053758386748</v>
      </c>
      <c r="T16" s="11">
        <v>99.005820335807897</v>
      </c>
      <c r="U16" s="11">
        <v>101.25824644776363</v>
      </c>
      <c r="V16" s="11">
        <v>99.312809298538895</v>
      </c>
      <c r="W16" s="11">
        <v>105.44228217606674</v>
      </c>
      <c r="X16" s="11">
        <v>92.124192266295935</v>
      </c>
      <c r="Y16" s="11">
        <v>93.10459230717457</v>
      </c>
      <c r="Z16" s="11">
        <v>94.331863791791733</v>
      </c>
      <c r="AA16" s="11">
        <v>95.505879910444051</v>
      </c>
      <c r="AB16" s="11">
        <v>96.372111679440593</v>
      </c>
      <c r="AC16" s="11">
        <v>97.140823135091182</v>
      </c>
      <c r="AD16" s="11">
        <v>97.903981791359072</v>
      </c>
      <c r="AE16" s="11">
        <v>98.635362076411667</v>
      </c>
      <c r="AF16" s="11">
        <v>99.393820004384153</v>
      </c>
      <c r="AG16" s="11">
        <v>100.11024724668545</v>
      </c>
      <c r="AH16" s="11">
        <v>100.79250832469215</v>
      </c>
      <c r="AI16" s="11">
        <v>101.46106593885088</v>
      </c>
      <c r="AJ16" s="11">
        <v>102.18898576107182</v>
      </c>
      <c r="AK16" s="11">
        <v>102.90655550691245</v>
      </c>
      <c r="AL16" s="11">
        <v>103.72464919203004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</row>
    <row r="17" spans="12:67" x14ac:dyDescent="0.2">
      <c r="L17" s="232" t="str">
        <f>'Occ T3'!A19</f>
        <v>32 Health and social care associate professionals</v>
      </c>
      <c r="M17" s="11">
        <v>64.382990862290384</v>
      </c>
      <c r="N17" s="11">
        <v>86.34093020628211</v>
      </c>
      <c r="O17" s="11">
        <v>88.692229358298192</v>
      </c>
      <c r="P17" s="11">
        <v>91.489675538475652</v>
      </c>
      <c r="Q17" s="11">
        <v>94.847122686569378</v>
      </c>
      <c r="R17" s="11">
        <v>96.617057225558284</v>
      </c>
      <c r="S17" s="11">
        <v>100.19172450579192</v>
      </c>
      <c r="T17" s="11">
        <v>100.97372500528678</v>
      </c>
      <c r="U17" s="11">
        <v>110.62146233291323</v>
      </c>
      <c r="V17" s="11">
        <v>108.31678735553254</v>
      </c>
      <c r="W17" s="11">
        <v>109.6581082081135</v>
      </c>
      <c r="X17" s="11">
        <v>106.20703280520506</v>
      </c>
      <c r="Y17" s="11">
        <v>106.96556570783386</v>
      </c>
      <c r="Z17" s="11">
        <v>107.73145494102927</v>
      </c>
      <c r="AA17" s="11">
        <v>108.55498604780203</v>
      </c>
      <c r="AB17" s="11">
        <v>109.13228559280523</v>
      </c>
      <c r="AC17" s="11">
        <v>109.56441060748172</v>
      </c>
      <c r="AD17" s="11">
        <v>109.85877899639499</v>
      </c>
      <c r="AE17" s="11">
        <v>110.16821214449627</v>
      </c>
      <c r="AF17" s="11">
        <v>110.42201449964703</v>
      </c>
      <c r="AG17" s="11">
        <v>110.72687905245074</v>
      </c>
      <c r="AH17" s="11">
        <v>111.02850135869041</v>
      </c>
      <c r="AI17" s="11">
        <v>111.49635129711375</v>
      </c>
      <c r="AJ17" s="11">
        <v>111.9679205295769</v>
      </c>
      <c r="AK17" s="11">
        <v>112.46307181452276</v>
      </c>
      <c r="AL17" s="11">
        <v>113.02119267279436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</row>
    <row r="18" spans="12:67" x14ac:dyDescent="0.2">
      <c r="L18" s="232" t="str">
        <f>'Occ T3'!A20</f>
        <v>33 Protective service occupations</v>
      </c>
      <c r="M18" s="11">
        <v>57.170654429349653</v>
      </c>
      <c r="N18" s="11">
        <v>67.345666298332944</v>
      </c>
      <c r="O18" s="11">
        <v>68.554820794838108</v>
      </c>
      <c r="P18" s="11">
        <v>62.304710601002732</v>
      </c>
      <c r="Q18" s="11">
        <v>64.661781761344017</v>
      </c>
      <c r="R18" s="11">
        <v>66.411785193429807</v>
      </c>
      <c r="S18" s="11">
        <v>72.622702773425488</v>
      </c>
      <c r="T18" s="11">
        <v>70.110025174533178</v>
      </c>
      <c r="U18" s="11">
        <v>69.288978274572344</v>
      </c>
      <c r="V18" s="11">
        <v>70.733380140054265</v>
      </c>
      <c r="W18" s="11">
        <v>75.80441572551301</v>
      </c>
      <c r="X18" s="11">
        <v>83.997735681357511</v>
      </c>
      <c r="Y18" s="11">
        <v>85.364470841329506</v>
      </c>
      <c r="Z18" s="11">
        <v>86.776212064777567</v>
      </c>
      <c r="AA18" s="11">
        <v>88.115926941729157</v>
      </c>
      <c r="AB18" s="11">
        <v>89.043035973525392</v>
      </c>
      <c r="AC18" s="11">
        <v>90.038468024226646</v>
      </c>
      <c r="AD18" s="11">
        <v>91.119299029360818</v>
      </c>
      <c r="AE18" s="11">
        <v>92.436482333572485</v>
      </c>
      <c r="AF18" s="11">
        <v>93.461891745748559</v>
      </c>
      <c r="AG18" s="11">
        <v>94.776158080332607</v>
      </c>
      <c r="AH18" s="11">
        <v>96.068533162051537</v>
      </c>
      <c r="AI18" s="11">
        <v>97.431705463699373</v>
      </c>
      <c r="AJ18" s="11">
        <v>98.732126096989191</v>
      </c>
      <c r="AK18" s="11">
        <v>100.37221464950819</v>
      </c>
      <c r="AL18" s="11">
        <v>101.60369334487039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</row>
    <row r="19" spans="12:67" x14ac:dyDescent="0.2">
      <c r="L19" s="232" t="str">
        <f>'Occ T3'!A21</f>
        <v>34 Culture, media and sports occupations</v>
      </c>
      <c r="M19" s="11">
        <v>163.09334523459282</v>
      </c>
      <c r="N19" s="11">
        <v>164.65729849923105</v>
      </c>
      <c r="O19" s="11">
        <v>182.86972411647187</v>
      </c>
      <c r="P19" s="11">
        <v>187.48658753954385</v>
      </c>
      <c r="Q19" s="11">
        <v>219.67320036992822</v>
      </c>
      <c r="R19" s="11">
        <v>223.52526281482929</v>
      </c>
      <c r="S19" s="11">
        <v>219.93005734569229</v>
      </c>
      <c r="T19" s="11">
        <v>227.72920526817296</v>
      </c>
      <c r="U19" s="11">
        <v>236.5075836303848</v>
      </c>
      <c r="V19" s="11">
        <v>212.5920837650911</v>
      </c>
      <c r="W19" s="11">
        <v>244.51539437746447</v>
      </c>
      <c r="X19" s="11">
        <v>236.28903229623123</v>
      </c>
      <c r="Y19" s="11">
        <v>241.78028213963984</v>
      </c>
      <c r="Z19" s="11">
        <v>246.46762874649568</v>
      </c>
      <c r="AA19" s="11">
        <v>250.23250071299466</v>
      </c>
      <c r="AB19" s="11">
        <v>253.06686198212074</v>
      </c>
      <c r="AC19" s="11">
        <v>255.825127966265</v>
      </c>
      <c r="AD19" s="11">
        <v>258.49234807919078</v>
      </c>
      <c r="AE19" s="11">
        <v>260.95427886086821</v>
      </c>
      <c r="AF19" s="11">
        <v>263.40861082262666</v>
      </c>
      <c r="AG19" s="11">
        <v>266.02059963380145</v>
      </c>
      <c r="AH19" s="11">
        <v>268.56979481812425</v>
      </c>
      <c r="AI19" s="11">
        <v>271.01935623250313</v>
      </c>
      <c r="AJ19" s="11">
        <v>273.64596478561396</v>
      </c>
      <c r="AK19" s="11">
        <v>276.25640667325803</v>
      </c>
      <c r="AL19" s="11">
        <v>278.61027449263656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</row>
    <row r="20" spans="12:67" x14ac:dyDescent="0.2">
      <c r="L20" s="232" t="str">
        <f>'Occ T3'!A22</f>
        <v>35 Business and public service associate professionals</v>
      </c>
      <c r="M20" s="11">
        <v>447.38094334500386</v>
      </c>
      <c r="N20" s="11">
        <v>427.64644986166536</v>
      </c>
      <c r="O20" s="11">
        <v>463.76293126395188</v>
      </c>
      <c r="P20" s="11">
        <v>459.96266379547814</v>
      </c>
      <c r="Q20" s="11">
        <v>493.44871672959431</v>
      </c>
      <c r="R20" s="11">
        <v>503.40328903988308</v>
      </c>
      <c r="S20" s="11">
        <v>522.5365546378157</v>
      </c>
      <c r="T20" s="11">
        <v>532.57594857235983</v>
      </c>
      <c r="U20" s="11">
        <v>528.52096660542395</v>
      </c>
      <c r="V20" s="11">
        <v>543.9625841820249</v>
      </c>
      <c r="W20" s="11">
        <v>550.05772654184398</v>
      </c>
      <c r="X20" s="11">
        <v>521.67292300029158</v>
      </c>
      <c r="Y20" s="11">
        <v>525.40515137226885</v>
      </c>
      <c r="Z20" s="11">
        <v>529.31548083041866</v>
      </c>
      <c r="AA20" s="11">
        <v>533.01336694274005</v>
      </c>
      <c r="AB20" s="11">
        <v>535.63233621079291</v>
      </c>
      <c r="AC20" s="11">
        <v>537.89793664143804</v>
      </c>
      <c r="AD20" s="11">
        <v>540.00015986470191</v>
      </c>
      <c r="AE20" s="11">
        <v>541.89573758172003</v>
      </c>
      <c r="AF20" s="11">
        <v>543.70462643112694</v>
      </c>
      <c r="AG20" s="11">
        <v>545.63237363456312</v>
      </c>
      <c r="AH20" s="11">
        <v>547.42022524456729</v>
      </c>
      <c r="AI20" s="11">
        <v>549.290042321035</v>
      </c>
      <c r="AJ20" s="11">
        <v>550.93599159392897</v>
      </c>
      <c r="AK20" s="11">
        <v>552.33875616254772</v>
      </c>
      <c r="AL20" s="11">
        <v>553.90888183733466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</row>
    <row r="21" spans="12:67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</row>
    <row r="22" spans="12:67" x14ac:dyDescent="0.2">
      <c r="L22" s="16" t="str">
        <f>'Occ T3'!A24</f>
        <v>Administrative and secretarial occupations</v>
      </c>
      <c r="M22" s="86">
        <f t="shared" ref="M22:P22" si="6">SUM(M23:M24)</f>
        <v>481.65468856027388</v>
      </c>
      <c r="N22" s="86">
        <f t="shared" si="6"/>
        <v>477.12579922469456</v>
      </c>
      <c r="O22" s="86">
        <f t="shared" si="6"/>
        <v>489.11853387501219</v>
      </c>
      <c r="P22" s="86">
        <f t="shared" si="6"/>
        <v>478.95953559711711</v>
      </c>
      <c r="Q22" s="86">
        <f>SUM(Q23:Q24)</f>
        <v>494.47534161615602</v>
      </c>
      <c r="R22" s="86">
        <f t="shared" ref="R22:AL22" si="7">SUM(R23:R24)</f>
        <v>501.70362823889116</v>
      </c>
      <c r="S22" s="86">
        <f t="shared" si="7"/>
        <v>486.71581568778072</v>
      </c>
      <c r="T22" s="86">
        <f t="shared" si="7"/>
        <v>508.45150389495933</v>
      </c>
      <c r="U22" s="86">
        <f t="shared" si="7"/>
        <v>494.51262068171582</v>
      </c>
      <c r="V22" s="86">
        <f t="shared" si="7"/>
        <v>484.92988937825146</v>
      </c>
      <c r="W22" s="86">
        <f t="shared" si="7"/>
        <v>492.35763075020748</v>
      </c>
      <c r="X22" s="86">
        <f t="shared" si="7"/>
        <v>474.17906602981225</v>
      </c>
      <c r="Y22" s="86">
        <f t="shared" si="7"/>
        <v>467.98909240438678</v>
      </c>
      <c r="Z22" s="86">
        <f t="shared" si="7"/>
        <v>463.55857818141124</v>
      </c>
      <c r="AA22" s="86">
        <f t="shared" si="7"/>
        <v>458.76858014163724</v>
      </c>
      <c r="AB22" s="86">
        <f t="shared" si="7"/>
        <v>453.8553569293</v>
      </c>
      <c r="AC22" s="86">
        <f t="shared" si="7"/>
        <v>449.49393853195875</v>
      </c>
      <c r="AD22" s="86">
        <f t="shared" si="7"/>
        <v>445.45668705957212</v>
      </c>
      <c r="AE22" s="86">
        <f t="shared" si="7"/>
        <v>441.69159158035507</v>
      </c>
      <c r="AF22" s="86">
        <f t="shared" si="7"/>
        <v>438.18319254953713</v>
      </c>
      <c r="AG22" s="86">
        <f t="shared" si="7"/>
        <v>434.47738432783649</v>
      </c>
      <c r="AH22" s="86">
        <f t="shared" si="7"/>
        <v>430.61411472878348</v>
      </c>
      <c r="AI22" s="86">
        <f t="shared" si="7"/>
        <v>426.49830320027422</v>
      </c>
      <c r="AJ22" s="86">
        <f t="shared" si="7"/>
        <v>422.85418200684234</v>
      </c>
      <c r="AK22" s="86">
        <f t="shared" si="7"/>
        <v>420.25739199357849</v>
      </c>
      <c r="AL22" s="86">
        <f t="shared" si="7"/>
        <v>414.15179836218863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</row>
    <row r="23" spans="12:67" x14ac:dyDescent="0.2">
      <c r="L23" s="232" t="str">
        <f>'Occ T3'!A25</f>
        <v>41 Administrative occupations</v>
      </c>
      <c r="M23" s="11">
        <v>364.85800920179452</v>
      </c>
      <c r="N23" s="11">
        <v>370.06834038364912</v>
      </c>
      <c r="O23" s="11">
        <v>382.85747901285561</v>
      </c>
      <c r="P23" s="11">
        <v>370.47620497345679</v>
      </c>
      <c r="Q23" s="11">
        <v>386.28156406221365</v>
      </c>
      <c r="R23" s="11">
        <v>399.8387719269964</v>
      </c>
      <c r="S23" s="11">
        <v>387.45723625249894</v>
      </c>
      <c r="T23" s="11">
        <v>406.01736321975329</v>
      </c>
      <c r="U23" s="11">
        <v>392.86257075757294</v>
      </c>
      <c r="V23" s="11">
        <v>391.7440117542651</v>
      </c>
      <c r="W23" s="11">
        <v>403.63982178925511</v>
      </c>
      <c r="X23" s="11">
        <v>377.08563150439824</v>
      </c>
      <c r="Y23" s="11">
        <v>373.87253793814801</v>
      </c>
      <c r="Z23" s="11">
        <v>371.83541943668831</v>
      </c>
      <c r="AA23" s="11">
        <v>369.26861666008108</v>
      </c>
      <c r="AB23" s="11">
        <v>365.71005326916145</v>
      </c>
      <c r="AC23" s="11">
        <v>362.15190759118377</v>
      </c>
      <c r="AD23" s="11">
        <v>358.75865108492684</v>
      </c>
      <c r="AE23" s="11">
        <v>355.88453598167973</v>
      </c>
      <c r="AF23" s="11">
        <v>352.81391750504685</v>
      </c>
      <c r="AG23" s="11">
        <v>349.81890984508391</v>
      </c>
      <c r="AH23" s="11">
        <v>346.64748902431705</v>
      </c>
      <c r="AI23" s="11">
        <v>343.6927580626118</v>
      </c>
      <c r="AJ23" s="11">
        <v>340.93184899175839</v>
      </c>
      <c r="AK23" s="11">
        <v>338.21536096966315</v>
      </c>
      <c r="AL23" s="11">
        <v>335.62418452466846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</row>
    <row r="24" spans="12:67" x14ac:dyDescent="0.2">
      <c r="L24" s="232" t="str">
        <f>'Occ T3'!A26</f>
        <v>42 Secretarial and related occupations</v>
      </c>
      <c r="M24" s="11">
        <v>116.79667935847937</v>
      </c>
      <c r="N24" s="11">
        <v>107.05745884104543</v>
      </c>
      <c r="O24" s="11">
        <v>106.26105486215658</v>
      </c>
      <c r="P24" s="11">
        <v>108.48333062366034</v>
      </c>
      <c r="Q24" s="11">
        <v>108.19377755394235</v>
      </c>
      <c r="R24" s="11">
        <v>101.86485631189477</v>
      </c>
      <c r="S24" s="11">
        <v>99.258579435281746</v>
      </c>
      <c r="T24" s="11">
        <v>102.43414067520604</v>
      </c>
      <c r="U24" s="11">
        <v>101.65004992414288</v>
      </c>
      <c r="V24" s="11">
        <v>93.185877623986343</v>
      </c>
      <c r="W24" s="11">
        <v>88.717808960952368</v>
      </c>
      <c r="X24" s="11">
        <v>97.09343452541404</v>
      </c>
      <c r="Y24" s="11">
        <v>94.116554466238767</v>
      </c>
      <c r="Z24" s="11">
        <v>91.723158744722895</v>
      </c>
      <c r="AA24" s="11">
        <v>89.499963481556179</v>
      </c>
      <c r="AB24" s="11">
        <v>88.145303660138566</v>
      </c>
      <c r="AC24" s="11">
        <v>87.342030940775004</v>
      </c>
      <c r="AD24" s="11">
        <v>86.698035974645265</v>
      </c>
      <c r="AE24" s="11">
        <v>85.807055598675348</v>
      </c>
      <c r="AF24" s="11">
        <v>85.369275044490266</v>
      </c>
      <c r="AG24" s="11">
        <v>84.658474482752609</v>
      </c>
      <c r="AH24" s="11">
        <v>83.966625704466423</v>
      </c>
      <c r="AI24" s="11">
        <v>82.805545137662435</v>
      </c>
      <c r="AJ24" s="11">
        <v>81.92233301508395</v>
      </c>
      <c r="AK24" s="11">
        <v>82.042031023915342</v>
      </c>
      <c r="AL24" s="11">
        <v>78.527613837520136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</row>
    <row r="25" spans="12:67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</row>
    <row r="26" spans="12:67" x14ac:dyDescent="0.2">
      <c r="L26" s="16" t="str">
        <f>'Occ T3'!A28</f>
        <v>Skilled trades occupations</v>
      </c>
      <c r="M26" s="86">
        <f t="shared" ref="M26:P26" si="8">SUM(M27:M30)</f>
        <v>355.06572220671603</v>
      </c>
      <c r="N26" s="86">
        <f t="shared" si="8"/>
        <v>357.0660989685714</v>
      </c>
      <c r="O26" s="86">
        <f t="shared" si="8"/>
        <v>376.47838666140717</v>
      </c>
      <c r="P26" s="86">
        <f t="shared" si="8"/>
        <v>400.14748023702634</v>
      </c>
      <c r="Q26" s="86">
        <f>SUM(Q27:Q30)</f>
        <v>425.16866054581766</v>
      </c>
      <c r="R26" s="86">
        <f t="shared" ref="R26:AL26" si="9">SUM(R27:R30)</f>
        <v>438.29484433198445</v>
      </c>
      <c r="S26" s="86">
        <f t="shared" si="9"/>
        <v>441.15438091770807</v>
      </c>
      <c r="T26" s="86">
        <f t="shared" si="9"/>
        <v>450.5629720278373</v>
      </c>
      <c r="U26" s="86">
        <f>SUM(U27:U30)</f>
        <v>423.4654736836701</v>
      </c>
      <c r="V26" s="86">
        <f t="shared" si="9"/>
        <v>424.38222625246044</v>
      </c>
      <c r="W26" s="86">
        <f t="shared" si="9"/>
        <v>361.80344341909864</v>
      </c>
      <c r="X26" s="86">
        <f t="shared" si="9"/>
        <v>371.88870145721785</v>
      </c>
      <c r="Y26" s="86">
        <f t="shared" si="9"/>
        <v>375.21700434547438</v>
      </c>
      <c r="Z26" s="86">
        <f t="shared" si="9"/>
        <v>381.64258483174785</v>
      </c>
      <c r="AA26" s="86">
        <f t="shared" si="9"/>
        <v>386.85477968981604</v>
      </c>
      <c r="AB26" s="86">
        <f t="shared" si="9"/>
        <v>389.33143485034384</v>
      </c>
      <c r="AC26" s="86">
        <f t="shared" si="9"/>
        <v>391.46746360173518</v>
      </c>
      <c r="AD26" s="86">
        <f t="shared" si="9"/>
        <v>393.94813042920941</v>
      </c>
      <c r="AE26" s="86">
        <f t="shared" si="9"/>
        <v>395.88938046103709</v>
      </c>
      <c r="AF26" s="86">
        <f t="shared" si="9"/>
        <v>397.69426014136127</v>
      </c>
      <c r="AG26" s="86">
        <f t="shared" si="9"/>
        <v>399.66938295011187</v>
      </c>
      <c r="AH26" s="86">
        <f t="shared" si="9"/>
        <v>401.5534661231124</v>
      </c>
      <c r="AI26" s="86">
        <f t="shared" si="9"/>
        <v>403.37422808062388</v>
      </c>
      <c r="AJ26" s="86">
        <f t="shared" si="9"/>
        <v>405.13167696673139</v>
      </c>
      <c r="AK26" s="86">
        <f t="shared" si="9"/>
        <v>406.45101311399429</v>
      </c>
      <c r="AL26" s="86">
        <f t="shared" si="9"/>
        <v>408.56497115717872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</row>
    <row r="27" spans="12:67" x14ac:dyDescent="0.2">
      <c r="L27" s="232" t="str">
        <f>'Occ T3'!A29</f>
        <v>51 Skilled agricultural and related trades</v>
      </c>
      <c r="M27" s="11">
        <v>20.480458946823109</v>
      </c>
      <c r="N27" s="11">
        <v>19.379677573152627</v>
      </c>
      <c r="O27" s="11">
        <v>21.186703819458717</v>
      </c>
      <c r="P27" s="11">
        <v>23.282718641800816</v>
      </c>
      <c r="Q27" s="11">
        <v>25.532591231354004</v>
      </c>
      <c r="R27" s="11">
        <v>26.294453584726924</v>
      </c>
      <c r="S27" s="11">
        <v>27.857915417553389</v>
      </c>
      <c r="T27" s="11">
        <v>24.577729956580821</v>
      </c>
      <c r="U27" s="11">
        <v>23.442975313268825</v>
      </c>
      <c r="V27" s="11">
        <v>26.463703517996674</v>
      </c>
      <c r="W27" s="11">
        <v>25.224786294385733</v>
      </c>
      <c r="X27" s="11">
        <v>24.952141686145417</v>
      </c>
      <c r="Y27" s="11">
        <v>25.484441015307731</v>
      </c>
      <c r="Z27" s="11">
        <v>26.082849258028176</v>
      </c>
      <c r="AA27" s="11">
        <v>26.669949426903891</v>
      </c>
      <c r="AB27" s="11">
        <v>27.211602776942538</v>
      </c>
      <c r="AC27" s="11">
        <v>27.750520433165448</v>
      </c>
      <c r="AD27" s="11">
        <v>28.309242402113608</v>
      </c>
      <c r="AE27" s="11">
        <v>28.813799999993527</v>
      </c>
      <c r="AF27" s="11">
        <v>29.297000940426386</v>
      </c>
      <c r="AG27" s="11">
        <v>29.734967251817423</v>
      </c>
      <c r="AH27" s="11">
        <v>30.256999327438255</v>
      </c>
      <c r="AI27" s="11">
        <v>30.791675116713364</v>
      </c>
      <c r="AJ27" s="11">
        <v>31.330579612471169</v>
      </c>
      <c r="AK27" s="11">
        <v>31.891041295726094</v>
      </c>
      <c r="AL27" s="11">
        <v>32.47501086648176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</row>
    <row r="28" spans="12:67" x14ac:dyDescent="0.2">
      <c r="L28" s="232" t="str">
        <f>'Occ T3'!A30</f>
        <v>52 Skilled metal, electrical and electronic trades</v>
      </c>
      <c r="M28" s="11">
        <v>102.75211363610242</v>
      </c>
      <c r="N28" s="11">
        <v>106.33757643962704</v>
      </c>
      <c r="O28" s="11">
        <v>107.23729125170517</v>
      </c>
      <c r="P28" s="11">
        <v>111.18510142214929</v>
      </c>
      <c r="Q28" s="11">
        <v>120.70782721853702</v>
      </c>
      <c r="R28" s="11">
        <v>119.88160092800702</v>
      </c>
      <c r="S28" s="11">
        <v>124.33175205959481</v>
      </c>
      <c r="T28" s="11">
        <v>126.09102960196748</v>
      </c>
      <c r="U28" s="11">
        <v>120.06675854949717</v>
      </c>
      <c r="V28" s="11">
        <v>126.32773853817437</v>
      </c>
      <c r="W28" s="11">
        <v>111.14071561048978</v>
      </c>
      <c r="X28" s="11">
        <v>113.76735392156556</v>
      </c>
      <c r="Y28" s="11">
        <v>114.13691722664569</v>
      </c>
      <c r="Z28" s="11">
        <v>115.19222632418227</v>
      </c>
      <c r="AA28" s="11">
        <v>115.86248507123626</v>
      </c>
      <c r="AB28" s="11">
        <v>115.71265313915445</v>
      </c>
      <c r="AC28" s="11">
        <v>115.35037361354573</v>
      </c>
      <c r="AD28" s="11">
        <v>114.92987856297925</v>
      </c>
      <c r="AE28" s="11">
        <v>114.52751434355942</v>
      </c>
      <c r="AF28" s="11">
        <v>114.09086240147991</v>
      </c>
      <c r="AG28" s="11">
        <v>113.76541145264146</v>
      </c>
      <c r="AH28" s="11">
        <v>113.42578247829714</v>
      </c>
      <c r="AI28" s="11">
        <v>113.05417370540388</v>
      </c>
      <c r="AJ28" s="11">
        <v>112.66301672859207</v>
      </c>
      <c r="AK28" s="11">
        <v>112.26714590032984</v>
      </c>
      <c r="AL28" s="11">
        <v>111.9329693226548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</row>
    <row r="29" spans="12:67" x14ac:dyDescent="0.2">
      <c r="L29" s="232" t="str">
        <f>'Occ T3'!A31</f>
        <v>53 Skilled construction and building trades</v>
      </c>
      <c r="M29" s="11">
        <v>128.57027072172519</v>
      </c>
      <c r="N29" s="11">
        <v>128.85266939086796</v>
      </c>
      <c r="O29" s="11">
        <v>133.84149514960544</v>
      </c>
      <c r="P29" s="11">
        <v>150.93746642045201</v>
      </c>
      <c r="Q29" s="11">
        <v>151.54992980554934</v>
      </c>
      <c r="R29" s="11">
        <v>163.13365486178674</v>
      </c>
      <c r="S29" s="11">
        <v>159.79656102188531</v>
      </c>
      <c r="T29" s="11">
        <v>167.5926480623821</v>
      </c>
      <c r="U29" s="11">
        <v>147.5885259096454</v>
      </c>
      <c r="V29" s="11">
        <v>142.64094798695422</v>
      </c>
      <c r="W29" s="11">
        <v>112.25935423674792</v>
      </c>
      <c r="X29" s="11">
        <v>121.0556649096096</v>
      </c>
      <c r="Y29" s="11">
        <v>122.37959214482044</v>
      </c>
      <c r="Z29" s="11">
        <v>125.30388020717122</v>
      </c>
      <c r="AA29" s="11">
        <v>127.67308529268597</v>
      </c>
      <c r="AB29" s="11">
        <v>128.77074902427728</v>
      </c>
      <c r="AC29" s="11">
        <v>129.81326322454564</v>
      </c>
      <c r="AD29" s="11">
        <v>130.72727953223583</v>
      </c>
      <c r="AE29" s="11">
        <v>131.51769985762965</v>
      </c>
      <c r="AF29" s="11">
        <v>132.29179267443806</v>
      </c>
      <c r="AG29" s="11">
        <v>133.19914785312457</v>
      </c>
      <c r="AH29" s="11">
        <v>134.08851083969046</v>
      </c>
      <c r="AI29" s="11">
        <v>134.96311529001557</v>
      </c>
      <c r="AJ29" s="11">
        <v>135.80318573201822</v>
      </c>
      <c r="AK29" s="11">
        <v>136.64049232065548</v>
      </c>
      <c r="AL29" s="11">
        <v>137.47363645308153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</row>
    <row r="30" spans="12:67" x14ac:dyDescent="0.2">
      <c r="L30" s="232" t="str">
        <f>'Occ T3'!A32</f>
        <v>54 Textiles, printing and other skilled trades</v>
      </c>
      <c r="M30" s="11">
        <v>103.26287890206535</v>
      </c>
      <c r="N30" s="11">
        <v>102.49617556492379</v>
      </c>
      <c r="O30" s="11">
        <v>114.21289644063786</v>
      </c>
      <c r="P30" s="11">
        <v>114.74219375262416</v>
      </c>
      <c r="Q30" s="11">
        <v>127.37831229037734</v>
      </c>
      <c r="R30" s="11">
        <v>128.98513495746371</v>
      </c>
      <c r="S30" s="11">
        <v>129.16815241867459</v>
      </c>
      <c r="T30" s="11">
        <v>132.30156440690686</v>
      </c>
      <c r="U30" s="11">
        <v>132.36721391125869</v>
      </c>
      <c r="V30" s="11">
        <v>128.94983620933522</v>
      </c>
      <c r="W30" s="11">
        <v>113.17858727747519</v>
      </c>
      <c r="X30" s="11">
        <v>112.11354093989729</v>
      </c>
      <c r="Y30" s="11">
        <v>113.21605395870048</v>
      </c>
      <c r="Z30" s="11">
        <v>115.06362904236617</v>
      </c>
      <c r="AA30" s="11">
        <v>116.64925989898992</v>
      </c>
      <c r="AB30" s="11">
        <v>117.63642990996956</v>
      </c>
      <c r="AC30" s="11">
        <v>118.55330633047831</v>
      </c>
      <c r="AD30" s="11">
        <v>119.98172993188074</v>
      </c>
      <c r="AE30" s="11">
        <v>121.03036625985447</v>
      </c>
      <c r="AF30" s="11">
        <v>122.01460412501697</v>
      </c>
      <c r="AG30" s="11">
        <v>122.96985639252841</v>
      </c>
      <c r="AH30" s="11">
        <v>123.7821734776865</v>
      </c>
      <c r="AI30" s="11">
        <v>124.56526396849105</v>
      </c>
      <c r="AJ30" s="11">
        <v>125.33489489364995</v>
      </c>
      <c r="AK30" s="11">
        <v>125.65233359728285</v>
      </c>
      <c r="AL30" s="11">
        <v>126.68335451496061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</row>
    <row r="31" spans="12:67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</row>
    <row r="32" spans="12:67" x14ac:dyDescent="0.2">
      <c r="L32" s="16" t="str">
        <f>'Occ T3'!A34</f>
        <v>Caring, leisure and other service occupations</v>
      </c>
      <c r="M32" s="86">
        <f>SUM(M33:M35)</f>
        <v>322.21003427170388</v>
      </c>
      <c r="N32" s="86">
        <f t="shared" ref="N32:AL32" si="10">SUM(N33:N35)</f>
        <v>317.80118407114378</v>
      </c>
      <c r="O32" s="86">
        <f t="shared" si="10"/>
        <v>319.58459743370594</v>
      </c>
      <c r="P32" s="86">
        <f t="shared" si="10"/>
        <v>346.44597898419721</v>
      </c>
      <c r="Q32" s="86">
        <f t="shared" si="10"/>
        <v>357.39693058714789</v>
      </c>
      <c r="R32" s="86">
        <f t="shared" si="10"/>
        <v>359.12796442293251</v>
      </c>
      <c r="S32" s="86">
        <f t="shared" si="10"/>
        <v>378.15350391398493</v>
      </c>
      <c r="T32" s="86">
        <f t="shared" si="10"/>
        <v>383.35402358461522</v>
      </c>
      <c r="U32" s="86">
        <f t="shared" si="10"/>
        <v>369.30512142004136</v>
      </c>
      <c r="V32" s="86">
        <f t="shared" si="10"/>
        <v>380.19703695698433</v>
      </c>
      <c r="W32" s="86">
        <f t="shared" si="10"/>
        <v>358.39420959597021</v>
      </c>
      <c r="X32" s="86">
        <f t="shared" si="10"/>
        <v>370.85574629487388</v>
      </c>
      <c r="Y32" s="86">
        <f t="shared" si="10"/>
        <v>374.52371514845811</v>
      </c>
      <c r="Z32" s="86">
        <f t="shared" si="10"/>
        <v>378.27145245962282</v>
      </c>
      <c r="AA32" s="86">
        <f t="shared" si="10"/>
        <v>382.06535067467576</v>
      </c>
      <c r="AB32" s="86">
        <f t="shared" si="10"/>
        <v>384.84661935634091</v>
      </c>
      <c r="AC32" s="86">
        <f t="shared" si="10"/>
        <v>387.31312294270759</v>
      </c>
      <c r="AD32" s="86">
        <f t="shared" si="10"/>
        <v>389.5608710609938</v>
      </c>
      <c r="AE32" s="86">
        <f t="shared" si="10"/>
        <v>391.93059548616066</v>
      </c>
      <c r="AF32" s="86">
        <f t="shared" si="10"/>
        <v>394.00556121827185</v>
      </c>
      <c r="AG32" s="86">
        <f t="shared" si="10"/>
        <v>396.2453741703676</v>
      </c>
      <c r="AH32" s="86">
        <f t="shared" si="10"/>
        <v>398.50745020422369</v>
      </c>
      <c r="AI32" s="86">
        <f t="shared" si="10"/>
        <v>400.85676477223404</v>
      </c>
      <c r="AJ32" s="86">
        <f t="shared" si="10"/>
        <v>403.23278640052166</v>
      </c>
      <c r="AK32" s="86">
        <f t="shared" si="10"/>
        <v>405.76400410891119</v>
      </c>
      <c r="AL32" s="86">
        <f t="shared" si="10"/>
        <v>408.44811050129965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</row>
    <row r="33" spans="12:67" x14ac:dyDescent="0.2">
      <c r="L33" s="232" t="str">
        <f>'Occ T3'!A35</f>
        <v>61 Caring personal service occupations</v>
      </c>
      <c r="M33" s="11">
        <v>223.96961545078352</v>
      </c>
      <c r="N33" s="11">
        <v>217.79424729879048</v>
      </c>
      <c r="O33" s="11">
        <v>219.93814353259373</v>
      </c>
      <c r="P33" s="11">
        <v>238.95249709786344</v>
      </c>
      <c r="Q33" s="11">
        <v>253.75627065490931</v>
      </c>
      <c r="R33" s="11">
        <v>253.00446871969206</v>
      </c>
      <c r="S33" s="11">
        <v>269.34893941505931</v>
      </c>
      <c r="T33" s="11">
        <v>271.32398609634447</v>
      </c>
      <c r="U33" s="11">
        <v>266.9360271724338</v>
      </c>
      <c r="V33" s="11">
        <v>264.85600780962892</v>
      </c>
      <c r="W33" s="11">
        <v>252.16320992365189</v>
      </c>
      <c r="X33" s="11">
        <v>264.13721695857942</v>
      </c>
      <c r="Y33" s="11">
        <v>266.11853106908666</v>
      </c>
      <c r="Z33" s="11">
        <v>268.6442304230506</v>
      </c>
      <c r="AA33" s="11">
        <v>271.39221277946751</v>
      </c>
      <c r="AB33" s="11">
        <v>273.32530178928874</v>
      </c>
      <c r="AC33" s="11">
        <v>275.021637778968</v>
      </c>
      <c r="AD33" s="11">
        <v>276.55532225300681</v>
      </c>
      <c r="AE33" s="11">
        <v>278.09464410036969</v>
      </c>
      <c r="AF33" s="11">
        <v>279.42964117017965</v>
      </c>
      <c r="AG33" s="11">
        <v>280.85748655524742</v>
      </c>
      <c r="AH33" s="11">
        <v>282.29703986418599</v>
      </c>
      <c r="AI33" s="11">
        <v>283.78858400693133</v>
      </c>
      <c r="AJ33" s="11">
        <v>285.31378930145627</v>
      </c>
      <c r="AK33" s="11">
        <v>286.98900050947924</v>
      </c>
      <c r="AL33" s="11">
        <v>288.67846948308761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</row>
    <row r="34" spans="12:67" x14ac:dyDescent="0.2">
      <c r="L34" s="232" t="str">
        <f>'Occ T3'!A36</f>
        <v>62 Leisure, travel and related personal service occupations</v>
      </c>
      <c r="M34" s="11">
        <v>90.23435544559581</v>
      </c>
      <c r="N34" s="11">
        <v>94.083524660057364</v>
      </c>
      <c r="O34" s="11">
        <v>93.627441592681592</v>
      </c>
      <c r="P34" s="11">
        <v>101.93571268654411</v>
      </c>
      <c r="Q34" s="11">
        <v>97.278158874315537</v>
      </c>
      <c r="R34" s="11">
        <v>100.18519998138873</v>
      </c>
      <c r="S34" s="11">
        <v>103.58605387448145</v>
      </c>
      <c r="T34" s="11">
        <v>106.44581530544914</v>
      </c>
      <c r="U34" s="11">
        <v>96.923139943235384</v>
      </c>
      <c r="V34" s="11">
        <v>109.97039787264633</v>
      </c>
      <c r="W34" s="11">
        <v>99.491973158038263</v>
      </c>
      <c r="X34" s="11">
        <v>101.26117778919236</v>
      </c>
      <c r="Y34" s="11">
        <v>102.90228164862378</v>
      </c>
      <c r="Z34" s="11">
        <v>104.06630209353891</v>
      </c>
      <c r="AA34" s="11">
        <v>105.06023809624087</v>
      </c>
      <c r="AB34" s="11">
        <v>105.88555330328265</v>
      </c>
      <c r="AC34" s="11">
        <v>106.62839516542275</v>
      </c>
      <c r="AD34" s="11">
        <v>107.31668747097851</v>
      </c>
      <c r="AE34" s="11">
        <v>108.10740937434987</v>
      </c>
      <c r="AF34" s="11">
        <v>108.83077682249778</v>
      </c>
      <c r="AG34" s="11">
        <v>109.6032119347512</v>
      </c>
      <c r="AH34" s="11">
        <v>110.38486791682159</v>
      </c>
      <c r="AI34" s="11">
        <v>111.19385860619182</v>
      </c>
      <c r="AJ34" s="11">
        <v>112.01241645608668</v>
      </c>
      <c r="AK34" s="11">
        <v>112.81460373027407</v>
      </c>
      <c r="AL34" s="11">
        <v>113.77979691516451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</row>
    <row r="35" spans="12:67" x14ac:dyDescent="0.2">
      <c r="L35" s="232" t="str">
        <f>'Occ T3'!A37</f>
        <v>63 Community and civil enforcement occupations</v>
      </c>
      <c r="M35" s="11">
        <v>8.0060633753245334</v>
      </c>
      <c r="N35" s="11">
        <v>5.9234121122959387</v>
      </c>
      <c r="O35" s="11">
        <v>6.019012308430594</v>
      </c>
      <c r="P35" s="11">
        <v>5.5577691997896546</v>
      </c>
      <c r="Q35" s="11">
        <v>6.3625010579230707</v>
      </c>
      <c r="R35" s="11">
        <v>5.9382957218516932</v>
      </c>
      <c r="S35" s="11">
        <v>5.2185106244441553</v>
      </c>
      <c r="T35" s="11">
        <v>5.5842221828215939</v>
      </c>
      <c r="U35" s="11">
        <v>5.4459543043722212</v>
      </c>
      <c r="V35" s="11">
        <v>5.3706312747090736</v>
      </c>
      <c r="W35" s="11">
        <v>6.7390265142800718</v>
      </c>
      <c r="X35" s="11">
        <v>5.4573515471021263</v>
      </c>
      <c r="Y35" s="11">
        <v>5.5029024307476586</v>
      </c>
      <c r="Z35" s="11">
        <v>5.5609199430333023</v>
      </c>
      <c r="AA35" s="11">
        <v>5.6128997989673799</v>
      </c>
      <c r="AB35" s="11">
        <v>5.6357642637695298</v>
      </c>
      <c r="AC35" s="11">
        <v>5.6630899983168037</v>
      </c>
      <c r="AD35" s="11">
        <v>5.6888613370084808</v>
      </c>
      <c r="AE35" s="11">
        <v>5.7285420114411094</v>
      </c>
      <c r="AF35" s="11">
        <v>5.7451432255943846</v>
      </c>
      <c r="AG35" s="11">
        <v>5.7846756803689843</v>
      </c>
      <c r="AH35" s="11">
        <v>5.8255424232160999</v>
      </c>
      <c r="AI35" s="11">
        <v>5.8743221591108794</v>
      </c>
      <c r="AJ35" s="11">
        <v>5.9065806429787351</v>
      </c>
      <c r="AK35" s="11">
        <v>5.9603998691578441</v>
      </c>
      <c r="AL35" s="11">
        <v>5.9898441030475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</row>
    <row r="36" spans="12:67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</row>
    <row r="37" spans="12:67" x14ac:dyDescent="0.2">
      <c r="L37" s="16" t="str">
        <f>'Occ T3'!A39</f>
        <v>Sales and customer service occupations</v>
      </c>
      <c r="M37" s="86">
        <f t="shared" ref="M37:P37" si="11">SUM(M38:M39)</f>
        <v>350.0299371237848</v>
      </c>
      <c r="N37" s="86">
        <f t="shared" si="11"/>
        <v>356.74152020819344</v>
      </c>
      <c r="O37" s="86">
        <f t="shared" si="11"/>
        <v>384.66871900334075</v>
      </c>
      <c r="P37" s="86">
        <f t="shared" si="11"/>
        <v>373.38691533905063</v>
      </c>
      <c r="Q37" s="86">
        <f>SUM(Q38:Q39)</f>
        <v>379.92658471943082</v>
      </c>
      <c r="R37" s="86">
        <f t="shared" ref="R37:AL37" si="12">SUM(R38:R39)</f>
        <v>395.77466112139808</v>
      </c>
      <c r="S37" s="86">
        <f t="shared" si="12"/>
        <v>383.09390660870918</v>
      </c>
      <c r="T37" s="86">
        <f t="shared" si="12"/>
        <v>385.53198220469778</v>
      </c>
      <c r="U37" s="86">
        <f t="shared" si="12"/>
        <v>392.77356423311858</v>
      </c>
      <c r="V37" s="86">
        <f t="shared" si="12"/>
        <v>368.27398378397208</v>
      </c>
      <c r="W37" s="86">
        <f t="shared" si="12"/>
        <v>362.02446825408657</v>
      </c>
      <c r="X37" s="86">
        <f t="shared" si="12"/>
        <v>360.54787418408853</v>
      </c>
      <c r="Y37" s="86">
        <f t="shared" si="12"/>
        <v>360.07974126531803</v>
      </c>
      <c r="Z37" s="86">
        <f t="shared" si="12"/>
        <v>361.58469144129424</v>
      </c>
      <c r="AA37" s="86">
        <f t="shared" si="12"/>
        <v>362.82256373902766</v>
      </c>
      <c r="AB37" s="86">
        <f t="shared" si="12"/>
        <v>363.25597157186576</v>
      </c>
      <c r="AC37" s="86">
        <f t="shared" si="12"/>
        <v>363.2344305646684</v>
      </c>
      <c r="AD37" s="86">
        <f t="shared" si="12"/>
        <v>363.23184614663194</v>
      </c>
      <c r="AE37" s="86">
        <f t="shared" si="12"/>
        <v>363.17140564159291</v>
      </c>
      <c r="AF37" s="86">
        <f t="shared" si="12"/>
        <v>363.05345624298491</v>
      </c>
      <c r="AG37" s="86">
        <f t="shared" si="12"/>
        <v>362.87909302765178</v>
      </c>
      <c r="AH37" s="86">
        <f t="shared" si="12"/>
        <v>362.61364912730255</v>
      </c>
      <c r="AI37" s="86">
        <f t="shared" si="12"/>
        <v>362.30471152489497</v>
      </c>
      <c r="AJ37" s="86">
        <f t="shared" si="12"/>
        <v>362.02051943650406</v>
      </c>
      <c r="AK37" s="86">
        <f t="shared" si="12"/>
        <v>361.625264141201</v>
      </c>
      <c r="AL37" s="86">
        <f t="shared" si="12"/>
        <v>361.43165928598194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</row>
    <row r="38" spans="12:67" x14ac:dyDescent="0.2">
      <c r="L38" s="232" t="str">
        <f>'Occ T3'!A40</f>
        <v>71 Sales occupations</v>
      </c>
      <c r="M38" s="11">
        <v>279.26420693969538</v>
      </c>
      <c r="N38" s="11">
        <v>286.51305563280221</v>
      </c>
      <c r="O38" s="11">
        <v>312.74624940535989</v>
      </c>
      <c r="P38" s="11">
        <v>300.96304253150885</v>
      </c>
      <c r="Q38" s="11">
        <v>308.70116998546615</v>
      </c>
      <c r="R38" s="11">
        <v>317.65918909274848</v>
      </c>
      <c r="S38" s="11">
        <v>307.65827872983692</v>
      </c>
      <c r="T38" s="11">
        <v>302.63821833489089</v>
      </c>
      <c r="U38" s="11">
        <v>307.89873522337126</v>
      </c>
      <c r="V38" s="11">
        <v>283.8396737163265</v>
      </c>
      <c r="W38" s="11">
        <v>277.11013700415418</v>
      </c>
      <c r="X38" s="11">
        <v>258.26278552540748</v>
      </c>
      <c r="Y38" s="11">
        <v>256.51671489026506</v>
      </c>
      <c r="Z38" s="11">
        <v>256.42560355476456</v>
      </c>
      <c r="AA38" s="11">
        <v>256.11818207164731</v>
      </c>
      <c r="AB38" s="11">
        <v>255.24893261424151</v>
      </c>
      <c r="AC38" s="11">
        <v>254.0593275402189</v>
      </c>
      <c r="AD38" s="11">
        <v>253.05945336119999</v>
      </c>
      <c r="AE38" s="11">
        <v>252.07160966373215</v>
      </c>
      <c r="AF38" s="11">
        <v>250.9990262425284</v>
      </c>
      <c r="AG38" s="11">
        <v>249.86759816093385</v>
      </c>
      <c r="AH38" s="11">
        <v>248.64045216293735</v>
      </c>
      <c r="AI38" s="11">
        <v>247.4064734164385</v>
      </c>
      <c r="AJ38" s="11">
        <v>246.16626640552496</v>
      </c>
      <c r="AK38" s="11">
        <v>244.87786014959656</v>
      </c>
      <c r="AL38" s="11">
        <v>243.68551158385674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</row>
    <row r="39" spans="12:67" x14ac:dyDescent="0.2">
      <c r="L39" s="232" t="str">
        <f>'Occ T3'!A41</f>
        <v>72 Customer service occupations</v>
      </c>
      <c r="M39" s="11">
        <v>70.765730184089421</v>
      </c>
      <c r="N39" s="11">
        <v>70.228464575391243</v>
      </c>
      <c r="O39" s="11">
        <v>71.922469597980879</v>
      </c>
      <c r="P39" s="11">
        <v>72.42387280754177</v>
      </c>
      <c r="Q39" s="11">
        <v>71.225414733964683</v>
      </c>
      <c r="R39" s="11">
        <v>78.11547202864962</v>
      </c>
      <c r="S39" s="11">
        <v>75.435627878872253</v>
      </c>
      <c r="T39" s="11">
        <v>82.893763869806889</v>
      </c>
      <c r="U39" s="11">
        <v>84.874829009747316</v>
      </c>
      <c r="V39" s="11">
        <v>84.434310067645598</v>
      </c>
      <c r="W39" s="11">
        <v>84.914331249932388</v>
      </c>
      <c r="X39" s="11">
        <v>102.28508865868106</v>
      </c>
      <c r="Y39" s="11">
        <v>103.563026375053</v>
      </c>
      <c r="Z39" s="11">
        <v>105.1590878865297</v>
      </c>
      <c r="AA39" s="11">
        <v>106.70438166738033</v>
      </c>
      <c r="AB39" s="11">
        <v>108.00703895762425</v>
      </c>
      <c r="AC39" s="11">
        <v>109.17510302444948</v>
      </c>
      <c r="AD39" s="11">
        <v>110.17239278543195</v>
      </c>
      <c r="AE39" s="11">
        <v>111.09979597786075</v>
      </c>
      <c r="AF39" s="11">
        <v>112.05443000045648</v>
      </c>
      <c r="AG39" s="11">
        <v>113.01149486671791</v>
      </c>
      <c r="AH39" s="11">
        <v>113.97319696436521</v>
      </c>
      <c r="AI39" s="11">
        <v>114.89823810845647</v>
      </c>
      <c r="AJ39" s="11">
        <v>115.85425303097909</v>
      </c>
      <c r="AK39" s="11">
        <v>116.74740399160441</v>
      </c>
      <c r="AL39" s="11">
        <v>117.74614770212519</v>
      </c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</row>
    <row r="40" spans="12:67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</row>
    <row r="41" spans="12:67" x14ac:dyDescent="0.2">
      <c r="L41" s="16" t="str">
        <f>'Occ T3'!A43</f>
        <v>Process, plant and machine operatives</v>
      </c>
      <c r="M41" s="86">
        <f t="shared" ref="M41:P41" si="13">SUM(M42:M43)</f>
        <v>190.87405222499919</v>
      </c>
      <c r="N41" s="86">
        <f t="shared" si="13"/>
        <v>193.95313020418735</v>
      </c>
      <c r="O41" s="86">
        <f t="shared" si="13"/>
        <v>199.13168409867663</v>
      </c>
      <c r="P41" s="86">
        <f t="shared" si="13"/>
        <v>200.95084207792323</v>
      </c>
      <c r="Q41" s="86">
        <f>SUM(Q42:Q43)</f>
        <v>216.65195252208616</v>
      </c>
      <c r="R41" s="86">
        <f t="shared" ref="R41:AL41" si="14">SUM(R42:R43)</f>
        <v>217.67127014853645</v>
      </c>
      <c r="S41" s="86">
        <f t="shared" si="14"/>
        <v>229.40245353858819</v>
      </c>
      <c r="T41" s="86">
        <f t="shared" si="14"/>
        <v>241.43921344559234</v>
      </c>
      <c r="U41" s="86">
        <f t="shared" si="14"/>
        <v>228.7509412649693</v>
      </c>
      <c r="V41" s="86">
        <f t="shared" si="14"/>
        <v>240.37232361819181</v>
      </c>
      <c r="W41" s="86">
        <f t="shared" si="14"/>
        <v>214.5516190587644</v>
      </c>
      <c r="X41" s="86">
        <f t="shared" si="14"/>
        <v>237.85173423382386</v>
      </c>
      <c r="Y41" s="86">
        <f t="shared" si="14"/>
        <v>240.01337027983007</v>
      </c>
      <c r="Z41" s="86">
        <f t="shared" si="14"/>
        <v>241.86865932729521</v>
      </c>
      <c r="AA41" s="86">
        <f t="shared" si="14"/>
        <v>242.96105628298133</v>
      </c>
      <c r="AB41" s="86">
        <f t="shared" si="14"/>
        <v>242.99268893146032</v>
      </c>
      <c r="AC41" s="86">
        <f t="shared" si="14"/>
        <v>242.8718537015568</v>
      </c>
      <c r="AD41" s="86">
        <f t="shared" si="14"/>
        <v>242.70758615636953</v>
      </c>
      <c r="AE41" s="86">
        <f t="shared" si="14"/>
        <v>242.62842550126373</v>
      </c>
      <c r="AF41" s="86">
        <f t="shared" si="14"/>
        <v>242.55806500864728</v>
      </c>
      <c r="AG41" s="86">
        <f t="shared" si="14"/>
        <v>242.58383291934507</v>
      </c>
      <c r="AH41" s="86">
        <f t="shared" si="14"/>
        <v>242.58438194130417</v>
      </c>
      <c r="AI41" s="86">
        <f t="shared" si="14"/>
        <v>242.67857834887101</v>
      </c>
      <c r="AJ41" s="86">
        <f t="shared" si="14"/>
        <v>242.78391862859857</v>
      </c>
      <c r="AK41" s="86">
        <f t="shared" si="14"/>
        <v>242.81911558426575</v>
      </c>
      <c r="AL41" s="86">
        <f t="shared" si="14"/>
        <v>242.77253892268169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</row>
    <row r="42" spans="12:67" x14ac:dyDescent="0.2">
      <c r="L42" s="232" t="str">
        <f>'Occ T3'!A44</f>
        <v>81 Process, plant and machine operatives</v>
      </c>
      <c r="M42" s="11">
        <v>32.787752513758697</v>
      </c>
      <c r="N42" s="11">
        <v>29.373392547159021</v>
      </c>
      <c r="O42" s="11">
        <v>32.187676286263546</v>
      </c>
      <c r="P42" s="11">
        <v>32.873926536492995</v>
      </c>
      <c r="Q42" s="11">
        <v>34.132649184202435</v>
      </c>
      <c r="R42" s="11">
        <v>35.434452802600624</v>
      </c>
      <c r="S42" s="11">
        <v>34.488225326735929</v>
      </c>
      <c r="T42" s="11">
        <v>36.007117341132393</v>
      </c>
      <c r="U42" s="11">
        <v>37.726359434155398</v>
      </c>
      <c r="V42" s="11">
        <v>33.967749317353309</v>
      </c>
      <c r="W42" s="11">
        <v>31.105873118691047</v>
      </c>
      <c r="X42" s="11">
        <v>37.645731617216512</v>
      </c>
      <c r="Y42" s="11">
        <v>37.393558508047704</v>
      </c>
      <c r="Z42" s="11">
        <v>37.736819319155366</v>
      </c>
      <c r="AA42" s="11">
        <v>38.020665546681045</v>
      </c>
      <c r="AB42" s="11">
        <v>38.139195588077293</v>
      </c>
      <c r="AC42" s="11">
        <v>38.232360397104365</v>
      </c>
      <c r="AD42" s="11">
        <v>38.306059424401944</v>
      </c>
      <c r="AE42" s="11">
        <v>38.489184869317164</v>
      </c>
      <c r="AF42" s="11">
        <v>38.731413419417329</v>
      </c>
      <c r="AG42" s="11">
        <v>39.014977480879537</v>
      </c>
      <c r="AH42" s="11">
        <v>39.307095080166029</v>
      </c>
      <c r="AI42" s="11">
        <v>39.728251810675289</v>
      </c>
      <c r="AJ42" s="11">
        <v>40.186053027747796</v>
      </c>
      <c r="AK42" s="11">
        <v>40.59667027119476</v>
      </c>
      <c r="AL42" s="11">
        <v>40.998968578618566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</row>
    <row r="43" spans="12:67" x14ac:dyDescent="0.2">
      <c r="L43" s="232" t="str">
        <f>'Occ T3'!A45</f>
        <v>82 Transport and mobile machine drivers and operatives</v>
      </c>
      <c r="M43" s="11">
        <v>158.08629971124049</v>
      </c>
      <c r="N43" s="11">
        <v>164.57973765702832</v>
      </c>
      <c r="O43" s="11">
        <v>166.94400781241308</v>
      </c>
      <c r="P43" s="11">
        <v>168.07691554143022</v>
      </c>
      <c r="Q43" s="11">
        <v>182.51930333788374</v>
      </c>
      <c r="R43" s="11">
        <v>182.23681734593583</v>
      </c>
      <c r="S43" s="11">
        <v>194.91422821185225</v>
      </c>
      <c r="T43" s="11">
        <v>205.43209610445996</v>
      </c>
      <c r="U43" s="11">
        <v>191.0245818308139</v>
      </c>
      <c r="V43" s="11">
        <v>206.4045743008385</v>
      </c>
      <c r="W43" s="11">
        <v>183.44574594007335</v>
      </c>
      <c r="X43" s="11">
        <v>200.20600261660735</v>
      </c>
      <c r="Y43" s="11">
        <v>202.61981177178237</v>
      </c>
      <c r="Z43" s="11">
        <v>204.13184000813985</v>
      </c>
      <c r="AA43" s="11">
        <v>204.94039073630029</v>
      </c>
      <c r="AB43" s="11">
        <v>204.85349334338304</v>
      </c>
      <c r="AC43" s="11">
        <v>204.63949330445243</v>
      </c>
      <c r="AD43" s="11">
        <v>204.40152673196758</v>
      </c>
      <c r="AE43" s="11">
        <v>204.13924063194656</v>
      </c>
      <c r="AF43" s="11">
        <v>203.82665158922995</v>
      </c>
      <c r="AG43" s="11">
        <v>203.56885543846553</v>
      </c>
      <c r="AH43" s="11">
        <v>203.27728686113815</v>
      </c>
      <c r="AI43" s="11">
        <v>202.95032653819572</v>
      </c>
      <c r="AJ43" s="11">
        <v>202.59786560085078</v>
      </c>
      <c r="AK43" s="11">
        <v>202.22244531307098</v>
      </c>
      <c r="AL43" s="11">
        <v>201.77357034406313</v>
      </c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</row>
    <row r="44" spans="12:67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</row>
    <row r="45" spans="12:67" x14ac:dyDescent="0.2">
      <c r="L45" s="16" t="str">
        <f>'Occ T3'!A47</f>
        <v>Elementary occupations</v>
      </c>
      <c r="M45" s="86">
        <f t="shared" ref="M45:P45" si="15">SUM(M46:M47)</f>
        <v>521.43055656717479</v>
      </c>
      <c r="N45" s="86">
        <f t="shared" si="15"/>
        <v>496.99611673636502</v>
      </c>
      <c r="O45" s="86">
        <f t="shared" si="15"/>
        <v>507.0582071338286</v>
      </c>
      <c r="P45" s="86">
        <f t="shared" si="15"/>
        <v>529.70059219444624</v>
      </c>
      <c r="Q45" s="86">
        <f>SUM(Q46:Q47)</f>
        <v>544.2455631517787</v>
      </c>
      <c r="R45" s="86">
        <f t="shared" ref="R45:AL45" si="16">SUM(R46:R47)</f>
        <v>546.19468567762976</v>
      </c>
      <c r="S45" s="86">
        <f t="shared" si="16"/>
        <v>549.35369397039256</v>
      </c>
      <c r="T45" s="86">
        <f t="shared" si="16"/>
        <v>548.95197998775188</v>
      </c>
      <c r="U45" s="86">
        <f t="shared" si="16"/>
        <v>553.21704174026684</v>
      </c>
      <c r="V45" s="86">
        <f t="shared" si="16"/>
        <v>571.01765515963768</v>
      </c>
      <c r="W45" s="86">
        <f t="shared" si="16"/>
        <v>523.48518063303334</v>
      </c>
      <c r="X45" s="86">
        <f t="shared" si="16"/>
        <v>528.77757794676711</v>
      </c>
      <c r="Y45" s="86">
        <f t="shared" si="16"/>
        <v>526.99598543306774</v>
      </c>
      <c r="Z45" s="86">
        <f t="shared" si="16"/>
        <v>528.98046576601621</v>
      </c>
      <c r="AA45" s="86">
        <f t="shared" si="16"/>
        <v>530.73120429972641</v>
      </c>
      <c r="AB45" s="86">
        <f t="shared" si="16"/>
        <v>530.48341979566965</v>
      </c>
      <c r="AC45" s="86">
        <f t="shared" si="16"/>
        <v>529.52052185865739</v>
      </c>
      <c r="AD45" s="86">
        <f t="shared" si="16"/>
        <v>528.57433462192694</v>
      </c>
      <c r="AE45" s="86">
        <f t="shared" si="16"/>
        <v>528.13759981996122</v>
      </c>
      <c r="AF45" s="86">
        <f t="shared" si="16"/>
        <v>527.63151191077884</v>
      </c>
      <c r="AG45" s="86">
        <f t="shared" si="16"/>
        <v>527.45751010319759</v>
      </c>
      <c r="AH45" s="86">
        <f t="shared" si="16"/>
        <v>527.42449879257811</v>
      </c>
      <c r="AI45" s="86">
        <f t="shared" si="16"/>
        <v>527.31503067211429</v>
      </c>
      <c r="AJ45" s="86">
        <f t="shared" si="16"/>
        <v>526.94159737921552</v>
      </c>
      <c r="AK45" s="86">
        <f t="shared" si="16"/>
        <v>526.60438458036435</v>
      </c>
      <c r="AL45" s="86">
        <f t="shared" si="16"/>
        <v>526.70577292722078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</row>
    <row r="46" spans="12:67" x14ac:dyDescent="0.2">
      <c r="L46" s="232" t="str">
        <f>'Occ T3'!A48</f>
        <v>91 Elementary trades and related occupations</v>
      </c>
      <c r="M46" s="11">
        <v>42.196828338056108</v>
      </c>
      <c r="N46" s="11">
        <v>40.157793590397716</v>
      </c>
      <c r="O46" s="11">
        <v>42.158812357681249</v>
      </c>
      <c r="P46" s="11">
        <v>40.220008571488933</v>
      </c>
      <c r="Q46" s="11">
        <v>44.509399936783375</v>
      </c>
      <c r="R46" s="11">
        <v>44.118542088264775</v>
      </c>
      <c r="S46" s="11">
        <v>43.414107410739035</v>
      </c>
      <c r="T46" s="11">
        <v>40.797111446298551</v>
      </c>
      <c r="U46" s="11">
        <v>41.042582868132655</v>
      </c>
      <c r="V46" s="11">
        <v>40.00309221645275</v>
      </c>
      <c r="W46" s="11">
        <v>35.852641009177191</v>
      </c>
      <c r="X46" s="11">
        <v>29.878830715706524</v>
      </c>
      <c r="Y46" s="11">
        <v>29.495009478393634</v>
      </c>
      <c r="Z46" s="11">
        <v>29.418064183315042</v>
      </c>
      <c r="AA46" s="11">
        <v>29.307179337760509</v>
      </c>
      <c r="AB46" s="11">
        <v>29.083326535737775</v>
      </c>
      <c r="AC46" s="11">
        <v>28.902771169205643</v>
      </c>
      <c r="AD46" s="11">
        <v>28.693752669281164</v>
      </c>
      <c r="AE46" s="11">
        <v>28.492193497682159</v>
      </c>
      <c r="AF46" s="11">
        <v>28.323992455153579</v>
      </c>
      <c r="AG46" s="11">
        <v>28.171050671431413</v>
      </c>
      <c r="AH46" s="11">
        <v>28.001747808305847</v>
      </c>
      <c r="AI46" s="11">
        <v>27.818479367184722</v>
      </c>
      <c r="AJ46" s="11">
        <v>27.623494512772897</v>
      </c>
      <c r="AK46" s="11">
        <v>27.442266792784615</v>
      </c>
      <c r="AL46" s="11">
        <v>27.25894477799643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</row>
    <row r="47" spans="12:67" x14ac:dyDescent="0.2">
      <c r="L47" s="232" t="str">
        <f>'Occ T3'!A49</f>
        <v>92 Elementary administration and service occupations</v>
      </c>
      <c r="M47" s="11">
        <v>479.23372822911864</v>
      </c>
      <c r="N47" s="11">
        <v>456.83832314596731</v>
      </c>
      <c r="O47" s="11">
        <v>464.89939477614735</v>
      </c>
      <c r="P47" s="11">
        <v>489.48058362295728</v>
      </c>
      <c r="Q47" s="11">
        <v>499.73616321499532</v>
      </c>
      <c r="R47" s="11">
        <v>502.07614358936502</v>
      </c>
      <c r="S47" s="11">
        <v>505.93958655965355</v>
      </c>
      <c r="T47" s="11">
        <v>508.15486854145337</v>
      </c>
      <c r="U47" s="11">
        <v>512.17445887213421</v>
      </c>
      <c r="V47" s="11">
        <v>531.01456294318496</v>
      </c>
      <c r="W47" s="11">
        <v>487.63253962385613</v>
      </c>
      <c r="X47" s="11">
        <v>498.89874723106061</v>
      </c>
      <c r="Y47" s="11">
        <v>497.50097595467412</v>
      </c>
      <c r="Z47" s="11">
        <v>499.56240158270111</v>
      </c>
      <c r="AA47" s="11">
        <v>501.42402496196593</v>
      </c>
      <c r="AB47" s="11">
        <v>501.40009325993185</v>
      </c>
      <c r="AC47" s="11">
        <v>500.61775068945173</v>
      </c>
      <c r="AD47" s="11">
        <v>499.8805819526458</v>
      </c>
      <c r="AE47" s="11">
        <v>499.64540632227909</v>
      </c>
      <c r="AF47" s="11">
        <v>499.30751945562525</v>
      </c>
      <c r="AG47" s="11">
        <v>499.28645943176622</v>
      </c>
      <c r="AH47" s="11">
        <v>499.42275098427223</v>
      </c>
      <c r="AI47" s="11">
        <v>499.49655130492954</v>
      </c>
      <c r="AJ47" s="11">
        <v>499.31810286644259</v>
      </c>
      <c r="AK47" s="11">
        <v>499.16211778757975</v>
      </c>
      <c r="AL47" s="11">
        <v>499.44682814922436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</row>
    <row r="48" spans="12:67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</row>
    <row r="49" spans="1:57" x14ac:dyDescent="0.2">
      <c r="L49" s="16" t="str">
        <f>'Occ T3'!A51</f>
        <v>All occupations</v>
      </c>
      <c r="M49" s="86">
        <f>SUM(M5,M9,M15,M22,M26,M32,M37,M41,M45)</f>
        <v>4823.8139999986643</v>
      </c>
      <c r="N49" s="86">
        <f t="shared" ref="N49:P49" si="17">SUM(N5,N9,N15,N22,N26,N32,N37,N41,N45)</f>
        <v>4853.309000004303</v>
      </c>
      <c r="O49" s="86">
        <f t="shared" si="17"/>
        <v>5082.8580000050806</v>
      </c>
      <c r="P49" s="86">
        <f t="shared" si="17"/>
        <v>5192.2440000046317</v>
      </c>
      <c r="Q49" s="86">
        <f>SUM(Q5,Q9,Q15,Q22,Q26,Q32,Q37,Q41,Q45)</f>
        <v>5484.7590000023856</v>
      </c>
      <c r="R49" s="86">
        <f t="shared" ref="R49:AL49" si="18">SUM(R5,R9,R15,R22,R26,R32,R37,R41,R45)</f>
        <v>5573.5560000041069</v>
      </c>
      <c r="S49" s="86">
        <f t="shared" si="18"/>
        <v>5738.1750000035963</v>
      </c>
      <c r="T49" s="86">
        <f t="shared" si="18"/>
        <v>5865.0059999938621</v>
      </c>
      <c r="U49" s="86">
        <f t="shared" si="18"/>
        <v>5903.5079999961754</v>
      </c>
      <c r="V49" s="86">
        <f t="shared" si="18"/>
        <v>5970.116999998264</v>
      </c>
      <c r="W49" s="86">
        <f t="shared" si="18"/>
        <v>5937.3810000053281</v>
      </c>
      <c r="X49" s="86">
        <f t="shared" si="18"/>
        <v>5987.1670000104687</v>
      </c>
      <c r="Y49" s="86">
        <f t="shared" si="18"/>
        <v>6030.7360000077751</v>
      </c>
      <c r="Z49" s="86">
        <f t="shared" si="18"/>
        <v>6089.2440000079605</v>
      </c>
      <c r="AA49" s="86">
        <f t="shared" si="18"/>
        <v>6142.8920000092194</v>
      </c>
      <c r="AB49" s="86">
        <f t="shared" si="18"/>
        <v>6179.2980000106991</v>
      </c>
      <c r="AC49" s="86">
        <f t="shared" si="18"/>
        <v>6211.0240000117537</v>
      </c>
      <c r="AD49" s="86">
        <f t="shared" si="18"/>
        <v>6240.2140000130157</v>
      </c>
      <c r="AE49" s="86">
        <f t="shared" si="18"/>
        <v>6268.8100000165114</v>
      </c>
      <c r="AF49" s="86">
        <f t="shared" si="18"/>
        <v>6297.1470000157478</v>
      </c>
      <c r="AG49" s="86">
        <f t="shared" si="18"/>
        <v>6327.591000017409</v>
      </c>
      <c r="AH49" s="86">
        <f t="shared" si="18"/>
        <v>6357.7100000146347</v>
      </c>
      <c r="AI49" s="86">
        <f t="shared" si="18"/>
        <v>6388.2040000172574</v>
      </c>
      <c r="AJ49" s="86">
        <f t="shared" si="18"/>
        <v>6418.9310000174946</v>
      </c>
      <c r="AK49" s="86">
        <f t="shared" si="18"/>
        <v>6449.6820000163771</v>
      </c>
      <c r="AL49" s="86">
        <f t="shared" si="18"/>
        <v>6480.7350000074621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</row>
    <row r="50" spans="1:57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</row>
    <row r="51" spans="1:57" x14ac:dyDescent="0.2">
      <c r="L51" s="1" t="s">
        <v>61</v>
      </c>
      <c r="M51" s="47">
        <f>M4</f>
        <v>2010</v>
      </c>
      <c r="N51" s="47">
        <f t="shared" ref="N51:AL51" si="19">N4</f>
        <v>2011</v>
      </c>
      <c r="O51" s="47">
        <f t="shared" si="19"/>
        <v>2012</v>
      </c>
      <c r="P51" s="47">
        <f t="shared" si="19"/>
        <v>2013</v>
      </c>
      <c r="Q51" s="47">
        <f t="shared" si="19"/>
        <v>2014</v>
      </c>
      <c r="R51" s="47">
        <f t="shared" si="19"/>
        <v>2015</v>
      </c>
      <c r="S51" s="47">
        <f t="shared" si="19"/>
        <v>2016</v>
      </c>
      <c r="T51" s="47">
        <f t="shared" si="19"/>
        <v>2017</v>
      </c>
      <c r="U51" s="47">
        <f t="shared" si="19"/>
        <v>2018</v>
      </c>
      <c r="V51" s="47">
        <f t="shared" si="19"/>
        <v>2019</v>
      </c>
      <c r="W51" s="47">
        <f t="shared" si="19"/>
        <v>2020</v>
      </c>
      <c r="X51" s="47">
        <f t="shared" si="19"/>
        <v>2021</v>
      </c>
      <c r="Y51" s="47">
        <f t="shared" si="19"/>
        <v>2022</v>
      </c>
      <c r="Z51" s="47">
        <f t="shared" si="19"/>
        <v>2023</v>
      </c>
      <c r="AA51" s="47">
        <f t="shared" si="19"/>
        <v>2024</v>
      </c>
      <c r="AB51" s="47">
        <f t="shared" si="19"/>
        <v>2025</v>
      </c>
      <c r="AC51" s="47">
        <f t="shared" si="19"/>
        <v>2026</v>
      </c>
      <c r="AD51" s="47">
        <f t="shared" si="19"/>
        <v>2027</v>
      </c>
      <c r="AE51" s="47">
        <f t="shared" si="19"/>
        <v>2028</v>
      </c>
      <c r="AF51" s="47">
        <f t="shared" si="19"/>
        <v>2029</v>
      </c>
      <c r="AG51" s="47">
        <f t="shared" si="19"/>
        <v>2030</v>
      </c>
      <c r="AH51" s="47">
        <f t="shared" si="19"/>
        <v>2031</v>
      </c>
      <c r="AI51" s="47">
        <f t="shared" si="19"/>
        <v>2032</v>
      </c>
      <c r="AJ51" s="47">
        <f t="shared" si="19"/>
        <v>2033</v>
      </c>
      <c r="AK51" s="47">
        <f t="shared" si="19"/>
        <v>2034</v>
      </c>
      <c r="AL51" s="47">
        <f t="shared" si="19"/>
        <v>2035</v>
      </c>
    </row>
    <row r="52" spans="1:57" x14ac:dyDescent="0.2">
      <c r="L52" s="16" t="str">
        <f>'Occ T3'!A7</f>
        <v>Managers, directors and senior officials</v>
      </c>
      <c r="M52" s="336">
        <f>M5/M$49</f>
        <v>0.10052474806513566</v>
      </c>
      <c r="N52" s="336">
        <f t="shared" ref="N52:AG52" si="20">N5/N$49</f>
        <v>0.10984257965401263</v>
      </c>
      <c r="O52" s="336">
        <f t="shared" si="20"/>
        <v>0.1118553500865314</v>
      </c>
      <c r="P52" s="336">
        <f t="shared" si="20"/>
        <v>0.11037334913368507</v>
      </c>
      <c r="Q52" s="336">
        <f t="shared" si="20"/>
        <v>0.11096244689849757</v>
      </c>
      <c r="R52" s="336">
        <f t="shared" si="20"/>
        <v>0.11239897688540672</v>
      </c>
      <c r="S52" s="336">
        <f t="shared" si="20"/>
        <v>0.11354910372930126</v>
      </c>
      <c r="T52" s="336">
        <f t="shared" si="20"/>
        <v>0.11664558974585182</v>
      </c>
      <c r="U52" s="336">
        <f t="shared" si="20"/>
        <v>0.11918069573954539</v>
      </c>
      <c r="V52" s="336">
        <f t="shared" si="20"/>
        <v>0.12141653595463411</v>
      </c>
      <c r="W52" s="336">
        <f t="shared" si="20"/>
        <v>0.12212004457593408</v>
      </c>
      <c r="X52" s="336">
        <f t="shared" si="20"/>
        <v>0.11960230759552518</v>
      </c>
      <c r="Y52" s="336">
        <f t="shared" si="20"/>
        <v>0.12032134057742414</v>
      </c>
      <c r="Z52" s="336">
        <f t="shared" si="20"/>
        <v>0.12089234355823229</v>
      </c>
      <c r="AA52" s="336">
        <f t="shared" si="20"/>
        <v>0.121460379124431</v>
      </c>
      <c r="AB52" s="336">
        <f t="shared" si="20"/>
        <v>0.12203499917169976</v>
      </c>
      <c r="AC52" s="336">
        <f t="shared" si="20"/>
        <v>0.12260531435390817</v>
      </c>
      <c r="AD52" s="336">
        <f t="shared" si="20"/>
        <v>0.1230927041230743</v>
      </c>
      <c r="AE52" s="336">
        <f t="shared" si="20"/>
        <v>0.12357985413310052</v>
      </c>
      <c r="AF52" s="336">
        <f t="shared" si="20"/>
        <v>0.12409248502834881</v>
      </c>
      <c r="AG52" s="336">
        <f t="shared" si="20"/>
        <v>0.12461383257816844</v>
      </c>
      <c r="AH52" s="336">
        <f t="shared" ref="AH52:AL52" si="21">AH5/AH$49</f>
        <v>0.12513269316693554</v>
      </c>
      <c r="AI52" s="336">
        <f t="shared" si="21"/>
        <v>0.12567529301443317</v>
      </c>
      <c r="AJ52" s="336">
        <f t="shared" si="21"/>
        <v>0.1261940216444834</v>
      </c>
      <c r="AK52" s="336">
        <f t="shared" si="21"/>
        <v>0.12662351437350716</v>
      </c>
      <c r="AL52" s="336">
        <f t="shared" si="21"/>
        <v>0.12736622620515964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</row>
    <row r="53" spans="1:57" x14ac:dyDescent="0.2">
      <c r="L53" s="232" t="str">
        <f>'Occ T3'!A8</f>
        <v>11 Corporate managers and directors</v>
      </c>
      <c r="M53" s="335">
        <f t="shared" ref="M53:AG53" si="22">M6/M$49</f>
        <v>7.0835848393444603E-2</v>
      </c>
      <c r="N53" s="335">
        <f t="shared" si="22"/>
        <v>7.7215693014756767E-2</v>
      </c>
      <c r="O53" s="335">
        <f t="shared" si="22"/>
        <v>7.8723190534327511E-2</v>
      </c>
      <c r="P53" s="335">
        <f t="shared" si="22"/>
        <v>7.8256507833538255E-2</v>
      </c>
      <c r="Q53" s="335">
        <f t="shared" si="22"/>
        <v>7.5482729498425369E-2</v>
      </c>
      <c r="R53" s="335">
        <f t="shared" si="22"/>
        <v>7.8875921478534089E-2</v>
      </c>
      <c r="S53" s="335">
        <f t="shared" si="22"/>
        <v>8.2878173704102692E-2</v>
      </c>
      <c r="T53" s="335">
        <f t="shared" si="22"/>
        <v>8.4255063199894537E-2</v>
      </c>
      <c r="U53" s="335">
        <f t="shared" si="22"/>
        <v>8.5149006578565681E-2</v>
      </c>
      <c r="V53" s="335">
        <f t="shared" si="22"/>
        <v>8.7688497238890203E-2</v>
      </c>
      <c r="W53" s="335">
        <f t="shared" si="22"/>
        <v>8.8737953364510166E-2</v>
      </c>
      <c r="X53" s="335">
        <f t="shared" si="22"/>
        <v>8.0399876897630146E-2</v>
      </c>
      <c r="Y53" s="335">
        <f t="shared" si="22"/>
        <v>8.0737811503459753E-2</v>
      </c>
      <c r="Z53" s="335">
        <f t="shared" si="22"/>
        <v>8.0982379859827452E-2</v>
      </c>
      <c r="AA53" s="335">
        <f t="shared" si="22"/>
        <v>8.1235501810321242E-2</v>
      </c>
      <c r="AB53" s="335">
        <f t="shared" si="22"/>
        <v>8.1498130331300697E-2</v>
      </c>
      <c r="AC53" s="335">
        <f t="shared" si="22"/>
        <v>8.1758786926389437E-2</v>
      </c>
      <c r="AD53" s="335">
        <f t="shared" si="22"/>
        <v>8.1984091431823197E-2</v>
      </c>
      <c r="AE53" s="335">
        <f t="shared" si="22"/>
        <v>8.2205623753162843E-2</v>
      </c>
      <c r="AF53" s="335">
        <f t="shared" si="22"/>
        <v>8.2445303209714646E-2</v>
      </c>
      <c r="AG53" s="335">
        <f t="shared" si="22"/>
        <v>8.2685152064299869E-2</v>
      </c>
      <c r="AH53" s="335">
        <f t="shared" ref="AH53:AL53" si="23">AH6/AH$49</f>
        <v>8.2925140806126327E-2</v>
      </c>
      <c r="AI53" s="335">
        <f t="shared" si="23"/>
        <v>8.3164605534667119E-2</v>
      </c>
      <c r="AJ53" s="335">
        <f t="shared" si="23"/>
        <v>8.3386750984352359E-2</v>
      </c>
      <c r="AK53" s="335">
        <f t="shared" si="23"/>
        <v>8.3603015675364101E-2</v>
      </c>
      <c r="AL53" s="335">
        <f t="shared" si="23"/>
        <v>8.3865998563916397E-2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</row>
    <row r="54" spans="1:57" x14ac:dyDescent="0.2">
      <c r="L54" s="232" t="str">
        <f>'Occ T3'!A9</f>
        <v>12 Other managers and proprietors</v>
      </c>
      <c r="M54" s="335">
        <f t="shared" ref="M54:AG54" si="24">M7/M$49</f>
        <v>2.9688899671691055E-2</v>
      </c>
      <c r="N54" s="335">
        <f t="shared" si="24"/>
        <v>3.2626886639255864E-2</v>
      </c>
      <c r="O54" s="335">
        <f t="shared" si="24"/>
        <v>3.3132159552203881E-2</v>
      </c>
      <c r="P54" s="335">
        <f t="shared" si="24"/>
        <v>3.2116841300146824E-2</v>
      </c>
      <c r="Q54" s="335">
        <f t="shared" si="24"/>
        <v>3.5479717400072219E-2</v>
      </c>
      <c r="R54" s="335">
        <f t="shared" si="24"/>
        <v>3.3523055406872636E-2</v>
      </c>
      <c r="S54" s="335">
        <f t="shared" si="24"/>
        <v>3.0670930025198554E-2</v>
      </c>
      <c r="T54" s="335">
        <f t="shared" si="24"/>
        <v>3.2390526545957289E-2</v>
      </c>
      <c r="U54" s="335">
        <f t="shared" si="24"/>
        <v>3.4031689160979699E-2</v>
      </c>
      <c r="V54" s="335">
        <f t="shared" si="24"/>
        <v>3.3728038715743903E-2</v>
      </c>
      <c r="W54" s="335">
        <f t="shared" si="24"/>
        <v>3.3382091211423909E-2</v>
      </c>
      <c r="X54" s="335">
        <f t="shared" si="24"/>
        <v>3.9202430697895037E-2</v>
      </c>
      <c r="Y54" s="335">
        <f t="shared" si="24"/>
        <v>3.9583529073964389E-2</v>
      </c>
      <c r="Z54" s="335">
        <f t="shared" si="24"/>
        <v>3.9909963698404861E-2</v>
      </c>
      <c r="AA54" s="335">
        <f t="shared" si="24"/>
        <v>4.0224877314109758E-2</v>
      </c>
      <c r="AB54" s="335">
        <f t="shared" si="24"/>
        <v>4.0536868840399067E-2</v>
      </c>
      <c r="AC54" s="335">
        <f t="shared" si="24"/>
        <v>4.0846527427518729E-2</v>
      </c>
      <c r="AD54" s="335">
        <f t="shared" si="24"/>
        <v>4.1108612691251108E-2</v>
      </c>
      <c r="AE54" s="335">
        <f t="shared" si="24"/>
        <v>4.1374230379937663E-2</v>
      </c>
      <c r="AF54" s="335">
        <f t="shared" si="24"/>
        <v>4.1647181818634166E-2</v>
      </c>
      <c r="AG54" s="335">
        <f t="shared" si="24"/>
        <v>4.1928680513868562E-2</v>
      </c>
      <c r="AH54" s="335">
        <f t="shared" ref="AH54:AL54" si="25">AH7/AH$49</f>
        <v>4.2207552360809225E-2</v>
      </c>
      <c r="AI54" s="335">
        <f t="shared" si="25"/>
        <v>4.2510687479766052E-2</v>
      </c>
      <c r="AJ54" s="335">
        <f t="shared" si="25"/>
        <v>4.2807270660131042E-2</v>
      </c>
      <c r="AK54" s="335">
        <f t="shared" si="25"/>
        <v>4.3020498698143061E-2</v>
      </c>
      <c r="AL54" s="335">
        <f t="shared" si="25"/>
        <v>4.3500227641243255E-2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</row>
    <row r="55" spans="1:57" x14ac:dyDescent="0.2">
      <c r="L55" s="232"/>
      <c r="M55" s="335"/>
      <c r="N55" s="335"/>
      <c r="O55" s="335"/>
      <c r="P55" s="335"/>
      <c r="Q55" s="335"/>
      <c r="R55" s="335"/>
      <c r="S55" s="335"/>
      <c r="T55" s="335"/>
      <c r="U55" s="335"/>
      <c r="V55" s="335"/>
      <c r="W55" s="335"/>
      <c r="X55" s="335"/>
      <c r="Y55" s="335"/>
      <c r="Z55" s="335"/>
      <c r="AA55" s="335"/>
      <c r="AB55" s="335"/>
      <c r="AC55" s="335"/>
      <c r="AD55" s="335"/>
      <c r="AE55" s="335"/>
      <c r="AF55" s="335"/>
      <c r="AG55" s="335"/>
      <c r="AH55" s="335"/>
      <c r="AI55" s="335"/>
      <c r="AJ55" s="335"/>
      <c r="AK55" s="335"/>
      <c r="AL55" s="335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</row>
    <row r="56" spans="1:57" x14ac:dyDescent="0.2">
      <c r="L56" s="16" t="str">
        <f>'Occ T3'!A11</f>
        <v>Professional occupations</v>
      </c>
      <c r="M56" s="336">
        <f t="shared" ref="M56:AG56" si="26">M9/M$49</f>
        <v>0.27120372019218553</v>
      </c>
      <c r="N56" s="336">
        <f t="shared" si="26"/>
        <v>0.26712079427773155</v>
      </c>
      <c r="O56" s="336">
        <f t="shared" si="26"/>
        <v>0.26617399470328951</v>
      </c>
      <c r="P56" s="336">
        <f t="shared" si="26"/>
        <v>0.27042331777782896</v>
      </c>
      <c r="Q56" s="336">
        <f t="shared" si="26"/>
        <v>0.27430942301775013</v>
      </c>
      <c r="R56" s="336">
        <f t="shared" si="26"/>
        <v>0.27208227492382064</v>
      </c>
      <c r="S56" s="336">
        <f t="shared" si="26"/>
        <v>0.28108510529079678</v>
      </c>
      <c r="T56" s="336">
        <f t="shared" si="26"/>
        <v>0.27829340954838122</v>
      </c>
      <c r="U56" s="336">
        <f t="shared" si="26"/>
        <v>0.28655873913254887</v>
      </c>
      <c r="V56" s="336">
        <f t="shared" si="26"/>
        <v>0.29164509082893486</v>
      </c>
      <c r="W56" s="336">
        <f t="shared" si="26"/>
        <v>0.30555783583343959</v>
      </c>
      <c r="X56" s="336">
        <f t="shared" si="26"/>
        <v>0.31512339553083696</v>
      </c>
      <c r="Y56" s="336">
        <f t="shared" si="26"/>
        <v>0.31632470540429319</v>
      </c>
      <c r="Z56" s="336">
        <f t="shared" si="26"/>
        <v>0.31737469379855143</v>
      </c>
      <c r="AA56" s="336">
        <f t="shared" si="26"/>
        <v>0.31860365010180103</v>
      </c>
      <c r="AB56" s="336">
        <f t="shared" si="26"/>
        <v>0.31997085280894672</v>
      </c>
      <c r="AC56" s="336">
        <f t="shared" si="26"/>
        <v>0.32122744211760945</v>
      </c>
      <c r="AD56" s="336">
        <f t="shared" si="26"/>
        <v>0.32230227380100124</v>
      </c>
      <c r="AE56" s="336">
        <f t="shared" si="26"/>
        <v>0.32327862913911443</v>
      </c>
      <c r="AF56" s="336">
        <f t="shared" si="26"/>
        <v>0.32430581176122453</v>
      </c>
      <c r="AG56" s="336">
        <f t="shared" si="26"/>
        <v>0.32532235401531273</v>
      </c>
      <c r="AH56" s="336">
        <f t="shared" ref="AH56:AL56" si="27">AH9/AH$49</f>
        <v>0.32637152394623847</v>
      </c>
      <c r="AI56" s="336">
        <f t="shared" si="27"/>
        <v>0.32742198787346949</v>
      </c>
      <c r="AJ56" s="336">
        <f t="shared" si="27"/>
        <v>0.32847597409529733</v>
      </c>
      <c r="AK56" s="336">
        <f t="shared" si="27"/>
        <v>0.32949568990351663</v>
      </c>
      <c r="AL56" s="336">
        <f t="shared" si="27"/>
        <v>0.33057434030586508</v>
      </c>
    </row>
    <row r="57" spans="1:57" x14ac:dyDescent="0.2">
      <c r="L57" s="232" t="str">
        <f>'Occ T3'!A12</f>
        <v>21 Science, research, engineering and technology professionals</v>
      </c>
      <c r="M57" s="335">
        <f t="shared" ref="M57:AG57" si="28">M10/M$49</f>
        <v>5.9309743337174599E-2</v>
      </c>
      <c r="N57" s="335">
        <f t="shared" si="28"/>
        <v>5.7972904551566139E-2</v>
      </c>
      <c r="O57" s="335">
        <f t="shared" si="28"/>
        <v>5.702623213248894E-2</v>
      </c>
      <c r="P57" s="335">
        <f t="shared" si="28"/>
        <v>5.670234797705874E-2</v>
      </c>
      <c r="Q57" s="335">
        <f t="shared" si="28"/>
        <v>5.9562574873981693E-2</v>
      </c>
      <c r="R57" s="335">
        <f t="shared" si="28"/>
        <v>6.1288914730759515E-2</v>
      </c>
      <c r="S57" s="335">
        <f t="shared" si="28"/>
        <v>6.4787664779450901E-2</v>
      </c>
      <c r="T57" s="335">
        <f t="shared" si="28"/>
        <v>6.2099936131160306E-2</v>
      </c>
      <c r="U57" s="335">
        <f t="shared" si="28"/>
        <v>6.6146771385196729E-2</v>
      </c>
      <c r="V57" s="335">
        <f t="shared" si="28"/>
        <v>6.796843558999778E-2</v>
      </c>
      <c r="W57" s="335">
        <f t="shared" si="28"/>
        <v>7.1384817252515748E-2</v>
      </c>
      <c r="X57" s="335">
        <f t="shared" si="28"/>
        <v>7.2708601927936101E-2</v>
      </c>
      <c r="Y57" s="335">
        <f t="shared" si="28"/>
        <v>7.3307601516890405E-2</v>
      </c>
      <c r="Z57" s="335">
        <f t="shared" si="28"/>
        <v>7.3781171458174338E-2</v>
      </c>
      <c r="AA57" s="335">
        <f t="shared" si="28"/>
        <v>7.4237687170938496E-2</v>
      </c>
      <c r="AB57" s="335">
        <f t="shared" si="28"/>
        <v>7.4724696166034124E-2</v>
      </c>
      <c r="AC57" s="335">
        <f t="shared" si="28"/>
        <v>7.521777243012441E-2</v>
      </c>
      <c r="AD57" s="335">
        <f t="shared" si="28"/>
        <v>7.5648021872734908E-2</v>
      </c>
      <c r="AE57" s="335">
        <f t="shared" si="28"/>
        <v>7.6048355898724551E-2</v>
      </c>
      <c r="AF57" s="335">
        <f t="shared" si="28"/>
        <v>7.6477080188147625E-2</v>
      </c>
      <c r="AG57" s="335">
        <f t="shared" si="28"/>
        <v>7.6890045901971613E-2</v>
      </c>
      <c r="AH57" s="335">
        <f t="shared" ref="AH57:AL57" si="29">AH10/AH$49</f>
        <v>7.7304556759443116E-2</v>
      </c>
      <c r="AI57" s="335">
        <f t="shared" si="29"/>
        <v>7.77050379086658E-2</v>
      </c>
      <c r="AJ57" s="335">
        <f t="shared" si="29"/>
        <v>7.8134231737672338E-2</v>
      </c>
      <c r="AK57" s="335">
        <f t="shared" si="29"/>
        <v>7.8525650540970382E-2</v>
      </c>
      <c r="AL57" s="335">
        <f t="shared" si="29"/>
        <v>7.893701284172451E-2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</row>
    <row r="58" spans="1:57" x14ac:dyDescent="0.2">
      <c r="L58" s="232" t="str">
        <f>'Occ T3'!A13</f>
        <v>22 Health professionals</v>
      </c>
      <c r="M58" s="335">
        <f t="shared" ref="M58:AG58" si="30">M11/M$49</f>
        <v>4.0565359845843064E-2</v>
      </c>
      <c r="N58" s="335">
        <f t="shared" si="30"/>
        <v>4.3469995256650754E-2</v>
      </c>
      <c r="O58" s="335">
        <f t="shared" si="30"/>
        <v>4.4700805028808466E-2</v>
      </c>
      <c r="P58" s="335">
        <f t="shared" si="30"/>
        <v>4.6713494758480377E-2</v>
      </c>
      <c r="Q58" s="335">
        <f t="shared" si="30"/>
        <v>4.6036989803945126E-2</v>
      </c>
      <c r="R58" s="335">
        <f t="shared" si="30"/>
        <v>4.5461148919473511E-2</v>
      </c>
      <c r="S58" s="335">
        <f t="shared" si="30"/>
        <v>4.6117094380072783E-2</v>
      </c>
      <c r="T58" s="335">
        <f t="shared" si="30"/>
        <v>4.7142421528546009E-2</v>
      </c>
      <c r="U58" s="335">
        <f t="shared" si="30"/>
        <v>4.7918103835159889E-2</v>
      </c>
      <c r="V58" s="335">
        <f t="shared" si="30"/>
        <v>4.9054761028878915E-2</v>
      </c>
      <c r="W58" s="335">
        <f t="shared" si="30"/>
        <v>4.8820140022386167E-2</v>
      </c>
      <c r="X58" s="335">
        <f t="shared" si="30"/>
        <v>4.9971138910275749E-2</v>
      </c>
      <c r="Y58" s="335">
        <f t="shared" si="30"/>
        <v>4.9932621025628315E-2</v>
      </c>
      <c r="Z58" s="335">
        <f t="shared" si="30"/>
        <v>4.978862011089099E-2</v>
      </c>
      <c r="AA58" s="335">
        <f t="shared" si="30"/>
        <v>4.9711566898150296E-2</v>
      </c>
      <c r="AB58" s="335">
        <f t="shared" si="30"/>
        <v>4.9660657803251587E-2</v>
      </c>
      <c r="AC58" s="335">
        <f t="shared" si="30"/>
        <v>4.9570391568722859E-2</v>
      </c>
      <c r="AD58" s="335">
        <f t="shared" si="30"/>
        <v>4.9452668525736904E-2</v>
      </c>
      <c r="AE58" s="335">
        <f t="shared" si="30"/>
        <v>4.9322814775417244E-2</v>
      </c>
      <c r="AF58" s="335">
        <f t="shared" si="30"/>
        <v>4.9194098902824147E-2</v>
      </c>
      <c r="AG58" s="335">
        <f t="shared" si="30"/>
        <v>4.9064761050991765E-2</v>
      </c>
      <c r="AH58" s="335">
        <f t="shared" ref="AH58:AL58" si="31">AH11/AH$49</f>
        <v>4.8966671953401791E-2</v>
      </c>
      <c r="AI58" s="335">
        <f t="shared" si="31"/>
        <v>4.8868987304400424E-2</v>
      </c>
      <c r="AJ58" s="335">
        <f t="shared" si="31"/>
        <v>4.8758394973881583E-2</v>
      </c>
      <c r="AK58" s="335">
        <f t="shared" si="31"/>
        <v>4.8649409541459493E-2</v>
      </c>
      <c r="AL58" s="335">
        <f t="shared" si="31"/>
        <v>4.8548897347629849E-2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</row>
    <row r="59" spans="1:57" ht="15.75" x14ac:dyDescent="0.25">
      <c r="A59" s="79" t="str">
        <f>CONCATENATE("Occupation Figure 2.1  Employment by Occupation (% shares), ",$M$2,"-",$O$2,", ",Info!B5)</f>
        <v>Occupation Figure 2.1  Employment by Occupation (% shares), 2010-2035, London</v>
      </c>
      <c r="L59" s="232" t="str">
        <f>'Occ T3'!A14</f>
        <v>23 Teaching and other educational professionals</v>
      </c>
      <c r="M59" s="335">
        <f t="shared" ref="M59:AG59" si="32">M12/M$49</f>
        <v>6.0600843215251818E-2</v>
      </c>
      <c r="N59" s="335">
        <f t="shared" si="32"/>
        <v>6.0958651134705361E-2</v>
      </c>
      <c r="O59" s="335">
        <f t="shared" si="32"/>
        <v>5.9604709688222415E-2</v>
      </c>
      <c r="P59" s="335">
        <f t="shared" si="32"/>
        <v>5.9211375900746412E-2</v>
      </c>
      <c r="Q59" s="335">
        <f t="shared" si="32"/>
        <v>6.1327154828262939E-2</v>
      </c>
      <c r="R59" s="335">
        <f t="shared" si="32"/>
        <v>6.1474798117477789E-2</v>
      </c>
      <c r="S59" s="335">
        <f t="shared" si="32"/>
        <v>6.0602590266716654E-2</v>
      </c>
      <c r="T59" s="335">
        <f t="shared" si="32"/>
        <v>5.823022771899463E-2</v>
      </c>
      <c r="U59" s="335">
        <f t="shared" si="32"/>
        <v>5.807477369920111E-2</v>
      </c>
      <c r="V59" s="335">
        <f t="shared" si="32"/>
        <v>5.824413476436259E-2</v>
      </c>
      <c r="W59" s="335">
        <f t="shared" si="32"/>
        <v>6.2427783266082608E-2</v>
      </c>
      <c r="X59" s="335">
        <f t="shared" si="32"/>
        <v>6.1505244981681473E-2</v>
      </c>
      <c r="Y59" s="335">
        <f t="shared" si="32"/>
        <v>6.0957667026961218E-2</v>
      </c>
      <c r="Z59" s="335">
        <f t="shared" si="32"/>
        <v>6.0935107063516111E-2</v>
      </c>
      <c r="AA59" s="335">
        <f t="shared" si="32"/>
        <v>6.1009156762041994E-2</v>
      </c>
      <c r="AB59" s="335">
        <f t="shared" si="32"/>
        <v>6.1198985103895258E-2</v>
      </c>
      <c r="AC59" s="335">
        <f t="shared" si="32"/>
        <v>6.1375315038179418E-2</v>
      </c>
      <c r="AD59" s="335">
        <f t="shared" si="32"/>
        <v>6.1509904867293047E-2</v>
      </c>
      <c r="AE59" s="335">
        <f t="shared" si="32"/>
        <v>6.16244025494408E-2</v>
      </c>
      <c r="AF59" s="335">
        <f t="shared" si="32"/>
        <v>6.1747502182560386E-2</v>
      </c>
      <c r="AG59" s="335">
        <f t="shared" si="32"/>
        <v>6.18560094221225E-2</v>
      </c>
      <c r="AH59" s="335">
        <f t="shared" ref="AH59:AL59" si="33">AH12/AH$49</f>
        <v>6.1974315015060122E-2</v>
      </c>
      <c r="AI59" s="335">
        <f t="shared" si="33"/>
        <v>6.2109190362851896E-2</v>
      </c>
      <c r="AJ59" s="335">
        <f t="shared" si="33"/>
        <v>6.2240222164534308E-2</v>
      </c>
      <c r="AK59" s="335">
        <f t="shared" si="33"/>
        <v>6.2383990820909195E-2</v>
      </c>
      <c r="AL59" s="335">
        <f t="shared" si="33"/>
        <v>6.2541901752591514E-2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</row>
    <row r="60" spans="1:57" x14ac:dyDescent="0.2">
      <c r="L60" s="232" t="str">
        <f>'Occ T3'!A15</f>
        <v>24 Business, media and public service professionals</v>
      </c>
      <c r="M60" s="335">
        <f t="shared" ref="M60:AG60" si="34">M13/M$49</f>
        <v>0.11072777379391605</v>
      </c>
      <c r="N60" s="335">
        <f t="shared" si="34"/>
        <v>0.10471924333480934</v>
      </c>
      <c r="O60" s="335">
        <f t="shared" si="34"/>
        <v>0.10484224785376967</v>
      </c>
      <c r="P60" s="335">
        <f t="shared" si="34"/>
        <v>0.10779609914154342</v>
      </c>
      <c r="Q60" s="335">
        <f t="shared" si="34"/>
        <v>0.10738270351156032</v>
      </c>
      <c r="R60" s="335">
        <f t="shared" si="34"/>
        <v>0.10385741315610986</v>
      </c>
      <c r="S60" s="335">
        <f t="shared" si="34"/>
        <v>0.1095777558645564</v>
      </c>
      <c r="T60" s="335">
        <f t="shared" si="34"/>
        <v>0.11082082416968027</v>
      </c>
      <c r="U60" s="335">
        <f t="shared" si="34"/>
        <v>0.11441909021299117</v>
      </c>
      <c r="V60" s="335">
        <f t="shared" si="34"/>
        <v>0.11637775944569556</v>
      </c>
      <c r="W60" s="335">
        <f t="shared" si="34"/>
        <v>0.12292509529245506</v>
      </c>
      <c r="X60" s="335">
        <f t="shared" si="34"/>
        <v>0.13093840971094362</v>
      </c>
      <c r="Y60" s="335">
        <f t="shared" si="34"/>
        <v>0.13212681583481325</v>
      </c>
      <c r="Z60" s="335">
        <f t="shared" si="34"/>
        <v>0.13286979516597003</v>
      </c>
      <c r="AA60" s="335">
        <f t="shared" si="34"/>
        <v>0.13364523927067024</v>
      </c>
      <c r="AB60" s="335">
        <f t="shared" si="34"/>
        <v>0.13438651373576577</v>
      </c>
      <c r="AC60" s="335">
        <f t="shared" si="34"/>
        <v>0.13506396308058277</v>
      </c>
      <c r="AD60" s="335">
        <f t="shared" si="34"/>
        <v>0.13569167853523634</v>
      </c>
      <c r="AE60" s="335">
        <f t="shared" si="34"/>
        <v>0.1362830559155318</v>
      </c>
      <c r="AF60" s="335">
        <f t="shared" si="34"/>
        <v>0.13688713048769238</v>
      </c>
      <c r="AG60" s="335">
        <f t="shared" si="34"/>
        <v>0.13751153764022689</v>
      </c>
      <c r="AH60" s="335">
        <f t="shared" ref="AH60:AL60" si="35">AH13/AH$49</f>
        <v>0.13812598021833344</v>
      </c>
      <c r="AI60" s="335">
        <f t="shared" si="35"/>
        <v>0.13873877229755138</v>
      </c>
      <c r="AJ60" s="335">
        <f t="shared" si="35"/>
        <v>0.13934312521920911</v>
      </c>
      <c r="AK60" s="335">
        <f t="shared" si="35"/>
        <v>0.13993663900017755</v>
      </c>
      <c r="AL60" s="335">
        <f t="shared" si="35"/>
        <v>0.14054652836391923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</row>
    <row r="61" spans="1:57" x14ac:dyDescent="0.2">
      <c r="L61" s="232"/>
      <c r="M61" s="335"/>
      <c r="N61" s="335"/>
      <c r="O61" s="335"/>
      <c r="P61" s="335"/>
      <c r="Q61" s="335"/>
      <c r="R61" s="335"/>
      <c r="S61" s="335"/>
      <c r="T61" s="335"/>
      <c r="U61" s="335"/>
      <c r="V61" s="335"/>
      <c r="W61" s="335"/>
      <c r="X61" s="335"/>
      <c r="Y61" s="335"/>
      <c r="Z61" s="335"/>
      <c r="AA61" s="335"/>
      <c r="AB61" s="335"/>
      <c r="AC61" s="335"/>
      <c r="AD61" s="335"/>
      <c r="AE61" s="335"/>
      <c r="AF61" s="335"/>
      <c r="AG61" s="335"/>
      <c r="AH61" s="335"/>
      <c r="AI61" s="335"/>
      <c r="AJ61" s="335"/>
      <c r="AK61" s="335"/>
      <c r="AL61" s="335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</row>
    <row r="62" spans="1:57" x14ac:dyDescent="0.2">
      <c r="L62" s="16" t="str">
        <f>'Occ T3'!A17</f>
        <v>Associate professional occupations</v>
      </c>
      <c r="M62" s="336">
        <f t="shared" ref="M62:AG62" si="36">M15/M$49</f>
        <v>0.16779254334153643</v>
      </c>
      <c r="N62" s="336">
        <f t="shared" si="36"/>
        <v>0.16980279129465992</v>
      </c>
      <c r="O62" s="336">
        <f t="shared" si="36"/>
        <v>0.17418318442038028</v>
      </c>
      <c r="P62" s="336">
        <f t="shared" si="36"/>
        <v>0.17053579272873359</v>
      </c>
      <c r="Q62" s="336">
        <f t="shared" si="36"/>
        <v>0.1738947164111796</v>
      </c>
      <c r="R62" s="336">
        <f t="shared" si="36"/>
        <v>0.17437003560233519</v>
      </c>
      <c r="S62" s="336">
        <f t="shared" si="36"/>
        <v>0.1752858867184221</v>
      </c>
      <c r="T62" s="336">
        <f t="shared" si="36"/>
        <v>0.17568519526787166</v>
      </c>
      <c r="U62" s="336">
        <f t="shared" si="36"/>
        <v>0.17721619709700329</v>
      </c>
      <c r="V62" s="336">
        <f t="shared" si="36"/>
        <v>0.17334964201564937</v>
      </c>
      <c r="W62" s="336">
        <f t="shared" si="36"/>
        <v>0.18282099919611486</v>
      </c>
      <c r="X62" s="336">
        <f t="shared" si="36"/>
        <v>0.17375344900978418</v>
      </c>
      <c r="Y62" s="336">
        <f t="shared" si="36"/>
        <v>0.17454255373919361</v>
      </c>
      <c r="Z62" s="336">
        <f t="shared" si="36"/>
        <v>0.17483658732892313</v>
      </c>
      <c r="AA62" s="336">
        <f t="shared" si="36"/>
        <v>0.17506781179843242</v>
      </c>
      <c r="AB62" s="336">
        <f t="shared" si="36"/>
        <v>0.17530253945299437</v>
      </c>
      <c r="AC62" s="336">
        <f t="shared" si="36"/>
        <v>0.17556956250248576</v>
      </c>
      <c r="AD62" s="336">
        <f t="shared" si="36"/>
        <v>0.1758552780014786</v>
      </c>
      <c r="AE62" s="336">
        <f t="shared" si="36"/>
        <v>0.176124347841801</v>
      </c>
      <c r="AF62" s="336">
        <f t="shared" si="36"/>
        <v>0.17633238727010128</v>
      </c>
      <c r="AG62" s="336">
        <f t="shared" si="36"/>
        <v>0.17657055546806982</v>
      </c>
      <c r="AH62" s="336">
        <f t="shared" ref="AH62:AL62" si="37">AH15/AH$49</f>
        <v>0.17677427295449752</v>
      </c>
      <c r="AI62" s="336">
        <f t="shared" si="37"/>
        <v>0.1769978731502857</v>
      </c>
      <c r="AJ62" s="336">
        <f t="shared" si="37"/>
        <v>0.17720567315088459</v>
      </c>
      <c r="AK62" s="336">
        <f t="shared" si="37"/>
        <v>0.17742533737381833</v>
      </c>
      <c r="AL62" s="336">
        <f t="shared" si="37"/>
        <v>0.17758305061668792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</row>
    <row r="63" spans="1:57" x14ac:dyDescent="0.2">
      <c r="L63" s="232" t="str">
        <f>'Occ T3'!A18</f>
        <v>31 Science, engineering and technology associate professionals</v>
      </c>
      <c r="M63" s="335">
        <f t="shared" ref="M63:AG63" si="38">M16/M$49</f>
        <v>1.6039608035274738E-2</v>
      </c>
      <c r="N63" s="335">
        <f t="shared" si="38"/>
        <v>1.6095218818881027E-2</v>
      </c>
      <c r="O63" s="335">
        <f t="shared" si="38"/>
        <v>1.6028125685165474E-2</v>
      </c>
      <c r="P63" s="335">
        <f t="shared" si="38"/>
        <v>1.6220310352754033E-2</v>
      </c>
      <c r="Q63" s="335">
        <f t="shared" si="38"/>
        <v>1.479368361337456E-2</v>
      </c>
      <c r="R63" s="335">
        <f t="shared" si="38"/>
        <v>1.4695064314158556E-2</v>
      </c>
      <c r="S63" s="335">
        <f t="shared" si="38"/>
        <v>1.5778545227067842E-2</v>
      </c>
      <c r="T63" s="335">
        <f t="shared" si="38"/>
        <v>1.6880770511728635E-2</v>
      </c>
      <c r="U63" s="335">
        <f t="shared" si="38"/>
        <v>1.7152216351333686E-2</v>
      </c>
      <c r="V63" s="335">
        <f t="shared" si="38"/>
        <v>1.6634985428018875E-2</v>
      </c>
      <c r="W63" s="335">
        <f t="shared" si="38"/>
        <v>1.7759056084824625E-2</v>
      </c>
      <c r="X63" s="335">
        <f t="shared" si="38"/>
        <v>1.5386942149122423E-2</v>
      </c>
      <c r="Y63" s="335">
        <f t="shared" si="38"/>
        <v>1.5438346547926246E-2</v>
      </c>
      <c r="Z63" s="335">
        <f t="shared" si="38"/>
        <v>1.5491555896211158E-2</v>
      </c>
      <c r="AA63" s="335">
        <f t="shared" si="38"/>
        <v>1.5547380600261361E-2</v>
      </c>
      <c r="AB63" s="335">
        <f t="shared" si="38"/>
        <v>1.5595964408784579E-2</v>
      </c>
      <c r="AC63" s="335">
        <f t="shared" si="38"/>
        <v>1.5640065653410348E-2</v>
      </c>
      <c r="AD63" s="335">
        <f t="shared" si="38"/>
        <v>1.5689202612467274E-2</v>
      </c>
      <c r="AE63" s="335">
        <f t="shared" si="38"/>
        <v>1.5734303970953319E-2</v>
      </c>
      <c r="AF63" s="335">
        <f t="shared" si="38"/>
        <v>1.5783944698152287E-2</v>
      </c>
      <c r="AG63" s="335">
        <f t="shared" si="38"/>
        <v>1.5821225999975347E-2</v>
      </c>
      <c r="AH63" s="335">
        <f t="shared" ref="AH63:AL63" si="39">AH16/AH$49</f>
        <v>1.5853586955752959E-2</v>
      </c>
      <c r="AI63" s="335">
        <f t="shared" si="39"/>
        <v>1.5882565105713089E-2</v>
      </c>
      <c r="AJ63" s="335">
        <f t="shared" si="39"/>
        <v>1.5919938344997525E-2</v>
      </c>
      <c r="AK63" s="335">
        <f t="shared" si="39"/>
        <v>1.5955291362682866E-2</v>
      </c>
      <c r="AL63" s="335">
        <f t="shared" si="39"/>
        <v>1.6005074916951644E-2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</row>
    <row r="64" spans="1:57" x14ac:dyDescent="0.2">
      <c r="L64" s="232" t="str">
        <f>'Occ T3'!A19</f>
        <v>32 Health and social care associate professionals</v>
      </c>
      <c r="M64" s="335">
        <f t="shared" ref="M64:AG64" si="40">M17/M$49</f>
        <v>1.3346905760111856E-2</v>
      </c>
      <c r="N64" s="335">
        <f t="shared" si="40"/>
        <v>1.7790116023151534E-2</v>
      </c>
      <c r="O64" s="335">
        <f t="shared" si="40"/>
        <v>1.7449283328042912E-2</v>
      </c>
      <c r="P64" s="335">
        <f t="shared" si="40"/>
        <v>1.7620449951580481E-2</v>
      </c>
      <c r="Q64" s="335">
        <f t="shared" si="40"/>
        <v>1.7292851461026479E-2</v>
      </c>
      <c r="R64" s="335">
        <f t="shared" si="40"/>
        <v>1.7334903825401073E-2</v>
      </c>
      <c r="S64" s="335">
        <f t="shared" si="40"/>
        <v>1.7460555752609346E-2</v>
      </c>
      <c r="T64" s="335">
        <f t="shared" si="40"/>
        <v>1.7216303786456902E-2</v>
      </c>
      <c r="U64" s="335">
        <f t="shared" si="40"/>
        <v>1.873825907121408E-2</v>
      </c>
      <c r="V64" s="335">
        <f t="shared" si="40"/>
        <v>1.814315990047834E-2</v>
      </c>
      <c r="W64" s="335">
        <f t="shared" si="40"/>
        <v>1.8469104173711455E-2</v>
      </c>
      <c r="X64" s="335">
        <f t="shared" si="40"/>
        <v>1.7739113140658905E-2</v>
      </c>
      <c r="Y64" s="335">
        <f t="shared" si="40"/>
        <v>1.7736734903948035E-2</v>
      </c>
      <c r="Z64" s="335">
        <f t="shared" si="40"/>
        <v>1.7692090338453908E-2</v>
      </c>
      <c r="AA64" s="335">
        <f t="shared" si="40"/>
        <v>1.7671641638439862E-2</v>
      </c>
      <c r="AB64" s="335">
        <f t="shared" si="40"/>
        <v>1.766095203575168E-2</v>
      </c>
      <c r="AC64" s="335">
        <f t="shared" si="40"/>
        <v>1.7640313514691679E-2</v>
      </c>
      <c r="AD64" s="335">
        <f t="shared" si="40"/>
        <v>1.7604969796895725E-2</v>
      </c>
      <c r="AE64" s="335">
        <f t="shared" si="40"/>
        <v>1.7574023162961725E-2</v>
      </c>
      <c r="AF64" s="335">
        <f t="shared" si="40"/>
        <v>1.7535244849670954E-2</v>
      </c>
      <c r="AG64" s="335">
        <f t="shared" si="40"/>
        <v>1.7499057548464512E-2</v>
      </c>
      <c r="AH64" s="335">
        <f t="shared" ref="AH64:AL64" si="41">AH17/AH$49</f>
        <v>1.7463599528514957E-2</v>
      </c>
      <c r="AI64" s="335">
        <f t="shared" si="41"/>
        <v>1.7453473824068949E-2</v>
      </c>
      <c r="AJ64" s="335">
        <f t="shared" si="41"/>
        <v>1.7443390578473539E-2</v>
      </c>
      <c r="AK64" s="335">
        <f t="shared" si="41"/>
        <v>1.7436994849395242E-2</v>
      </c>
      <c r="AL64" s="335">
        <f t="shared" si="41"/>
        <v>1.7439563980422627E-2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</row>
    <row r="65" spans="12:53" x14ac:dyDescent="0.2">
      <c r="L65" s="232" t="str">
        <f>'Occ T3'!A20</f>
        <v>33 Protective service occupations</v>
      </c>
      <c r="M65" s="335">
        <f t="shared" ref="M65:AG65" si="42">M18/M$49</f>
        <v>1.185175349409523E-2</v>
      </c>
      <c r="N65" s="335">
        <f t="shared" si="42"/>
        <v>1.3876237078305386E-2</v>
      </c>
      <c r="O65" s="335">
        <f t="shared" si="42"/>
        <v>1.3487455442345543E-2</v>
      </c>
      <c r="P65" s="335">
        <f t="shared" si="42"/>
        <v>1.1999572940128999E-2</v>
      </c>
      <c r="Q65" s="335">
        <f t="shared" si="42"/>
        <v>1.1789356972898152E-2</v>
      </c>
      <c r="R65" s="335">
        <f t="shared" si="42"/>
        <v>1.1915514115832132E-2</v>
      </c>
      <c r="S65" s="335">
        <f t="shared" si="42"/>
        <v>1.2656062733078021E-2</v>
      </c>
      <c r="T65" s="335">
        <f t="shared" si="42"/>
        <v>1.1953956257607673E-2</v>
      </c>
      <c r="U65" s="335">
        <f t="shared" si="42"/>
        <v>1.1736916130988088E-2</v>
      </c>
      <c r="V65" s="335">
        <f t="shared" si="42"/>
        <v>1.184790518177028E-2</v>
      </c>
      <c r="W65" s="335">
        <f t="shared" si="42"/>
        <v>1.2767315374479924E-2</v>
      </c>
      <c r="X65" s="335">
        <f t="shared" si="42"/>
        <v>1.4029629653091461E-2</v>
      </c>
      <c r="Y65" s="335">
        <f t="shared" si="42"/>
        <v>1.4154900967513658E-2</v>
      </c>
      <c r="Z65" s="335">
        <f t="shared" si="42"/>
        <v>1.4250736555254499E-2</v>
      </c>
      <c r="AA65" s="335">
        <f t="shared" si="42"/>
        <v>1.4344371827080293E-2</v>
      </c>
      <c r="AB65" s="335">
        <f t="shared" si="42"/>
        <v>1.4409895100280196E-2</v>
      </c>
      <c r="AC65" s="335">
        <f t="shared" si="42"/>
        <v>1.4496557737348344E-2</v>
      </c>
      <c r="AD65" s="335">
        <f t="shared" si="42"/>
        <v>1.460195099545797E-2</v>
      </c>
      <c r="AE65" s="335">
        <f t="shared" si="42"/>
        <v>1.4745459239206327E-2</v>
      </c>
      <c r="AF65" s="335">
        <f t="shared" si="42"/>
        <v>1.4841942191521785E-2</v>
      </c>
      <c r="AG65" s="335">
        <f t="shared" si="42"/>
        <v>1.4978237070011613E-2</v>
      </c>
      <c r="AH65" s="335">
        <f t="shared" ref="AH65:AL65" si="43">AH18/AH$49</f>
        <v>1.5110556027536708E-2</v>
      </c>
      <c r="AI65" s="335">
        <f t="shared" si="43"/>
        <v>1.5251814980147185E-2</v>
      </c>
      <c r="AJ65" s="335">
        <f t="shared" si="43"/>
        <v>1.5381397010922863E-2</v>
      </c>
      <c r="AK65" s="335">
        <f t="shared" si="43"/>
        <v>1.5562350926643102E-2</v>
      </c>
      <c r="AL65" s="335">
        <f t="shared" si="43"/>
        <v>1.5677804036849742E-2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</row>
    <row r="66" spans="12:53" x14ac:dyDescent="0.2">
      <c r="L66" s="232" t="str">
        <f>'Occ T3'!A21</f>
        <v>34 Culture, media and sports occupations</v>
      </c>
      <c r="M66" s="335">
        <f t="shared" ref="M66:AG66" si="44">M19/M$49</f>
        <v>3.3810040195297326E-2</v>
      </c>
      <c r="N66" s="335">
        <f t="shared" si="44"/>
        <v>3.3926811274346033E-2</v>
      </c>
      <c r="O66" s="335">
        <f t="shared" si="44"/>
        <v>3.5977736170534194E-2</v>
      </c>
      <c r="P66" s="335">
        <f t="shared" si="44"/>
        <v>3.6108970907256399E-2</v>
      </c>
      <c r="Q66" s="335">
        <f t="shared" si="44"/>
        <v>4.0051568422574756E-2</v>
      </c>
      <c r="R66" s="335">
        <f t="shared" si="44"/>
        <v>4.0104605177496123E-2</v>
      </c>
      <c r="S66" s="335">
        <f t="shared" si="44"/>
        <v>3.8327527017833103E-2</v>
      </c>
      <c r="T66" s="335">
        <f t="shared" si="44"/>
        <v>3.8828469274952371E-2</v>
      </c>
      <c r="U66" s="335">
        <f t="shared" si="44"/>
        <v>4.006221108373835E-2</v>
      </c>
      <c r="V66" s="335">
        <f t="shared" si="44"/>
        <v>3.5609366410265145E-2</v>
      </c>
      <c r="W66" s="335">
        <f t="shared" si="44"/>
        <v>4.1182365486945344E-2</v>
      </c>
      <c r="X66" s="335">
        <f t="shared" si="44"/>
        <v>3.9465916400163559E-2</v>
      </c>
      <c r="Y66" s="335">
        <f t="shared" si="44"/>
        <v>4.0091339123338864E-2</v>
      </c>
      <c r="Z66" s="335">
        <f t="shared" si="44"/>
        <v>4.0475899593804002E-2</v>
      </c>
      <c r="AA66" s="335">
        <f t="shared" si="44"/>
        <v>4.073529222272166E-2</v>
      </c>
      <c r="AB66" s="335">
        <f t="shared" si="44"/>
        <v>4.0953982472067635E-2</v>
      </c>
      <c r="AC66" s="335">
        <f t="shared" si="44"/>
        <v>4.1188880926201682E-2</v>
      </c>
      <c r="AD66" s="335">
        <f t="shared" si="44"/>
        <v>4.1423635163577985E-2</v>
      </c>
      <c r="AE66" s="335">
        <f t="shared" si="44"/>
        <v>4.1627402786203582E-2</v>
      </c>
      <c r="AF66" s="335">
        <f t="shared" si="44"/>
        <v>4.1829833545567213E-2</v>
      </c>
      <c r="AG66" s="335">
        <f t="shared" si="44"/>
        <v>4.2041370820754619E-2</v>
      </c>
      <c r="AH66" s="335">
        <f t="shared" ref="AH66:AL66" si="45">AH19/AH$49</f>
        <v>4.2243165356316351E-2</v>
      </c>
      <c r="AI66" s="335">
        <f t="shared" si="45"/>
        <v>4.2424968932077152E-2</v>
      </c>
      <c r="AJ66" s="335">
        <f t="shared" si="45"/>
        <v>4.2631080593461455E-2</v>
      </c>
      <c r="AK66" s="335">
        <f t="shared" si="45"/>
        <v>4.283256239184452E-2</v>
      </c>
      <c r="AL66" s="335">
        <f t="shared" si="45"/>
        <v>4.2990536488888335E-2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</row>
    <row r="67" spans="12:53" x14ac:dyDescent="0.2">
      <c r="L67" s="232" t="str">
        <f>'Occ T3'!A22</f>
        <v>35 Business and public service associate professionals</v>
      </c>
      <c r="M67" s="335">
        <f t="shared" ref="M67:AG67" si="46">M20/M$49</f>
        <v>9.2744235856757271E-2</v>
      </c>
      <c r="N67" s="335">
        <f t="shared" si="46"/>
        <v>8.8114408099975949E-2</v>
      </c>
      <c r="O67" s="335">
        <f t="shared" si="46"/>
        <v>9.1240583794292174E-2</v>
      </c>
      <c r="P67" s="335">
        <f t="shared" si="46"/>
        <v>8.8586488577013678E-2</v>
      </c>
      <c r="Q67" s="335">
        <f t="shared" si="46"/>
        <v>8.9967255941305654E-2</v>
      </c>
      <c r="R67" s="335">
        <f t="shared" si="46"/>
        <v>9.0319948169447328E-2</v>
      </c>
      <c r="S67" s="335">
        <f t="shared" si="46"/>
        <v>9.10631959878338E-2</v>
      </c>
      <c r="T67" s="335">
        <f t="shared" si="46"/>
        <v>9.0805695437126105E-2</v>
      </c>
      <c r="U67" s="335">
        <f t="shared" si="46"/>
        <v>8.9526594459729089E-2</v>
      </c>
      <c r="V67" s="335">
        <f t="shared" si="46"/>
        <v>9.1114225095116741E-2</v>
      </c>
      <c r="W67" s="335">
        <f t="shared" si="46"/>
        <v>9.2643158076153503E-2</v>
      </c>
      <c r="X67" s="335">
        <f t="shared" si="46"/>
        <v>8.7131847666747794E-2</v>
      </c>
      <c r="Y67" s="335">
        <f t="shared" si="46"/>
        <v>8.7121232196466808E-2</v>
      </c>
      <c r="Z67" s="335">
        <f t="shared" si="46"/>
        <v>8.6926304945199553E-2</v>
      </c>
      <c r="AA67" s="335">
        <f t="shared" si="46"/>
        <v>8.6769125509929212E-2</v>
      </c>
      <c r="AB67" s="335">
        <f t="shared" si="46"/>
        <v>8.6681745436110305E-2</v>
      </c>
      <c r="AC67" s="335">
        <f t="shared" si="46"/>
        <v>8.6603744670833691E-2</v>
      </c>
      <c r="AD67" s="335">
        <f t="shared" si="46"/>
        <v>8.6535519433079633E-2</v>
      </c>
      <c r="AE67" s="335">
        <f t="shared" si="46"/>
        <v>8.6443158682476054E-2</v>
      </c>
      <c r="AF67" s="335">
        <f t="shared" si="46"/>
        <v>8.6341421985189043E-2</v>
      </c>
      <c r="AG67" s="335">
        <f t="shared" si="46"/>
        <v>8.6230664028863743E-2</v>
      </c>
      <c r="AH67" s="335">
        <f t="shared" ref="AH67:AL67" si="47">AH20/AH$49</f>
        <v>8.6103365086376574E-2</v>
      </c>
      <c r="AI67" s="335">
        <f t="shared" si="47"/>
        <v>8.5985050308279312E-2</v>
      </c>
      <c r="AJ67" s="335">
        <f t="shared" si="47"/>
        <v>8.5829866623029188E-2</v>
      </c>
      <c r="AK67" s="335">
        <f t="shared" si="47"/>
        <v>8.5638137843252624E-2</v>
      </c>
      <c r="AL67" s="335">
        <f t="shared" si="47"/>
        <v>8.5470071193575553E-2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</row>
    <row r="68" spans="12:53" x14ac:dyDescent="0.2">
      <c r="L68" s="232"/>
      <c r="M68" s="335"/>
      <c r="N68" s="335"/>
      <c r="O68" s="335"/>
      <c r="P68" s="335"/>
      <c r="Q68" s="335"/>
      <c r="R68" s="335"/>
      <c r="S68" s="335"/>
      <c r="T68" s="335"/>
      <c r="U68" s="335"/>
      <c r="V68" s="335"/>
      <c r="W68" s="335"/>
      <c r="X68" s="335"/>
      <c r="Y68" s="335"/>
      <c r="Z68" s="335"/>
      <c r="AA68" s="335"/>
      <c r="AB68" s="335"/>
      <c r="AC68" s="335"/>
      <c r="AD68" s="335"/>
      <c r="AE68" s="335"/>
      <c r="AF68" s="335"/>
      <c r="AG68" s="335"/>
      <c r="AH68" s="335"/>
      <c r="AI68" s="335"/>
      <c r="AJ68" s="335"/>
      <c r="AK68" s="335"/>
      <c r="AL68" s="335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</row>
    <row r="69" spans="12:53" x14ac:dyDescent="0.2">
      <c r="L69" s="16" t="str">
        <f>'Occ T3'!A24</f>
        <v>Administrative and secretarial occupations</v>
      </c>
      <c r="M69" s="336">
        <f t="shared" ref="M69:AG69" si="48">M22/M$49</f>
        <v>9.9849349199701162E-2</v>
      </c>
      <c r="N69" s="336">
        <f t="shared" si="48"/>
        <v>9.8309380100107271E-2</v>
      </c>
      <c r="O69" s="336">
        <f t="shared" si="48"/>
        <v>9.6229037654509186E-2</v>
      </c>
      <c r="P69" s="336">
        <f t="shared" si="48"/>
        <v>9.2245190248511022E-2</v>
      </c>
      <c r="Q69" s="336">
        <f t="shared" si="48"/>
        <v>9.0154433698169958E-2</v>
      </c>
      <c r="R69" s="336">
        <f t="shared" si="48"/>
        <v>9.0014997290512822E-2</v>
      </c>
      <c r="S69" s="336">
        <f t="shared" si="48"/>
        <v>8.4820664355387501E-2</v>
      </c>
      <c r="T69" s="336">
        <f t="shared" si="48"/>
        <v>8.6692409845018303E-2</v>
      </c>
      <c r="U69" s="336">
        <f t="shared" si="48"/>
        <v>8.3765893208247733E-2</v>
      </c>
      <c r="V69" s="336">
        <f t="shared" si="48"/>
        <v>8.1226195295400816E-2</v>
      </c>
      <c r="W69" s="336">
        <f t="shared" si="48"/>
        <v>8.292505243469564E-2</v>
      </c>
      <c r="X69" s="336">
        <f t="shared" si="48"/>
        <v>7.9199238309033831E-2</v>
      </c>
      <c r="Y69" s="336">
        <f t="shared" si="48"/>
        <v>7.7600659754262738E-2</v>
      </c>
      <c r="Z69" s="336">
        <f t="shared" si="48"/>
        <v>7.6127443436460288E-2</v>
      </c>
      <c r="AA69" s="336">
        <f t="shared" si="48"/>
        <v>7.468283345058789E-2</v>
      </c>
      <c r="AB69" s="336">
        <f t="shared" si="48"/>
        <v>7.3447721234437019E-2</v>
      </c>
      <c r="AC69" s="336">
        <f t="shared" si="48"/>
        <v>7.2370343204455193E-2</v>
      </c>
      <c r="AD69" s="336">
        <f t="shared" si="48"/>
        <v>7.1384841458745324E-2</v>
      </c>
      <c r="AE69" s="336">
        <f t="shared" si="48"/>
        <v>7.045860244275895E-2</v>
      </c>
      <c r="AF69" s="336">
        <f t="shared" si="48"/>
        <v>6.9584399498446095E-2</v>
      </c>
      <c r="AG69" s="336">
        <f t="shared" si="48"/>
        <v>6.8663948780292708E-2</v>
      </c>
      <c r="AH69" s="336">
        <f t="shared" ref="AH69:AL69" si="49">AH22/AH$49</f>
        <v>6.7731009235682704E-2</v>
      </c>
      <c r="AI69" s="336">
        <f t="shared" si="49"/>
        <v>6.6763413190800119E-2</v>
      </c>
      <c r="AJ69" s="336">
        <f t="shared" si="49"/>
        <v>6.5876106474067081E-2</v>
      </c>
      <c r="AK69" s="336">
        <f t="shared" si="49"/>
        <v>6.5159397314861631E-2</v>
      </c>
      <c r="AL69" s="336">
        <f t="shared" si="49"/>
        <v>6.3905066070702135E-2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</row>
    <row r="70" spans="12:53" x14ac:dyDescent="0.2">
      <c r="L70" s="232" t="str">
        <f>'Occ T3'!A25</f>
        <v>41 Administrative occupations</v>
      </c>
      <c r="M70" s="335">
        <f t="shared" ref="M70:AG70" si="50">M23/M$49</f>
        <v>7.5636832017547853E-2</v>
      </c>
      <c r="N70" s="335">
        <f t="shared" si="50"/>
        <v>7.6250727160236662E-2</v>
      </c>
      <c r="O70" s="335">
        <f t="shared" si="50"/>
        <v>7.5323268722532269E-2</v>
      </c>
      <c r="P70" s="335">
        <f t="shared" si="50"/>
        <v>7.1351848058975334E-2</v>
      </c>
      <c r="Q70" s="335">
        <f t="shared" si="50"/>
        <v>7.04281745218059E-2</v>
      </c>
      <c r="R70" s="335">
        <f t="shared" si="50"/>
        <v>7.1738540337031115E-2</v>
      </c>
      <c r="S70" s="335">
        <f t="shared" si="50"/>
        <v>6.7522729134656248E-2</v>
      </c>
      <c r="T70" s="335">
        <f t="shared" si="50"/>
        <v>6.9227101083984943E-2</v>
      </c>
      <c r="U70" s="335">
        <f t="shared" si="50"/>
        <v>6.6547308948819495E-2</v>
      </c>
      <c r="V70" s="335">
        <f t="shared" si="50"/>
        <v>6.5617476467275102E-2</v>
      </c>
      <c r="W70" s="335">
        <f t="shared" si="50"/>
        <v>6.7982806188265979E-2</v>
      </c>
      <c r="X70" s="335">
        <f t="shared" si="50"/>
        <v>6.2982313923052244E-2</v>
      </c>
      <c r="Y70" s="335">
        <f t="shared" si="50"/>
        <v>6.1994512433916189E-2</v>
      </c>
      <c r="Z70" s="335">
        <f t="shared" si="50"/>
        <v>6.1064299515046896E-2</v>
      </c>
      <c r="AA70" s="335">
        <f t="shared" si="50"/>
        <v>6.0113154628068814E-2</v>
      </c>
      <c r="AB70" s="335">
        <f t="shared" si="50"/>
        <v>5.9183106765287617E-2</v>
      </c>
      <c r="AC70" s="335">
        <f t="shared" si="50"/>
        <v>5.8307922750016491E-2</v>
      </c>
      <c r="AD70" s="335">
        <f t="shared" si="50"/>
        <v>5.7491401910924618E-2</v>
      </c>
      <c r="AE70" s="335">
        <f t="shared" si="50"/>
        <v>5.6770668752242029E-2</v>
      </c>
      <c r="AF70" s="335">
        <f t="shared" si="50"/>
        <v>5.6027581618177967E-2</v>
      </c>
      <c r="AG70" s="335">
        <f t="shared" si="50"/>
        <v>5.5284690468161021E-2</v>
      </c>
      <c r="AH70" s="335">
        <f t="shared" ref="AH70:AL70" si="51">AH23/AH$49</f>
        <v>5.4523954226210238E-2</v>
      </c>
      <c r="AI70" s="335">
        <f t="shared" si="51"/>
        <v>5.3801155702241713E-2</v>
      </c>
      <c r="AJ70" s="335">
        <f t="shared" si="51"/>
        <v>5.3113493351280641E-2</v>
      </c>
      <c r="AK70" s="335">
        <f t="shared" si="51"/>
        <v>5.2439075441053425E-2</v>
      </c>
      <c r="AL70" s="335">
        <f t="shared" si="51"/>
        <v>5.1787981536705642E-2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</row>
    <row r="71" spans="12:53" x14ac:dyDescent="0.2">
      <c r="L71" s="232" t="str">
        <f>'Occ T3'!A26</f>
        <v>42 Secretarial and related occupations</v>
      </c>
      <c r="M71" s="335">
        <f t="shared" ref="M71:AG71" si="52">M24/M$49</f>
        <v>2.4212517182153313E-2</v>
      </c>
      <c r="N71" s="335">
        <f t="shared" si="52"/>
        <v>2.2058652939870613E-2</v>
      </c>
      <c r="O71" s="335">
        <f t="shared" si="52"/>
        <v>2.0905768931976924E-2</v>
      </c>
      <c r="P71" s="335">
        <f t="shared" si="52"/>
        <v>2.0893342189535691E-2</v>
      </c>
      <c r="Q71" s="335">
        <f t="shared" si="52"/>
        <v>1.9726259176364048E-2</v>
      </c>
      <c r="R71" s="335">
        <f t="shared" si="52"/>
        <v>1.827645695348171E-2</v>
      </c>
      <c r="S71" s="335">
        <f t="shared" si="52"/>
        <v>1.729793522073125E-2</v>
      </c>
      <c r="T71" s="335">
        <f t="shared" si="52"/>
        <v>1.7465308761033364E-2</v>
      </c>
      <c r="U71" s="335">
        <f t="shared" si="52"/>
        <v>1.7218584259428248E-2</v>
      </c>
      <c r="V71" s="335">
        <f t="shared" si="52"/>
        <v>1.560871882812572E-2</v>
      </c>
      <c r="W71" s="335">
        <f t="shared" si="52"/>
        <v>1.4942246246429656E-2</v>
      </c>
      <c r="X71" s="335">
        <f t="shared" si="52"/>
        <v>1.6216924385981595E-2</v>
      </c>
      <c r="Y71" s="335">
        <f t="shared" si="52"/>
        <v>1.5606147320346543E-2</v>
      </c>
      <c r="Z71" s="335">
        <f t="shared" si="52"/>
        <v>1.5063143921413395E-2</v>
      </c>
      <c r="AA71" s="335">
        <f t="shared" si="52"/>
        <v>1.4569678822519076E-2</v>
      </c>
      <c r="AB71" s="335">
        <f t="shared" si="52"/>
        <v>1.42646144691494E-2</v>
      </c>
      <c r="AC71" s="335">
        <f t="shared" si="52"/>
        <v>1.4062420454438708E-2</v>
      </c>
      <c r="AD71" s="335">
        <f t="shared" si="52"/>
        <v>1.3893439547820704E-2</v>
      </c>
      <c r="AE71" s="335">
        <f t="shared" si="52"/>
        <v>1.3687933690516916E-2</v>
      </c>
      <c r="AF71" s="335">
        <f t="shared" si="52"/>
        <v>1.3556817880268125E-2</v>
      </c>
      <c r="AG71" s="335">
        <f t="shared" si="52"/>
        <v>1.3379258312131694E-2</v>
      </c>
      <c r="AH71" s="335">
        <f t="shared" ref="AH71:AL71" si="53">AH24/AH$49</f>
        <v>1.3207055009472458E-2</v>
      </c>
      <c r="AI71" s="335">
        <f t="shared" si="53"/>
        <v>1.2962257488558402E-2</v>
      </c>
      <c r="AJ71" s="335">
        <f t="shared" si="53"/>
        <v>1.2762613122786438E-2</v>
      </c>
      <c r="AK71" s="335">
        <f t="shared" si="53"/>
        <v>1.2720321873808201E-2</v>
      </c>
      <c r="AL71" s="335">
        <f t="shared" si="53"/>
        <v>1.2117084533996486E-2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</row>
    <row r="72" spans="12:53" x14ac:dyDescent="0.2">
      <c r="L72" s="232"/>
      <c r="M72" s="335"/>
      <c r="N72" s="335"/>
      <c r="O72" s="335"/>
      <c r="P72" s="335"/>
      <c r="Q72" s="335"/>
      <c r="R72" s="335"/>
      <c r="S72" s="335"/>
      <c r="T72" s="335"/>
      <c r="U72" s="335"/>
      <c r="V72" s="335"/>
      <c r="W72" s="335"/>
      <c r="X72" s="335"/>
      <c r="Y72" s="335"/>
      <c r="Z72" s="335"/>
      <c r="AA72" s="335"/>
      <c r="AB72" s="335"/>
      <c r="AC72" s="335"/>
      <c r="AD72" s="335"/>
      <c r="AE72" s="335"/>
      <c r="AF72" s="335"/>
      <c r="AG72" s="335"/>
      <c r="AH72" s="335"/>
      <c r="AI72" s="335"/>
      <c r="AJ72" s="335"/>
      <c r="AK72" s="335"/>
      <c r="AL72" s="335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</row>
    <row r="73" spans="12:53" x14ac:dyDescent="0.2">
      <c r="L73" s="16" t="str">
        <f>'Occ T3'!A28</f>
        <v>Skilled trades occupations</v>
      </c>
      <c r="M73" s="336">
        <f t="shared" ref="M73:AG73" si="54">M26/M$49</f>
        <v>7.360684350740189E-2</v>
      </c>
      <c r="N73" s="336">
        <f t="shared" si="54"/>
        <v>7.3571680469604314E-2</v>
      </c>
      <c r="O73" s="336">
        <f t="shared" si="54"/>
        <v>7.4068247954404962E-2</v>
      </c>
      <c r="P73" s="336">
        <f t="shared" si="54"/>
        <v>7.7066385985841451E-2</v>
      </c>
      <c r="Q73" s="336">
        <f t="shared" si="54"/>
        <v>7.7518202813584472E-2</v>
      </c>
      <c r="R73" s="336">
        <f t="shared" si="54"/>
        <v>7.8638277668989329E-2</v>
      </c>
      <c r="S73" s="336">
        <f t="shared" si="54"/>
        <v>7.688060767010968E-2</v>
      </c>
      <c r="T73" s="336">
        <f t="shared" si="54"/>
        <v>7.6822252531081617E-2</v>
      </c>
      <c r="U73" s="336">
        <f t="shared" si="54"/>
        <v>7.1731159453657795E-2</v>
      </c>
      <c r="V73" s="336">
        <f t="shared" si="54"/>
        <v>7.1084406930816232E-2</v>
      </c>
      <c r="W73" s="336">
        <f t="shared" si="54"/>
        <v>6.0936538082830456E-2</v>
      </c>
      <c r="X73" s="336">
        <f t="shared" si="54"/>
        <v>6.2114302383175148E-2</v>
      </c>
      <c r="Y73" s="336">
        <f t="shared" si="54"/>
        <v>6.2217448143143825E-2</v>
      </c>
      <c r="Z73" s="336">
        <f t="shared" si="54"/>
        <v>6.2674871434163074E-2</v>
      </c>
      <c r="AA73" s="336">
        <f t="shared" si="54"/>
        <v>6.297600213209599E-2</v>
      </c>
      <c r="AB73" s="336">
        <f t="shared" si="54"/>
        <v>6.3005771019567225E-2</v>
      </c>
      <c r="AC73" s="336">
        <f t="shared" si="54"/>
        <v>6.3027845907694835E-2</v>
      </c>
      <c r="AD73" s="336">
        <f t="shared" si="54"/>
        <v>6.3130548155622176E-2</v>
      </c>
      <c r="AE73" s="336">
        <f t="shared" si="54"/>
        <v>6.3152237898420019E-2</v>
      </c>
      <c r="AF73" s="336">
        <f t="shared" si="54"/>
        <v>6.315467308296388E-2</v>
      </c>
      <c r="AG73" s="336">
        <f t="shared" si="54"/>
        <v>6.3162960903922566E-2</v>
      </c>
      <c r="AH73" s="336">
        <f t="shared" ref="AH73:AL73" si="55">AH26/AH$49</f>
        <v>6.3160079041382516E-2</v>
      </c>
      <c r="AI73" s="336">
        <f t="shared" si="55"/>
        <v>6.3143604693828528E-2</v>
      </c>
      <c r="AJ73" s="336">
        <f t="shared" si="55"/>
        <v>6.3115131937954649E-2</v>
      </c>
      <c r="AK73" s="336">
        <f t="shared" si="55"/>
        <v>6.3018767919559793E-2</v>
      </c>
      <c r="AL73" s="336">
        <f t="shared" si="55"/>
        <v>6.3042999159309596E-2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</row>
    <row r="74" spans="12:53" x14ac:dyDescent="0.2">
      <c r="L74" s="232" t="str">
        <f>'Occ T3'!A29</f>
        <v>51 Skilled agricultural and related trades</v>
      </c>
      <c r="M74" s="335">
        <f t="shared" ref="M74:AG74" si="56">M27/M$49</f>
        <v>4.2456983098495878E-3</v>
      </c>
      <c r="N74" s="335">
        <f t="shared" si="56"/>
        <v>3.9930854543025066E-3</v>
      </c>
      <c r="O74" s="335">
        <f t="shared" si="56"/>
        <v>4.1682659282312315E-3</v>
      </c>
      <c r="P74" s="335">
        <f t="shared" si="56"/>
        <v>4.4841341512032269E-3</v>
      </c>
      <c r="Q74" s="335">
        <f t="shared" si="56"/>
        <v>4.6551892674487425E-3</v>
      </c>
      <c r="R74" s="335">
        <f t="shared" si="56"/>
        <v>4.7177158684164203E-3</v>
      </c>
      <c r="S74" s="335">
        <f t="shared" si="56"/>
        <v>4.8548389370376343E-3</v>
      </c>
      <c r="T74" s="335">
        <f t="shared" si="56"/>
        <v>4.190572005656353E-3</v>
      </c>
      <c r="U74" s="335">
        <f t="shared" si="56"/>
        <v>3.9710245693380976E-3</v>
      </c>
      <c r="V74" s="335">
        <f t="shared" si="56"/>
        <v>4.4326942868966168E-3</v>
      </c>
      <c r="W74" s="335">
        <f t="shared" si="56"/>
        <v>4.2484702083903821E-3</v>
      </c>
      <c r="X74" s="335">
        <f t="shared" si="56"/>
        <v>4.1676040915681473E-3</v>
      </c>
      <c r="Y74" s="335">
        <f t="shared" si="56"/>
        <v>4.2257596776371694E-3</v>
      </c>
      <c r="Z74" s="335">
        <f t="shared" si="56"/>
        <v>4.2834298080343105E-3</v>
      </c>
      <c r="AA74" s="335">
        <f t="shared" si="56"/>
        <v>4.3415950381129713E-3</v>
      </c>
      <c r="AB74" s="335">
        <f t="shared" si="56"/>
        <v>4.4036721933293109E-3</v>
      </c>
      <c r="AC74" s="335">
        <f t="shared" si="56"/>
        <v>4.4679460960242523E-3</v>
      </c>
      <c r="AD74" s="335">
        <f t="shared" si="56"/>
        <v>4.536581982934329E-3</v>
      </c>
      <c r="AE74" s="335">
        <f t="shared" si="56"/>
        <v>4.5963747505376037E-3</v>
      </c>
      <c r="AF74" s="335">
        <f t="shared" si="56"/>
        <v>4.6524244932432289E-3</v>
      </c>
      <c r="AG74" s="335">
        <f t="shared" si="56"/>
        <v>4.699255570048003E-3</v>
      </c>
      <c r="AH74" s="335">
        <f t="shared" ref="AH74:AL74" si="57">AH27/AH$49</f>
        <v>4.759103407888785E-3</v>
      </c>
      <c r="AI74" s="335">
        <f t="shared" si="57"/>
        <v>4.8200832529190019E-3</v>
      </c>
      <c r="AJ74" s="335">
        <f t="shared" si="57"/>
        <v>4.8809653215443165E-3</v>
      </c>
      <c r="AK74" s="335">
        <f t="shared" si="57"/>
        <v>4.9445912675454571E-3</v>
      </c>
      <c r="AL74" s="335">
        <f t="shared" si="57"/>
        <v>5.0110073728434146E-3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</row>
    <row r="75" spans="12:53" x14ac:dyDescent="0.2">
      <c r="L75" s="232" t="str">
        <f>'Occ T3'!A30</f>
        <v>52 Skilled metal, electrical and electronic trades</v>
      </c>
      <c r="M75" s="335">
        <f t="shared" ref="M75:AG75" si="58">M28/M$49</f>
        <v>2.1301010701517693E-2</v>
      </c>
      <c r="N75" s="335">
        <f t="shared" si="58"/>
        <v>2.1910324778317794E-2</v>
      </c>
      <c r="O75" s="335">
        <f t="shared" si="58"/>
        <v>2.1097833394440289E-2</v>
      </c>
      <c r="P75" s="335">
        <f t="shared" si="58"/>
        <v>2.1413689615135595E-2</v>
      </c>
      <c r="Q75" s="335">
        <f t="shared" si="58"/>
        <v>2.200786346646854E-2</v>
      </c>
      <c r="R75" s="335">
        <f t="shared" si="58"/>
        <v>2.1508997295069554E-2</v>
      </c>
      <c r="S75" s="335">
        <f t="shared" si="58"/>
        <v>2.1667473030975333E-2</v>
      </c>
      <c r="T75" s="335">
        <f t="shared" si="58"/>
        <v>2.1498874784117772E-2</v>
      </c>
      <c r="U75" s="335">
        <f t="shared" si="58"/>
        <v>2.0338205444893943E-2</v>
      </c>
      <c r="V75" s="335">
        <f t="shared" si="58"/>
        <v>2.1160010522107205E-2</v>
      </c>
      <c r="W75" s="335">
        <f t="shared" si="58"/>
        <v>1.8718811477718887E-2</v>
      </c>
      <c r="X75" s="335">
        <f t="shared" si="58"/>
        <v>1.9001867481125319E-2</v>
      </c>
      <c r="Y75" s="335">
        <f t="shared" si="58"/>
        <v>1.892586862142507E-2</v>
      </c>
      <c r="Z75" s="335">
        <f t="shared" si="58"/>
        <v>1.8917328049924045E-2</v>
      </c>
      <c r="AA75" s="335">
        <f t="shared" si="58"/>
        <v>1.8861227752508487E-2</v>
      </c>
      <c r="AB75" s="335">
        <f t="shared" si="58"/>
        <v>1.8725857393340491E-2</v>
      </c>
      <c r="AC75" s="335">
        <f t="shared" si="58"/>
        <v>1.8571876974445348E-2</v>
      </c>
      <c r="AD75" s="335">
        <f t="shared" si="58"/>
        <v>1.8417618139816926E-2</v>
      </c>
      <c r="AE75" s="335">
        <f t="shared" si="58"/>
        <v>1.8269418652544545E-2</v>
      </c>
      <c r="AF75" s="335">
        <f t="shared" si="58"/>
        <v>1.811786550340886E-2</v>
      </c>
      <c r="AG75" s="335">
        <f t="shared" si="58"/>
        <v>1.7979261215260035E-2</v>
      </c>
      <c r="AH75" s="335">
        <f t="shared" ref="AH75:AL75" si="59">AH28/AH$49</f>
        <v>1.784066628991194E-2</v>
      </c>
      <c r="AI75" s="335">
        <f t="shared" si="59"/>
        <v>1.7697333038377998E-2</v>
      </c>
      <c r="AJ75" s="335">
        <f t="shared" si="59"/>
        <v>1.7551679045667418E-2</v>
      </c>
      <c r="AK75" s="335">
        <f t="shared" si="59"/>
        <v>1.7406617240980991E-2</v>
      </c>
      <c r="AL75" s="335">
        <f t="shared" si="59"/>
        <v>1.7271647324342981E-2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</row>
    <row r="76" spans="12:53" x14ac:dyDescent="0.2">
      <c r="L76" s="232" t="str">
        <f>'Occ T3'!A31</f>
        <v>53 Skilled construction and building trades</v>
      </c>
      <c r="M76" s="335">
        <f t="shared" ref="M76:AG76" si="60">M29/M$49</f>
        <v>2.665323968166285E-2</v>
      </c>
      <c r="N76" s="335">
        <f t="shared" si="60"/>
        <v>2.6549446860019362E-2</v>
      </c>
      <c r="O76" s="335">
        <f t="shared" si="60"/>
        <v>2.6331936707551469E-2</v>
      </c>
      <c r="P76" s="335">
        <f t="shared" si="60"/>
        <v>2.9069794566726325E-2</v>
      </c>
      <c r="Q76" s="335">
        <f t="shared" si="60"/>
        <v>2.763110098465282E-2</v>
      </c>
      <c r="R76" s="335">
        <f t="shared" si="60"/>
        <v>2.9269223250231367E-2</v>
      </c>
      <c r="S76" s="335">
        <f t="shared" si="60"/>
        <v>2.7847976233172596E-2</v>
      </c>
      <c r="T76" s="335">
        <f t="shared" si="60"/>
        <v>2.857501732522652E-2</v>
      </c>
      <c r="U76" s="335">
        <f t="shared" si="60"/>
        <v>2.5000139901519742E-2</v>
      </c>
      <c r="V76" s="335">
        <f t="shared" si="60"/>
        <v>2.3892487866987479E-2</v>
      </c>
      <c r="W76" s="335">
        <f t="shared" si="60"/>
        <v>1.8907217548721766E-2</v>
      </c>
      <c r="X76" s="335">
        <f t="shared" si="60"/>
        <v>2.0219189628316352E-2</v>
      </c>
      <c r="Y76" s="335">
        <f t="shared" si="60"/>
        <v>2.0292646228364606E-2</v>
      </c>
      <c r="Z76" s="335">
        <f t="shared" si="60"/>
        <v>2.0577904286149053E-2</v>
      </c>
      <c r="AA76" s="335">
        <f t="shared" si="60"/>
        <v>2.0783872692616823E-2</v>
      </c>
      <c r="AB76" s="335">
        <f t="shared" si="60"/>
        <v>2.0839057935716051E-2</v>
      </c>
      <c r="AC76" s="335">
        <f t="shared" si="60"/>
        <v>2.0900460733093283E-2</v>
      </c>
      <c r="AD76" s="335">
        <f t="shared" si="60"/>
        <v>2.0949166091413396E-2</v>
      </c>
      <c r="AE76" s="335">
        <f t="shared" si="60"/>
        <v>2.097969149763404E-2</v>
      </c>
      <c r="AF76" s="335">
        <f t="shared" si="60"/>
        <v>2.1008210968253914E-2</v>
      </c>
      <c r="AG76" s="335">
        <f t="shared" si="60"/>
        <v>2.1050530581505363E-2</v>
      </c>
      <c r="AH76" s="335">
        <f t="shared" ref="AH76:AL76" si="61">AH29/AH$49</f>
        <v>2.1090693164579982E-2</v>
      </c>
      <c r="AI76" s="335">
        <f t="shared" si="61"/>
        <v>2.1126926330100129E-2</v>
      </c>
      <c r="AJ76" s="335">
        <f t="shared" si="61"/>
        <v>2.1156667010698214E-2</v>
      </c>
      <c r="AK76" s="335">
        <f t="shared" si="61"/>
        <v>2.1185616952945668E-2</v>
      </c>
      <c r="AL76" s="335">
        <f t="shared" si="61"/>
        <v>2.1212661288098223E-2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</row>
    <row r="77" spans="12:53" x14ac:dyDescent="0.2">
      <c r="L77" s="232" t="str">
        <f>'Occ T3'!A32</f>
        <v>54 Textiles, printing and other skilled trades</v>
      </c>
      <c r="M77" s="335">
        <f t="shared" ref="M77:AG77" si="62">M30/M$49</f>
        <v>2.1406894814371771E-2</v>
      </c>
      <c r="N77" s="335">
        <f t="shared" si="62"/>
        <v>2.1118823376964645E-2</v>
      </c>
      <c r="O77" s="335">
        <f t="shared" si="62"/>
        <v>2.2470211924181967E-2</v>
      </c>
      <c r="P77" s="335">
        <f t="shared" si="62"/>
        <v>2.2098767652776297E-2</v>
      </c>
      <c r="Q77" s="335">
        <f t="shared" si="62"/>
        <v>2.3224049095014371E-2</v>
      </c>
      <c r="R77" s="335">
        <f t="shared" si="62"/>
        <v>2.3142341255271981E-2</v>
      </c>
      <c r="S77" s="335">
        <f t="shared" si="62"/>
        <v>2.2510319468924116E-2</v>
      </c>
      <c r="T77" s="335">
        <f t="shared" si="62"/>
        <v>2.255778841608096E-2</v>
      </c>
      <c r="U77" s="335">
        <f t="shared" si="62"/>
        <v>2.2421789537906012E-2</v>
      </c>
      <c r="V77" s="335">
        <f t="shared" si="62"/>
        <v>2.1599214254824941E-2</v>
      </c>
      <c r="W77" s="335">
        <f t="shared" si="62"/>
        <v>1.9062038847999417E-2</v>
      </c>
      <c r="X77" s="335">
        <f t="shared" si="62"/>
        <v>1.8725641182165333E-2</v>
      </c>
      <c r="Y77" s="335">
        <f t="shared" si="62"/>
        <v>1.8773173615716975E-2</v>
      </c>
      <c r="Z77" s="335">
        <f t="shared" si="62"/>
        <v>1.8896209290055671E-2</v>
      </c>
      <c r="AA77" s="335">
        <f t="shared" si="62"/>
        <v>1.8989306648857712E-2</v>
      </c>
      <c r="AB77" s="335">
        <f t="shared" si="62"/>
        <v>1.9037183497181375E-2</v>
      </c>
      <c r="AC77" s="335">
        <f t="shared" si="62"/>
        <v>1.9087562104131938E-2</v>
      </c>
      <c r="AD77" s="335">
        <f t="shared" si="62"/>
        <v>1.9227181941457533E-2</v>
      </c>
      <c r="AE77" s="335">
        <f t="shared" si="62"/>
        <v>1.9306752997703822E-2</v>
      </c>
      <c r="AF77" s="335">
        <f t="shared" si="62"/>
        <v>1.9376172118057883E-2</v>
      </c>
      <c r="AG77" s="335">
        <f t="shared" si="62"/>
        <v>1.943391353710916E-2</v>
      </c>
      <c r="AH77" s="335">
        <f t="shared" ref="AH77:AL77" si="63">AH30/AH$49</f>
        <v>1.9469616179001805E-2</v>
      </c>
      <c r="AI77" s="335">
        <f t="shared" si="63"/>
        <v>1.9499262072431398E-2</v>
      </c>
      <c r="AJ77" s="335">
        <f t="shared" si="63"/>
        <v>1.9525820560044711E-2</v>
      </c>
      <c r="AK77" s="335">
        <f t="shared" si="63"/>
        <v>1.9481942458087667E-2</v>
      </c>
      <c r="AL77" s="335">
        <f t="shared" si="63"/>
        <v>1.9547683174024975E-2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</row>
    <row r="78" spans="12:53" x14ac:dyDescent="0.2">
      <c r="L78" s="232"/>
      <c r="M78" s="335"/>
      <c r="N78" s="335"/>
      <c r="O78" s="335"/>
      <c r="P78" s="335"/>
      <c r="Q78" s="335"/>
      <c r="R78" s="335"/>
      <c r="S78" s="335"/>
      <c r="T78" s="335"/>
      <c r="U78" s="335"/>
      <c r="V78" s="335"/>
      <c r="W78" s="335"/>
      <c r="X78" s="335"/>
      <c r="Y78" s="335"/>
      <c r="Z78" s="335"/>
      <c r="AA78" s="335"/>
      <c r="AB78" s="335"/>
      <c r="AC78" s="335"/>
      <c r="AD78" s="335"/>
      <c r="AE78" s="335"/>
      <c r="AF78" s="335"/>
      <c r="AG78" s="335"/>
      <c r="AH78" s="335"/>
      <c r="AI78" s="335"/>
      <c r="AJ78" s="335"/>
      <c r="AK78" s="335"/>
      <c r="AL78" s="335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</row>
    <row r="79" spans="12:53" x14ac:dyDescent="0.2">
      <c r="L79" s="16" t="str">
        <f>'Occ T3'!A34</f>
        <v>Caring, leisure and other service occupations</v>
      </c>
      <c r="M79" s="336">
        <f>M32/M$49</f>
        <v>6.6795700305151293E-2</v>
      </c>
      <c r="N79" s="336">
        <f t="shared" ref="N79:AG79" si="64">N32/N$49</f>
        <v>6.5481341507590385E-2</v>
      </c>
      <c r="O79" s="336">
        <f t="shared" si="64"/>
        <v>6.287498046047843E-2</v>
      </c>
      <c r="P79" s="336">
        <f t="shared" si="64"/>
        <v>6.6723747763758431E-2</v>
      </c>
      <c r="Q79" s="336">
        <f t="shared" si="64"/>
        <v>6.5161829459962128E-2</v>
      </c>
      <c r="R79" s="336">
        <f t="shared" si="64"/>
        <v>6.4434261434292192E-2</v>
      </c>
      <c r="S79" s="336">
        <f t="shared" si="64"/>
        <v>6.5901354335437298E-2</v>
      </c>
      <c r="T79" s="336">
        <f t="shared" si="64"/>
        <v>6.5362938006374827E-2</v>
      </c>
      <c r="U79" s="336">
        <f t="shared" si="64"/>
        <v>6.2556893531825586E-2</v>
      </c>
      <c r="V79" s="336">
        <f t="shared" si="64"/>
        <v>6.3683347739599563E-2</v>
      </c>
      <c r="W79" s="336">
        <f t="shared" si="64"/>
        <v>6.0362339825530582E-2</v>
      </c>
      <c r="X79" s="336">
        <f t="shared" si="64"/>
        <v>6.1941774180380375E-2</v>
      </c>
      <c r="Y79" s="336">
        <f t="shared" si="64"/>
        <v>6.2102488841822165E-2</v>
      </c>
      <c r="Z79" s="336">
        <f t="shared" si="64"/>
        <v>6.2121250595168841E-2</v>
      </c>
      <c r="AA79" s="336">
        <f t="shared" si="64"/>
        <v>6.2196332065434706E-2</v>
      </c>
      <c r="AB79" s="336">
        <f t="shared" si="64"/>
        <v>6.227999027651273E-2</v>
      </c>
      <c r="AC79" s="336">
        <f t="shared" si="64"/>
        <v>6.2358980248985459E-2</v>
      </c>
      <c r="AD79" s="336">
        <f t="shared" si="64"/>
        <v>6.2427485829841936E-2</v>
      </c>
      <c r="AE79" s="336">
        <f t="shared" si="64"/>
        <v>6.2520732879945057E-2</v>
      </c>
      <c r="AF79" s="336">
        <f t="shared" si="64"/>
        <v>6.2568900045891662E-2</v>
      </c>
      <c r="AG79" s="336">
        <f t="shared" si="64"/>
        <v>6.2621837310483153E-2</v>
      </c>
      <c r="AH79" s="336">
        <f t="shared" ref="AH79:AL79" si="65">AH32/AH$49</f>
        <v>6.2680973212572821E-2</v>
      </c>
      <c r="AI79" s="336">
        <f t="shared" si="65"/>
        <v>6.2749524713229435E-2</v>
      </c>
      <c r="AJ79" s="336">
        <f t="shared" si="65"/>
        <v>6.281930533283854E-2</v>
      </c>
      <c r="AK79" s="336">
        <f t="shared" si="65"/>
        <v>6.2912249643917464E-2</v>
      </c>
      <c r="AL79" s="336">
        <f t="shared" si="65"/>
        <v>6.3024967152773462E-2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</row>
    <row r="80" spans="12:53" x14ac:dyDescent="0.2">
      <c r="L80" s="232" t="str">
        <f>'Occ T3'!A35</f>
        <v>61 Caring personal service occupations</v>
      </c>
      <c r="M80" s="335">
        <f t="shared" ref="M80:AG80" si="66">M33/M$49</f>
        <v>4.6429985785282256E-2</v>
      </c>
      <c r="N80" s="335">
        <f t="shared" si="66"/>
        <v>4.4875413310505756E-2</v>
      </c>
      <c r="O80" s="335">
        <f t="shared" si="66"/>
        <v>4.327056619177122E-2</v>
      </c>
      <c r="P80" s="335">
        <f t="shared" si="66"/>
        <v>4.6021045447334583E-2</v>
      </c>
      <c r="Q80" s="335">
        <f t="shared" si="66"/>
        <v>4.6265710244479098E-2</v>
      </c>
      <c r="R80" s="335">
        <f t="shared" si="66"/>
        <v>4.5393725068790129E-2</v>
      </c>
      <c r="S80" s="335">
        <f t="shared" si="66"/>
        <v>4.6939826585088551E-2</v>
      </c>
      <c r="T80" s="335">
        <f t="shared" si="66"/>
        <v>4.6261501880241626E-2</v>
      </c>
      <c r="U80" s="335">
        <f t="shared" si="66"/>
        <v>4.5216509772258585E-2</v>
      </c>
      <c r="V80" s="335">
        <f t="shared" si="66"/>
        <v>4.4363620982588101E-2</v>
      </c>
      <c r="W80" s="335">
        <f t="shared" si="66"/>
        <v>4.2470444447379345E-2</v>
      </c>
      <c r="X80" s="335">
        <f t="shared" si="66"/>
        <v>4.4117228892749702E-2</v>
      </c>
      <c r="Y80" s="335">
        <f t="shared" si="66"/>
        <v>4.4127040392539743E-2</v>
      </c>
      <c r="Z80" s="335">
        <f t="shared" si="66"/>
        <v>4.4117829803289113E-2</v>
      </c>
      <c r="AA80" s="335">
        <f t="shared" si="66"/>
        <v>4.4179876966591668E-2</v>
      </c>
      <c r="AB80" s="335">
        <f t="shared" si="66"/>
        <v>4.4232419570769288E-2</v>
      </c>
      <c r="AC80" s="335">
        <f t="shared" si="66"/>
        <v>4.4279596694272561E-2</v>
      </c>
      <c r="AD80" s="335">
        <f t="shared" si="66"/>
        <v>4.4318243293007258E-2</v>
      </c>
      <c r="AE80" s="335">
        <f t="shared" si="66"/>
        <v>4.4361632287409768E-2</v>
      </c>
      <c r="AF80" s="335">
        <f t="shared" si="66"/>
        <v>4.4374006382490491E-2</v>
      </c>
      <c r="AG80" s="335">
        <f t="shared" si="66"/>
        <v>4.4386163162959603E-2</v>
      </c>
      <c r="AH80" s="335">
        <f t="shared" ref="AH80:AL80" si="67">AH33/AH$49</f>
        <v>4.4402314648440425E-2</v>
      </c>
      <c r="AI80" s="335">
        <f t="shared" si="67"/>
        <v>4.4423844950187044E-2</v>
      </c>
      <c r="AJ80" s="335">
        <f t="shared" si="67"/>
        <v>4.4448801412677381E-2</v>
      </c>
      <c r="AK80" s="335">
        <f t="shared" si="67"/>
        <v>4.4496612470002479E-2</v>
      </c>
      <c r="AL80" s="335">
        <f t="shared" si="67"/>
        <v>4.4544094070002122E-2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</row>
    <row r="81" spans="12:53" x14ac:dyDescent="0.2">
      <c r="L81" s="232" t="str">
        <f>'Occ T3'!A36</f>
        <v>62 Leisure, travel and related personal service occupations</v>
      </c>
      <c r="M81" s="335">
        <f t="shared" ref="M81:AG82" si="68">M34/M$49</f>
        <v>1.8706018815323477E-2</v>
      </c>
      <c r="N81" s="335">
        <f t="shared" si="68"/>
        <v>1.9385438812977693E-2</v>
      </c>
      <c r="O81" s="335">
        <f t="shared" si="68"/>
        <v>1.8420235543190073E-2</v>
      </c>
      <c r="P81" s="335">
        <f t="shared" si="68"/>
        <v>1.96323040069868E-2</v>
      </c>
      <c r="Q81" s="335">
        <f t="shared" si="68"/>
        <v>1.7736086284606711E-2</v>
      </c>
      <c r="R81" s="335">
        <f t="shared" si="68"/>
        <v>1.7975095250019002E-2</v>
      </c>
      <c r="S81" s="335">
        <f t="shared" si="68"/>
        <v>1.8052090407562775E-2</v>
      </c>
      <c r="T81" s="335">
        <f t="shared" si="68"/>
        <v>1.8149310555788101E-2</v>
      </c>
      <c r="U81" s="335">
        <f t="shared" si="68"/>
        <v>1.641788915053527E-2</v>
      </c>
      <c r="V81" s="335">
        <f t="shared" si="68"/>
        <v>1.8420141158486225E-2</v>
      </c>
      <c r="W81" s="335">
        <f t="shared" si="68"/>
        <v>1.6756878690781168E-2</v>
      </c>
      <c r="X81" s="335">
        <f t="shared" si="68"/>
        <v>1.6913037132422613E-2</v>
      </c>
      <c r="Y81" s="335">
        <f t="shared" si="68"/>
        <v>1.7062972355031146E-2</v>
      </c>
      <c r="Z81" s="335">
        <f t="shared" si="68"/>
        <v>1.7090184281234724E-2</v>
      </c>
      <c r="AA81" s="335">
        <f t="shared" si="68"/>
        <v>1.710273240943894E-2</v>
      </c>
      <c r="AB81" s="335">
        <f t="shared" si="68"/>
        <v>1.7135531140122926E-2</v>
      </c>
      <c r="AC81" s="335">
        <f t="shared" si="68"/>
        <v>1.7167603146473264E-2</v>
      </c>
      <c r="AD81" s="335">
        <f t="shared" si="68"/>
        <v>1.7197597305277458E-2</v>
      </c>
      <c r="AE81" s="335">
        <f t="shared" si="68"/>
        <v>1.7245284092844596E-2</v>
      </c>
      <c r="AF81" s="335">
        <f t="shared" si="68"/>
        <v>1.7282553007294511E-2</v>
      </c>
      <c r="AG81" s="335">
        <f t="shared" si="68"/>
        <v>1.7321475413700039E-2</v>
      </c>
      <c r="AH81" s="335">
        <f t="shared" ref="AH81:AL81" si="69">AH34/AH$49</f>
        <v>1.7362362850234989E-2</v>
      </c>
      <c r="AI81" s="335">
        <f t="shared" si="69"/>
        <v>1.7406122065903255E-2</v>
      </c>
      <c r="AJ81" s="335">
        <f t="shared" si="69"/>
        <v>1.7450322562398847E-2</v>
      </c>
      <c r="AK81" s="335">
        <f t="shared" si="69"/>
        <v>1.7491498608766698E-2</v>
      </c>
      <c r="AL81" s="335">
        <f t="shared" si="69"/>
        <v>1.7556619259240427E-2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</row>
    <row r="82" spans="12:53" x14ac:dyDescent="0.2">
      <c r="L82" s="232" t="str">
        <f>'Occ T3'!A37</f>
        <v>63 Community and civil enforcement occupations</v>
      </c>
      <c r="M82" s="335">
        <f>M35/M$49</f>
        <v>1.659695704545563E-3</v>
      </c>
      <c r="N82" s="335">
        <f t="shared" si="68"/>
        <v>1.2204893841069437E-3</v>
      </c>
      <c r="O82" s="335">
        <f t="shared" si="68"/>
        <v>1.1841787255171357E-3</v>
      </c>
      <c r="P82" s="335">
        <f t="shared" si="68"/>
        <v>1.0703983094370558E-3</v>
      </c>
      <c r="Q82" s="335">
        <f t="shared" si="68"/>
        <v>1.1600329308763253E-3</v>
      </c>
      <c r="R82" s="335">
        <f t="shared" si="68"/>
        <v>1.0654411154830629E-3</v>
      </c>
      <c r="S82" s="335">
        <f t="shared" si="68"/>
        <v>9.0943734278597021E-4</v>
      </c>
      <c r="T82" s="335">
        <f t="shared" si="68"/>
        <v>9.5212557034510075E-4</v>
      </c>
      <c r="U82" s="335">
        <f t="shared" si="68"/>
        <v>9.2249460903174002E-4</v>
      </c>
      <c r="V82" s="335">
        <f t="shared" si="68"/>
        <v>8.9958559852522748E-4</v>
      </c>
      <c r="W82" s="335">
        <f t="shared" si="68"/>
        <v>1.1350166873700751E-3</v>
      </c>
      <c r="X82" s="335">
        <f t="shared" si="68"/>
        <v>9.1150815520806157E-4</v>
      </c>
      <c r="Y82" s="335">
        <f t="shared" si="68"/>
        <v>9.1247609425127612E-4</v>
      </c>
      <c r="Z82" s="335">
        <f t="shared" si="68"/>
        <v>9.132365106450049E-4</v>
      </c>
      <c r="AA82" s="335">
        <f t="shared" si="68"/>
        <v>9.1372268940410407E-4</v>
      </c>
      <c r="AB82" s="335">
        <f t="shared" si="68"/>
        <v>9.1203956562052385E-4</v>
      </c>
      <c r="AC82" s="335">
        <f t="shared" si="68"/>
        <v>9.1178040823962153E-4</v>
      </c>
      <c r="AD82" s="335">
        <f t="shared" si="68"/>
        <v>9.1164523155722141E-4</v>
      </c>
      <c r="AE82" s="335">
        <f t="shared" si="68"/>
        <v>9.1381649969069422E-4</v>
      </c>
      <c r="AF82" s="335">
        <f t="shared" si="68"/>
        <v>9.1234065610664914E-4</v>
      </c>
      <c r="AG82" s="335">
        <f t="shared" si="68"/>
        <v>9.1419873382351494E-4</v>
      </c>
      <c r="AH82" s="335">
        <f t="shared" ref="AH82:AL82" si="70">AH35/AH$49</f>
        <v>9.1629571389740812E-4</v>
      </c>
      <c r="AI82" s="335">
        <f t="shared" si="70"/>
        <v>9.1955769713913493E-4</v>
      </c>
      <c r="AJ82" s="335">
        <f t="shared" si="70"/>
        <v>9.2018135776231853E-4</v>
      </c>
      <c r="AK82" s="335">
        <f t="shared" si="70"/>
        <v>9.2413856514828323E-4</v>
      </c>
      <c r="AL82" s="335">
        <f t="shared" si="70"/>
        <v>9.2425382353091175E-4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</row>
    <row r="83" spans="12:53" x14ac:dyDescent="0.2">
      <c r="L83" s="232"/>
      <c r="M83" s="335"/>
      <c r="N83" s="335"/>
      <c r="O83" s="335"/>
      <c r="P83" s="335"/>
      <c r="Q83" s="335"/>
      <c r="R83" s="335"/>
      <c r="S83" s="335"/>
      <c r="T83" s="335"/>
      <c r="U83" s="335"/>
      <c r="V83" s="335"/>
      <c r="W83" s="335"/>
      <c r="X83" s="335"/>
      <c r="Y83" s="335"/>
      <c r="Z83" s="335"/>
      <c r="AA83" s="335"/>
      <c r="AB83" s="335"/>
      <c r="AC83" s="335"/>
      <c r="AD83" s="335"/>
      <c r="AE83" s="335"/>
      <c r="AF83" s="335"/>
      <c r="AG83" s="335"/>
      <c r="AH83" s="335"/>
      <c r="AI83" s="335"/>
      <c r="AJ83" s="335"/>
      <c r="AK83" s="335"/>
      <c r="AL83" s="335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</row>
    <row r="84" spans="12:53" x14ac:dyDescent="0.2">
      <c r="L84" s="16" t="str">
        <f>'Occ T3'!A39</f>
        <v>Sales and customer service occupations</v>
      </c>
      <c r="M84" s="336">
        <f t="shared" ref="M84:AG84" si="71">M37/M$49</f>
        <v>7.256290087550675E-2</v>
      </c>
      <c r="N84" s="336">
        <f t="shared" si="71"/>
        <v>7.3504802642460468E-2</v>
      </c>
      <c r="O84" s="336">
        <f t="shared" si="71"/>
        <v>7.5679611549832049E-2</v>
      </c>
      <c r="P84" s="336">
        <f t="shared" si="71"/>
        <v>7.1912436191118437E-2</v>
      </c>
      <c r="Q84" s="336">
        <f t="shared" si="71"/>
        <v>6.9269512975732486E-2</v>
      </c>
      <c r="R84" s="336">
        <f t="shared" si="71"/>
        <v>7.1009362984978786E-2</v>
      </c>
      <c r="S84" s="336">
        <f t="shared" si="71"/>
        <v>6.6762325409815679E-2</v>
      </c>
      <c r="T84" s="336">
        <f t="shared" si="71"/>
        <v>6.5734286069801334E-2</v>
      </c>
      <c r="U84" s="336">
        <f t="shared" si="71"/>
        <v>6.6532232061576449E-2</v>
      </c>
      <c r="V84" s="336">
        <f t="shared" si="71"/>
        <v>6.1686225543666762E-2</v>
      </c>
      <c r="W84" s="336">
        <f t="shared" si="71"/>
        <v>6.0973764064283849E-2</v>
      </c>
      <c r="X84" s="336">
        <f t="shared" si="71"/>
        <v>6.0220113149250402E-2</v>
      </c>
      <c r="Y84" s="336">
        <f t="shared" si="71"/>
        <v>5.9707428954750098E-2</v>
      </c>
      <c r="Z84" s="336">
        <f t="shared" si="71"/>
        <v>5.938088397193831E-2</v>
      </c>
      <c r="AA84" s="336">
        <f t="shared" si="71"/>
        <v>5.9063803130265539E-2</v>
      </c>
      <c r="AB84" s="336">
        <f t="shared" si="71"/>
        <v>5.8785961054352256E-2</v>
      </c>
      <c r="AC84" s="336">
        <f t="shared" si="71"/>
        <v>5.8482213329715198E-2</v>
      </c>
      <c r="AD84" s="336">
        <f t="shared" si="71"/>
        <v>5.8208235510172297E-2</v>
      </c>
      <c r="AE84" s="336">
        <f t="shared" si="71"/>
        <v>5.7933069536424991E-2</v>
      </c>
      <c r="AF84" s="336">
        <f t="shared" si="71"/>
        <v>5.7653641600248016E-2</v>
      </c>
      <c r="AG84" s="336">
        <f t="shared" si="71"/>
        <v>5.7348696056153663E-2</v>
      </c>
      <c r="AH84" s="336">
        <f t="shared" ref="AH84:AL84" si="72">AH37/AH$49</f>
        <v>5.7035260986497943E-2</v>
      </c>
      <c r="AI84" s="336">
        <f t="shared" si="72"/>
        <v>5.6714643352641245E-2</v>
      </c>
      <c r="AJ84" s="336">
        <f t="shared" si="72"/>
        <v>5.639888003711481E-2</v>
      </c>
      <c r="AK84" s="336">
        <f t="shared" si="72"/>
        <v>5.606869674199174E-2</v>
      </c>
      <c r="AL84" s="336">
        <f t="shared" si="72"/>
        <v>5.5770164847901628E-2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</row>
    <row r="85" spans="12:53" x14ac:dyDescent="0.2">
      <c r="L85" s="232" t="str">
        <f>'Occ T3'!A40</f>
        <v>71 Sales occupations</v>
      </c>
      <c r="M85" s="335">
        <f t="shared" ref="M85:AG85" si="73">M38/M$49</f>
        <v>5.7892822347580711E-2</v>
      </c>
      <c r="N85" s="335">
        <f t="shared" si="73"/>
        <v>5.9034579424583962E-2</v>
      </c>
      <c r="O85" s="335">
        <f t="shared" si="73"/>
        <v>6.1529605864465875E-2</v>
      </c>
      <c r="P85" s="335">
        <f t="shared" si="73"/>
        <v>5.7963963660267195E-2</v>
      </c>
      <c r="Q85" s="335">
        <f t="shared" si="73"/>
        <v>5.6283452014087014E-2</v>
      </c>
      <c r="R85" s="335">
        <f t="shared" si="73"/>
        <v>5.6993988952925997E-2</v>
      </c>
      <c r="S85" s="335">
        <f t="shared" si="73"/>
        <v>5.3616050177912683E-2</v>
      </c>
      <c r="T85" s="335">
        <f t="shared" si="73"/>
        <v>5.1600666450334003E-2</v>
      </c>
      <c r="U85" s="335">
        <f t="shared" si="73"/>
        <v>5.2155216055194763E-2</v>
      </c>
      <c r="V85" s="335">
        <f t="shared" si="73"/>
        <v>4.7543402200728904E-2</v>
      </c>
      <c r="W85" s="335">
        <f t="shared" si="73"/>
        <v>4.6672116376548098E-2</v>
      </c>
      <c r="X85" s="335">
        <f t="shared" si="73"/>
        <v>4.3136058427125201E-2</v>
      </c>
      <c r="Y85" s="335">
        <f t="shared" si="73"/>
        <v>4.2534893732694375E-2</v>
      </c>
      <c r="Z85" s="335">
        <f t="shared" si="73"/>
        <v>4.2111238037830206E-2</v>
      </c>
      <c r="AA85" s="335">
        <f t="shared" si="73"/>
        <v>4.169342096056107E-2</v>
      </c>
      <c r="AB85" s="335">
        <f t="shared" si="73"/>
        <v>4.1307108447237784E-2</v>
      </c>
      <c r="AC85" s="335">
        <f t="shared" si="73"/>
        <v>4.0904579911418493E-2</v>
      </c>
      <c r="AD85" s="335">
        <f t="shared" si="73"/>
        <v>4.0553008816792524E-2</v>
      </c>
      <c r="AE85" s="335">
        <f t="shared" si="73"/>
        <v>4.02104402052492E-2</v>
      </c>
      <c r="AF85" s="335">
        <f t="shared" si="73"/>
        <v>3.9859165784425978E-2</v>
      </c>
      <c r="AG85" s="335">
        <f t="shared" si="73"/>
        <v>3.9488582330976574E-2</v>
      </c>
      <c r="AH85" s="335">
        <f t="shared" ref="AH85:AL85" si="74">AH38/AH$49</f>
        <v>3.9108492234210902E-2</v>
      </c>
      <c r="AI85" s="335">
        <f t="shared" si="74"/>
        <v>3.8728643201715249E-2</v>
      </c>
      <c r="AJ85" s="335">
        <f t="shared" si="74"/>
        <v>3.835004090320554E-2</v>
      </c>
      <c r="AK85" s="335">
        <f t="shared" si="74"/>
        <v>3.7967431595693366E-2</v>
      </c>
      <c r="AL85" s="335">
        <f t="shared" si="74"/>
        <v>3.7601523836968513E-2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</row>
    <row r="86" spans="12:53" x14ac:dyDescent="0.2">
      <c r="L86" s="232" t="str">
        <f>'Occ T3'!A41</f>
        <v>72 Customer service occupations</v>
      </c>
      <c r="M86" s="335">
        <f>M39/M$49</f>
        <v>1.4670078527926039E-2</v>
      </c>
      <c r="N86" s="335">
        <f t="shared" ref="N86:AG86" si="75">N39/N$49</f>
        <v>1.4470223217876501E-2</v>
      </c>
      <c r="O86" s="335">
        <f t="shared" si="75"/>
        <v>1.4150005685366184E-2</v>
      </c>
      <c r="P86" s="335">
        <f t="shared" si="75"/>
        <v>1.394847253085124E-2</v>
      </c>
      <c r="Q86" s="335">
        <f t="shared" si="75"/>
        <v>1.2986060961645481E-2</v>
      </c>
      <c r="R86" s="335">
        <f t="shared" si="75"/>
        <v>1.4015374032052797E-2</v>
      </c>
      <c r="S86" s="335">
        <f t="shared" si="75"/>
        <v>1.3146275231902996E-2</v>
      </c>
      <c r="T86" s="335">
        <f t="shared" si="75"/>
        <v>1.4133619619467335E-2</v>
      </c>
      <c r="U86" s="335">
        <f t="shared" si="75"/>
        <v>1.4377016006381681E-2</v>
      </c>
      <c r="V86" s="335">
        <f t="shared" si="75"/>
        <v>1.4142823342937861E-2</v>
      </c>
      <c r="W86" s="335">
        <f t="shared" si="75"/>
        <v>1.4301647687735753E-2</v>
      </c>
      <c r="X86" s="335">
        <f t="shared" si="75"/>
        <v>1.7084054722125208E-2</v>
      </c>
      <c r="Y86" s="335">
        <f t="shared" si="75"/>
        <v>1.7172535222055731E-2</v>
      </c>
      <c r="Z86" s="335">
        <f t="shared" si="75"/>
        <v>1.7269645934108114E-2</v>
      </c>
      <c r="AA86" s="335">
        <f t="shared" si="75"/>
        <v>1.7370382169704462E-2</v>
      </c>
      <c r="AB86" s="335">
        <f t="shared" si="75"/>
        <v>1.7478852607114473E-2</v>
      </c>
      <c r="AC86" s="335">
        <f t="shared" si="75"/>
        <v>1.7577633418296705E-2</v>
      </c>
      <c r="AD86" s="335">
        <f t="shared" si="75"/>
        <v>1.765522669337977E-2</v>
      </c>
      <c r="AE86" s="335">
        <f t="shared" si="75"/>
        <v>1.7722629331175792E-2</v>
      </c>
      <c r="AF86" s="335">
        <f t="shared" si="75"/>
        <v>1.7794475815822032E-2</v>
      </c>
      <c r="AG86" s="335">
        <f t="shared" si="75"/>
        <v>1.7860113725177082E-2</v>
      </c>
      <c r="AH86" s="335">
        <f t="shared" ref="AH86:AL86" si="76">AH39/AH$49</f>
        <v>1.7926768752287044E-2</v>
      </c>
      <c r="AI86" s="335">
        <f t="shared" si="76"/>
        <v>1.7986000150925999E-2</v>
      </c>
      <c r="AJ86" s="335">
        <f t="shared" si="76"/>
        <v>1.8048839133909266E-2</v>
      </c>
      <c r="AK86" s="335">
        <f t="shared" si="76"/>
        <v>1.8101265146298371E-2</v>
      </c>
      <c r="AL86" s="335">
        <f t="shared" si="76"/>
        <v>1.8168641010933115E-2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</row>
    <row r="87" spans="12:53" x14ac:dyDescent="0.2">
      <c r="L87" s="232"/>
      <c r="M87" s="335"/>
      <c r="N87" s="335"/>
      <c r="O87" s="335"/>
      <c r="P87" s="335"/>
      <c r="Q87" s="335"/>
      <c r="R87" s="335"/>
      <c r="S87" s="335"/>
      <c r="T87" s="335"/>
      <c r="U87" s="335"/>
      <c r="V87" s="335"/>
      <c r="W87" s="335"/>
      <c r="X87" s="335"/>
      <c r="Y87" s="335"/>
      <c r="Z87" s="335"/>
      <c r="AA87" s="335"/>
      <c r="AB87" s="335"/>
      <c r="AC87" s="335"/>
      <c r="AD87" s="335"/>
      <c r="AE87" s="335"/>
      <c r="AF87" s="335"/>
      <c r="AG87" s="335"/>
      <c r="AH87" s="335"/>
      <c r="AI87" s="335"/>
      <c r="AJ87" s="335"/>
      <c r="AK87" s="335"/>
      <c r="AL87" s="335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</row>
    <row r="88" spans="12:53" x14ac:dyDescent="0.2">
      <c r="L88" s="16" t="str">
        <f>'Occ T3'!A43</f>
        <v>Process, plant and machine operatives</v>
      </c>
      <c r="M88" s="336">
        <f t="shared" ref="M88:AG88" si="77">M41/M$49</f>
        <v>3.956911527373403E-2</v>
      </c>
      <c r="N88" s="336">
        <f t="shared" si="77"/>
        <v>3.9963070598640099E-2</v>
      </c>
      <c r="O88" s="336">
        <f t="shared" si="77"/>
        <v>3.9177109433015361E-2</v>
      </c>
      <c r="P88" s="336">
        <f t="shared" si="77"/>
        <v>3.8702118405403128E-2</v>
      </c>
      <c r="Q88" s="336">
        <f t="shared" si="77"/>
        <v>3.9500724192620303E-2</v>
      </c>
      <c r="R88" s="336">
        <f t="shared" si="77"/>
        <v>3.9054289604047408E-2</v>
      </c>
      <c r="S88" s="336">
        <f t="shared" si="77"/>
        <v>3.9978295109236721E-2</v>
      </c>
      <c r="T88" s="336">
        <f t="shared" si="77"/>
        <v>4.1166064185756163E-2</v>
      </c>
      <c r="U88" s="336">
        <f t="shared" si="77"/>
        <v>3.874830715315665E-2</v>
      </c>
      <c r="V88" s="336">
        <f t="shared" si="77"/>
        <v>4.0262581724656604E-2</v>
      </c>
      <c r="W88" s="336">
        <f t="shared" si="77"/>
        <v>3.6135733761834023E-2</v>
      </c>
      <c r="X88" s="336">
        <f t="shared" si="77"/>
        <v>3.9726924976939505E-2</v>
      </c>
      <c r="Y88" s="336">
        <f t="shared" si="77"/>
        <v>3.979835467503811E-2</v>
      </c>
      <c r="Z88" s="336">
        <f t="shared" si="77"/>
        <v>3.9720638444933232E-2</v>
      </c>
      <c r="AA88" s="336">
        <f t="shared" si="77"/>
        <v>3.9551575427765405E-2</v>
      </c>
      <c r="AB88" s="336">
        <f t="shared" si="77"/>
        <v>3.9323672192381656E-2</v>
      </c>
      <c r="AC88" s="336">
        <f t="shared" si="77"/>
        <v>3.9103351347716121E-2</v>
      </c>
      <c r="AD88" s="336">
        <f t="shared" si="77"/>
        <v>3.8894112630730823E-2</v>
      </c>
      <c r="AE88" s="336">
        <f t="shared" si="77"/>
        <v>3.8704064328098108E-2</v>
      </c>
      <c r="AF88" s="336">
        <f t="shared" si="77"/>
        <v>3.8518723639140183E-2</v>
      </c>
      <c r="AG88" s="336">
        <f t="shared" si="77"/>
        <v>3.8337470439963273E-2</v>
      </c>
      <c r="AH88" s="336">
        <f t="shared" ref="AH88:AL88" si="78">AH41/AH$49</f>
        <v>3.815593695540466E-2</v>
      </c>
      <c r="AI88" s="336">
        <f t="shared" si="78"/>
        <v>3.7988545504842271E-2</v>
      </c>
      <c r="AJ88" s="336">
        <f t="shared" si="78"/>
        <v>3.7823107714966379E-2</v>
      </c>
      <c r="AK88" s="336">
        <f t="shared" si="78"/>
        <v>3.7648230654418184E-2</v>
      </c>
      <c r="AL88" s="336">
        <f t="shared" si="78"/>
        <v>3.7460648973056627E-2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</row>
    <row r="89" spans="12:53" x14ac:dyDescent="0.2">
      <c r="L89" s="232" t="str">
        <f>'Occ T3'!A44</f>
        <v>81 Process, plant and machine operatives</v>
      </c>
      <c r="M89" s="335">
        <f t="shared" ref="M89:AG89" si="79">M42/M$49</f>
        <v>6.7970598604688692E-3</v>
      </c>
      <c r="N89" s="335">
        <f t="shared" si="79"/>
        <v>6.0522403471802389E-3</v>
      </c>
      <c r="O89" s="335">
        <f t="shared" si="79"/>
        <v>6.3325940418228035E-3</v>
      </c>
      <c r="P89" s="335">
        <f t="shared" si="79"/>
        <v>6.3313524049454671E-3</v>
      </c>
      <c r="Q89" s="335">
        <f t="shared" si="79"/>
        <v>6.2231812162006732E-3</v>
      </c>
      <c r="R89" s="335">
        <f t="shared" si="79"/>
        <v>6.3576023641952308E-3</v>
      </c>
      <c r="S89" s="335">
        <f t="shared" si="79"/>
        <v>6.0103125691904329E-3</v>
      </c>
      <c r="T89" s="335">
        <f t="shared" si="79"/>
        <v>6.1393146641572187E-3</v>
      </c>
      <c r="U89" s="335">
        <f t="shared" si="79"/>
        <v>6.3904985703720297E-3</v>
      </c>
      <c r="V89" s="335">
        <f t="shared" si="79"/>
        <v>5.6896287488776495E-3</v>
      </c>
      <c r="W89" s="335">
        <f t="shared" si="79"/>
        <v>5.2389888940364672E-3</v>
      </c>
      <c r="X89" s="335">
        <f t="shared" si="79"/>
        <v>6.2877370243974631E-3</v>
      </c>
      <c r="Y89" s="335">
        <f t="shared" si="79"/>
        <v>6.2004966737060777E-3</v>
      </c>
      <c r="Z89" s="335">
        <f t="shared" si="79"/>
        <v>6.1972913746116973E-3</v>
      </c>
      <c r="AA89" s="335">
        <f t="shared" si="79"/>
        <v>6.1893755492728802E-3</v>
      </c>
      <c r="AB89" s="335">
        <f t="shared" si="79"/>
        <v>6.1720919735560997E-3</v>
      </c>
      <c r="AC89" s="335">
        <f t="shared" si="79"/>
        <v>6.1555647501977152E-3</v>
      </c>
      <c r="AD89" s="335">
        <f t="shared" si="79"/>
        <v>6.1385810525603846E-3</v>
      </c>
      <c r="AE89" s="335">
        <f t="shared" si="79"/>
        <v>6.1397912632885328E-3</v>
      </c>
      <c r="AF89" s="335">
        <f t="shared" si="79"/>
        <v>6.1506287560573816E-3</v>
      </c>
      <c r="AG89" s="335">
        <f t="shared" si="79"/>
        <v>6.1658500811402313E-3</v>
      </c>
      <c r="AH89" s="335">
        <f t="shared" ref="AH89:AL89" si="80">AH42/AH$49</f>
        <v>6.1825869818024964E-3</v>
      </c>
      <c r="AI89" s="335">
        <f t="shared" si="80"/>
        <v>6.2190017429887912E-3</v>
      </c>
      <c r="AJ89" s="335">
        <f t="shared" si="80"/>
        <v>6.2605522676031679E-3</v>
      </c>
      <c r="AK89" s="335">
        <f t="shared" si="80"/>
        <v>6.2943677333381206E-3</v>
      </c>
      <c r="AL89" s="335">
        <f t="shared" si="80"/>
        <v>6.3262837592605401E-3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</row>
    <row r="90" spans="12:53" x14ac:dyDescent="0.2">
      <c r="L90" s="232" t="str">
        <f>'Occ T3'!A45</f>
        <v>82 Transport and mobile machine drivers and operatives</v>
      </c>
      <c r="M90" s="335">
        <f t="shared" ref="M90:AG90" si="81">M43/M$49</f>
        <v>3.277205541326516E-2</v>
      </c>
      <c r="N90" s="335">
        <f t="shared" si="81"/>
        <v>3.3910830251459863E-2</v>
      </c>
      <c r="O90" s="335">
        <f t="shared" si="81"/>
        <v>3.2844515391192555E-2</v>
      </c>
      <c r="P90" s="335">
        <f t="shared" si="81"/>
        <v>3.2370766000457664E-2</v>
      </c>
      <c r="Q90" s="335">
        <f t="shared" si="81"/>
        <v>3.3277542976419633E-2</v>
      </c>
      <c r="R90" s="335">
        <f t="shared" si="81"/>
        <v>3.2696687239852182E-2</v>
      </c>
      <c r="S90" s="335">
        <f t="shared" si="81"/>
        <v>3.3967982540046286E-2</v>
      </c>
      <c r="T90" s="335">
        <f t="shared" si="81"/>
        <v>3.5026749521598947E-2</v>
      </c>
      <c r="U90" s="335">
        <f t="shared" si="81"/>
        <v>3.2357808582784621E-2</v>
      </c>
      <c r="V90" s="335">
        <f t="shared" si="81"/>
        <v>3.4572952975778955E-2</v>
      </c>
      <c r="W90" s="335">
        <f t="shared" si="81"/>
        <v>3.0896744867797556E-2</v>
      </c>
      <c r="X90" s="335">
        <f t="shared" si="81"/>
        <v>3.343918795254204E-2</v>
      </c>
      <c r="Y90" s="335">
        <f t="shared" si="81"/>
        <v>3.3597858001332033E-2</v>
      </c>
      <c r="Z90" s="335">
        <f t="shared" si="81"/>
        <v>3.3523347070321535E-2</v>
      </c>
      <c r="AA90" s="335">
        <f t="shared" si="81"/>
        <v>3.3362199878492524E-2</v>
      </c>
      <c r="AB90" s="335">
        <f t="shared" si="81"/>
        <v>3.3151580218825562E-2</v>
      </c>
      <c r="AC90" s="335">
        <f t="shared" si="81"/>
        <v>3.2947786597518409E-2</v>
      </c>
      <c r="AD90" s="335">
        <f t="shared" si="81"/>
        <v>3.2755531578170433E-2</v>
      </c>
      <c r="AE90" s="335">
        <f t="shared" si="81"/>
        <v>3.2564273064809572E-2</v>
      </c>
      <c r="AF90" s="335">
        <f t="shared" si="81"/>
        <v>3.2368094883082801E-2</v>
      </c>
      <c r="AG90" s="335">
        <f t="shared" si="81"/>
        <v>3.2171620358823046E-2</v>
      </c>
      <c r="AH90" s="335">
        <f t="shared" ref="AH90:AL90" si="82">AH43/AH$49</f>
        <v>3.1973349973602169E-2</v>
      </c>
      <c r="AI90" s="335">
        <f t="shared" si="82"/>
        <v>3.176954376185348E-2</v>
      </c>
      <c r="AJ90" s="335">
        <f t="shared" si="82"/>
        <v>3.1562555447363215E-2</v>
      </c>
      <c r="AK90" s="335">
        <f t="shared" si="82"/>
        <v>3.1353862921080063E-2</v>
      </c>
      <c r="AL90" s="335">
        <f t="shared" si="82"/>
        <v>3.1134365213796089E-2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</row>
    <row r="91" spans="12:53" x14ac:dyDescent="0.2">
      <c r="L91" s="232"/>
      <c r="M91" s="335"/>
      <c r="N91" s="335"/>
      <c r="O91" s="335"/>
      <c r="P91" s="335"/>
      <c r="Q91" s="335"/>
      <c r="R91" s="335"/>
      <c r="S91" s="335"/>
      <c r="T91" s="335"/>
      <c r="U91" s="335"/>
      <c r="V91" s="335"/>
      <c r="W91" s="335"/>
      <c r="X91" s="335"/>
      <c r="Y91" s="335"/>
      <c r="Z91" s="335"/>
      <c r="AA91" s="335"/>
      <c r="AB91" s="335"/>
      <c r="AC91" s="335"/>
      <c r="AD91" s="335"/>
      <c r="AE91" s="335"/>
      <c r="AF91" s="335"/>
      <c r="AG91" s="335"/>
      <c r="AH91" s="335"/>
      <c r="AI91" s="335"/>
      <c r="AJ91" s="335"/>
      <c r="AK91" s="335"/>
      <c r="AL91" s="335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</row>
    <row r="92" spans="12:53" x14ac:dyDescent="0.2">
      <c r="L92" s="16" t="str">
        <f>'Occ T3'!A47</f>
        <v>Elementary occupations</v>
      </c>
      <c r="M92" s="336">
        <f t="shared" ref="M92:AG92" si="83">M45/M$49</f>
        <v>0.10809507923964713</v>
      </c>
      <c r="N92" s="336">
        <f t="shared" si="83"/>
        <v>0.10240355945519322</v>
      </c>
      <c r="O92" s="336">
        <f t="shared" si="83"/>
        <v>9.9758483737559023E-2</v>
      </c>
      <c r="P92" s="336">
        <f t="shared" si="83"/>
        <v>0.10201766176512</v>
      </c>
      <c r="Q92" s="336">
        <f t="shared" si="83"/>
        <v>9.9228710532503248E-2</v>
      </c>
      <c r="R92" s="336">
        <f t="shared" si="83"/>
        <v>9.7997523605616824E-2</v>
      </c>
      <c r="S92" s="336">
        <f t="shared" si="83"/>
        <v>9.5736657381492937E-2</v>
      </c>
      <c r="T92" s="336">
        <f t="shared" si="83"/>
        <v>9.3597854799863184E-2</v>
      </c>
      <c r="U92" s="336">
        <f t="shared" si="83"/>
        <v>9.3709882622438262E-2</v>
      </c>
      <c r="V92" s="336">
        <f t="shared" si="83"/>
        <v>9.5645973966641484E-2</v>
      </c>
      <c r="W92" s="336">
        <f t="shared" si="83"/>
        <v>8.8167692225336991E-2</v>
      </c>
      <c r="X92" s="336">
        <f t="shared" si="83"/>
        <v>8.8318494865074343E-2</v>
      </c>
      <c r="Y92" s="336">
        <f t="shared" si="83"/>
        <v>8.7385019910072054E-2</v>
      </c>
      <c r="Z92" s="336">
        <f t="shared" si="83"/>
        <v>8.687128743162939E-2</v>
      </c>
      <c r="AA92" s="336">
        <f t="shared" si="83"/>
        <v>8.6397612769185894E-2</v>
      </c>
      <c r="AB92" s="336">
        <f t="shared" si="83"/>
        <v>8.5848492789108263E-2</v>
      </c>
      <c r="AC92" s="336">
        <f t="shared" si="83"/>
        <v>8.5254946987429983E-2</v>
      </c>
      <c r="AD92" s="336">
        <f t="shared" si="83"/>
        <v>8.4704520489333288E-2</v>
      </c>
      <c r="AE92" s="336">
        <f t="shared" si="83"/>
        <v>8.4248461800336932E-2</v>
      </c>
      <c r="AF92" s="336">
        <f t="shared" si="83"/>
        <v>8.3788978073635459E-2</v>
      </c>
      <c r="AG92" s="336">
        <f t="shared" si="83"/>
        <v>8.3358344447633612E-2</v>
      </c>
      <c r="AH92" s="336">
        <f t="shared" ref="AH92:AL92" si="84">AH45/AH$49</f>
        <v>8.2958250500787867E-2</v>
      </c>
      <c r="AI92" s="336">
        <f t="shared" si="84"/>
        <v>8.2545114506470021E-2</v>
      </c>
      <c r="AJ92" s="336">
        <f t="shared" si="84"/>
        <v>8.209179961239331E-2</v>
      </c>
      <c r="AK92" s="336">
        <f t="shared" si="84"/>
        <v>8.1648116074409124E-2</v>
      </c>
      <c r="AL92" s="336">
        <f t="shared" si="84"/>
        <v>8.1272536668543657E-2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</row>
    <row r="93" spans="12:53" x14ac:dyDescent="0.2">
      <c r="L93" s="232" t="str">
        <f>'Occ T3'!A48</f>
        <v>91 Elementary trades and related occupations</v>
      </c>
      <c r="M93" s="335">
        <f t="shared" ref="M93:AG93" si="85">M46/M$49</f>
        <v>8.7476068393324852E-3</v>
      </c>
      <c r="N93" s="335">
        <f t="shared" si="85"/>
        <v>8.2743121425736775E-3</v>
      </c>
      <c r="O93" s="335">
        <f t="shared" si="85"/>
        <v>8.2943124434401092E-3</v>
      </c>
      <c r="P93" s="335">
        <f t="shared" si="85"/>
        <v>7.7461707445669065E-3</v>
      </c>
      <c r="Q93" s="335">
        <f t="shared" si="85"/>
        <v>8.1151058664134593E-3</v>
      </c>
      <c r="R93" s="335">
        <f t="shared" si="85"/>
        <v>7.9156901066809535E-3</v>
      </c>
      <c r="S93" s="335">
        <f t="shared" si="85"/>
        <v>7.5658388617830278E-3</v>
      </c>
      <c r="T93" s="335">
        <f t="shared" si="85"/>
        <v>6.9560221159775878E-3</v>
      </c>
      <c r="U93" s="335">
        <f t="shared" si="85"/>
        <v>6.9522363428929455E-3</v>
      </c>
      <c r="V93" s="335">
        <f t="shared" si="85"/>
        <v>6.7005541460015581E-3</v>
      </c>
      <c r="W93" s="335">
        <f t="shared" si="85"/>
        <v>6.0384605618445265E-3</v>
      </c>
      <c r="X93" s="335">
        <f t="shared" si="85"/>
        <v>4.9904789219432626E-3</v>
      </c>
      <c r="Y93" s="335">
        <f t="shared" si="85"/>
        <v>4.8907810718883411E-3</v>
      </c>
      <c r="Z93" s="335">
        <f t="shared" si="85"/>
        <v>4.8311521402782647E-3</v>
      </c>
      <c r="AA93" s="335">
        <f t="shared" si="85"/>
        <v>4.7709090991208255E-3</v>
      </c>
      <c r="AB93" s="335">
        <f t="shared" si="85"/>
        <v>4.7065745228159284E-3</v>
      </c>
      <c r="AC93" s="335">
        <f t="shared" si="85"/>
        <v>4.6534631276824801E-3</v>
      </c>
      <c r="AD93" s="335">
        <f t="shared" si="85"/>
        <v>4.5982001048716142E-3</v>
      </c>
      <c r="AE93" s="335">
        <f t="shared" si="85"/>
        <v>4.545072110593097E-3</v>
      </c>
      <c r="AF93" s="335">
        <f t="shared" si="85"/>
        <v>4.4979087283626611E-3</v>
      </c>
      <c r="AG93" s="335">
        <f t="shared" si="85"/>
        <v>4.4520972786252942E-3</v>
      </c>
      <c r="AH93" s="335">
        <f t="shared" ref="AH93:AL93" si="86">AH46/AH$49</f>
        <v>4.4043763883916363E-3</v>
      </c>
      <c r="AI93" s="335">
        <f t="shared" si="86"/>
        <v>4.3546635904410025E-3</v>
      </c>
      <c r="AJ93" s="335">
        <f t="shared" si="86"/>
        <v>4.3034415719218058E-3</v>
      </c>
      <c r="AK93" s="335">
        <f t="shared" si="86"/>
        <v>4.2548247793790352E-3</v>
      </c>
      <c r="AL93" s="335">
        <f t="shared" si="86"/>
        <v>4.2061501940698154E-3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</row>
    <row r="94" spans="12:53" x14ac:dyDescent="0.2">
      <c r="L94" s="232" t="str">
        <f>'Occ T3'!A49</f>
        <v>92 Elementary administration and service occupations</v>
      </c>
      <c r="M94" s="335">
        <f t="shared" ref="M94:AG94" si="87">M47/M$49</f>
        <v>9.9347472400314635E-2</v>
      </c>
      <c r="N94" s="335">
        <f t="shared" si="87"/>
        <v>9.4129247312619554E-2</v>
      </c>
      <c r="O94" s="335">
        <f t="shared" si="87"/>
        <v>9.1464171294118907E-2</v>
      </c>
      <c r="P94" s="335">
        <f t="shared" si="87"/>
        <v>9.4271491020553086E-2</v>
      </c>
      <c r="Q94" s="335">
        <f t="shared" si="87"/>
        <v>9.1113604666089781E-2</v>
      </c>
      <c r="R94" s="335">
        <f t="shared" si="87"/>
        <v>9.0081833498935879E-2</v>
      </c>
      <c r="S94" s="335">
        <f t="shared" si="87"/>
        <v>8.8170818519709912E-2</v>
      </c>
      <c r="T94" s="335">
        <f t="shared" si="87"/>
        <v>8.6641832683885603E-2</v>
      </c>
      <c r="U94" s="335">
        <f t="shared" si="87"/>
        <v>8.6757646279545325E-2</v>
      </c>
      <c r="V94" s="335">
        <f t="shared" si="87"/>
        <v>8.8945419820639929E-2</v>
      </c>
      <c r="W94" s="335">
        <f t="shared" si="87"/>
        <v>8.2129231663492466E-2</v>
      </c>
      <c r="X94" s="335">
        <f t="shared" si="87"/>
        <v>8.3328015943131079E-2</v>
      </c>
      <c r="Y94" s="335">
        <f t="shared" si="87"/>
        <v>8.2494238838183714E-2</v>
      </c>
      <c r="Z94" s="335">
        <f t="shared" si="87"/>
        <v>8.204013529135111E-2</v>
      </c>
      <c r="AA94" s="335">
        <f t="shared" si="87"/>
        <v>8.1626703670065068E-2</v>
      </c>
      <c r="AB94" s="335">
        <f t="shared" si="87"/>
        <v>8.1141918266292343E-2</v>
      </c>
      <c r="AC94" s="335">
        <f t="shared" si="87"/>
        <v>8.0601483859747497E-2</v>
      </c>
      <c r="AD94" s="335">
        <f t="shared" si="87"/>
        <v>8.0106320384461679E-2</v>
      </c>
      <c r="AE94" s="335">
        <f t="shared" si="87"/>
        <v>7.9703389689743845E-2</v>
      </c>
      <c r="AF94" s="335">
        <f t="shared" si="87"/>
        <v>7.9291069345272802E-2</v>
      </c>
      <c r="AG94" s="335">
        <f t="shared" si="87"/>
        <v>7.890624716900832E-2</v>
      </c>
      <c r="AH94" s="335">
        <f t="shared" ref="AH94:AL94" si="88">AH47/AH$49</f>
        <v>7.8553874112396227E-2</v>
      </c>
      <c r="AI94" s="335">
        <f t="shared" si="88"/>
        <v>7.8190450916029011E-2</v>
      </c>
      <c r="AJ94" s="335">
        <f t="shared" si="88"/>
        <v>7.7788358040471489E-2</v>
      </c>
      <c r="AK94" s="335">
        <f t="shared" si="88"/>
        <v>7.7393291295030087E-2</v>
      </c>
      <c r="AL94" s="335">
        <f t="shared" si="88"/>
        <v>7.706638647447385E-2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</row>
    <row r="95" spans="12:53" x14ac:dyDescent="0.2">
      <c r="L95" s="232"/>
      <c r="M95" s="335"/>
      <c r="N95" s="335"/>
      <c r="O95" s="335"/>
      <c r="P95" s="335"/>
      <c r="Q95" s="335"/>
      <c r="R95" s="335"/>
      <c r="S95" s="335"/>
      <c r="T95" s="335"/>
      <c r="U95" s="335"/>
      <c r="V95" s="335"/>
      <c r="W95" s="335"/>
      <c r="X95" s="335"/>
      <c r="Y95" s="335"/>
      <c r="Z95" s="335"/>
      <c r="AA95" s="335"/>
      <c r="AB95" s="335"/>
      <c r="AC95" s="335"/>
      <c r="AD95" s="335"/>
      <c r="AE95" s="335"/>
      <c r="AF95" s="335"/>
      <c r="AG95" s="335"/>
      <c r="AH95" s="335"/>
      <c r="AI95" s="335"/>
      <c r="AJ95" s="335"/>
      <c r="AK95" s="335"/>
      <c r="AL95" s="335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</row>
    <row r="96" spans="12:53" x14ac:dyDescent="0.2">
      <c r="L96" s="16" t="str">
        <f>'Occ T3'!A51</f>
        <v>All occupations</v>
      </c>
      <c r="M96" s="336">
        <f t="shared" ref="M96:AG96" si="89">M49/M$49</f>
        <v>1</v>
      </c>
      <c r="N96" s="336">
        <f t="shared" si="89"/>
        <v>1</v>
      </c>
      <c r="O96" s="336">
        <f t="shared" si="89"/>
        <v>1</v>
      </c>
      <c r="P96" s="336">
        <f t="shared" si="89"/>
        <v>1</v>
      </c>
      <c r="Q96" s="336">
        <f t="shared" si="89"/>
        <v>1</v>
      </c>
      <c r="R96" s="336">
        <f t="shared" si="89"/>
        <v>1</v>
      </c>
      <c r="S96" s="336">
        <f t="shared" si="89"/>
        <v>1</v>
      </c>
      <c r="T96" s="336">
        <f t="shared" si="89"/>
        <v>1</v>
      </c>
      <c r="U96" s="336">
        <f t="shared" si="89"/>
        <v>1</v>
      </c>
      <c r="V96" s="336">
        <f t="shared" si="89"/>
        <v>1</v>
      </c>
      <c r="W96" s="336">
        <f t="shared" si="89"/>
        <v>1</v>
      </c>
      <c r="X96" s="336">
        <f t="shared" si="89"/>
        <v>1</v>
      </c>
      <c r="Y96" s="336">
        <f t="shared" si="89"/>
        <v>1</v>
      </c>
      <c r="Z96" s="336">
        <f t="shared" si="89"/>
        <v>1</v>
      </c>
      <c r="AA96" s="336">
        <f t="shared" si="89"/>
        <v>1</v>
      </c>
      <c r="AB96" s="336">
        <f t="shared" si="89"/>
        <v>1</v>
      </c>
      <c r="AC96" s="336">
        <f t="shared" si="89"/>
        <v>1</v>
      </c>
      <c r="AD96" s="336">
        <f t="shared" si="89"/>
        <v>1</v>
      </c>
      <c r="AE96" s="336">
        <f t="shared" si="89"/>
        <v>1</v>
      </c>
      <c r="AF96" s="336">
        <f t="shared" si="89"/>
        <v>1</v>
      </c>
      <c r="AG96" s="336">
        <f t="shared" si="89"/>
        <v>1</v>
      </c>
      <c r="AH96" s="336">
        <f t="shared" ref="AH96:AL96" si="90">AH49/AH$49</f>
        <v>1</v>
      </c>
      <c r="AI96" s="336">
        <f t="shared" si="90"/>
        <v>1</v>
      </c>
      <c r="AJ96" s="336">
        <f t="shared" si="90"/>
        <v>1</v>
      </c>
      <c r="AK96" s="336">
        <f t="shared" si="90"/>
        <v>1</v>
      </c>
      <c r="AL96" s="336">
        <f t="shared" si="90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x14ac:dyDescent="0.2">
      <c r="L116" s="13"/>
      <c r="M116" s="11"/>
      <c r="N116" s="11"/>
      <c r="O116" s="11"/>
      <c r="P116" s="11"/>
    </row>
    <row r="117" spans="1:16" x14ac:dyDescent="0.2">
      <c r="L117" s="13"/>
    </row>
    <row r="118" spans="1:16" ht="15.75" x14ac:dyDescent="0.25">
      <c r="A118" s="79" t="str">
        <f>CONCATENATE("Occupation Figure 2.2  Employment by Occupation, ",$M$2,"-",$O$2,", ",Info!B5)</f>
        <v>Occupation Figure 2.2  Employment by Occupation, 2010-2035, London</v>
      </c>
    </row>
    <row r="145" spans="12:63" s="80" customFormat="1" x14ac:dyDescent="0.2"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64" spans="1:1" ht="15.75" x14ac:dyDescent="0.25">
      <c r="A164" s="79" t="str">
        <f>CONCATENATE("Occupation Figure 2.3  Change in Employment in ",$L$5,", ",$M$2,"-",$O$2,", ",Info!B5)</f>
        <v>Occupation Figure 2.3  Change in Employment in Managers, directors and senior officials, 2010-2035, London</v>
      </c>
    </row>
    <row r="180" spans="12:63" s="80" customFormat="1" x14ac:dyDescent="0.2"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99" spans="1:1" ht="15.75" x14ac:dyDescent="0.25">
      <c r="A199" s="79" t="str">
        <f>CONCATENATE("Occupation Figure 2.4  Change in Employment in ",$L$9,", ",$M$2,"-",$O$2,", ",Info!B5)</f>
        <v>Occupation Figure 2.4  Change in Employment in Professional occupations, 2010-2035, London</v>
      </c>
    </row>
    <row r="215" spans="12:63" s="80" customFormat="1" x14ac:dyDescent="0.2"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34" spans="1:1" ht="15.75" x14ac:dyDescent="0.25">
      <c r="A234" s="79" t="str">
        <f>CONCATENATE("Occupation Figure 2.5  Change in Employment in ",$L$15,", ",$M$2,"-",$O$2,", ",Info!B5)</f>
        <v>Occupation Figure 2.5  Change in Employment in Associate professional occupations, 2010-2035, London</v>
      </c>
    </row>
    <row r="250" spans="12:63" s="80" customFormat="1" x14ac:dyDescent="0.2"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69" spans="1:1" ht="15.75" x14ac:dyDescent="0.25">
      <c r="A269" s="79" t="str">
        <f>CONCATENATE("Occupation Figure 2.6  Change in Employment in ",$L$22,", ",$M$2,"-",$O$2,", ",Info!B5)</f>
        <v>Occupation Figure 2.6  Change in Employment in Administrative and secretarial occupations, 2010-2035, London</v>
      </c>
    </row>
    <row r="285" spans="12:63" s="80" customFormat="1" x14ac:dyDescent="0.2"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</row>
    <row r="304" spans="1:1" ht="15.75" x14ac:dyDescent="0.25">
      <c r="A304" s="79" t="str">
        <f>CONCATENATE("Occupation Figure 2.7  Change in Employment in ",$L$26,", ",$M$2,"- ",$O$2,", ",Info!B5)</f>
        <v>Occupation Figure 2.7  Change in Employment in Skilled trades occupations, 2010- 2035, London</v>
      </c>
    </row>
    <row r="320" spans="12:63" s="80" customFormat="1" x14ac:dyDescent="0.2"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</row>
    <row r="339" spans="1:1" ht="15.75" x14ac:dyDescent="0.25">
      <c r="A339" s="79" t="str">
        <f>CONCATENATE("Occupation Figure 2.8  Change in Employment in ",$L$32,", ",$M$2,"-",$O$2,", ",Info!B5)</f>
        <v>Occupation Figure 2.8  Change in Employment in Caring, leisure and other service occupations, 2010-2035, London</v>
      </c>
    </row>
    <row r="355" spans="12:63" s="80" customFormat="1" x14ac:dyDescent="0.2"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</row>
    <row r="374" spans="1:1" ht="15.75" x14ac:dyDescent="0.25">
      <c r="A374" s="79" t="str">
        <f>CONCATENATE("Occupation Figure 2.9  Change in Employment in ",$L$37,", ",$M$2,"-",$O$2,", ",Info!B5)</f>
        <v>Occupation Figure 2.9  Change in Employment in Sales and customer service occupations, 2010-2035, London</v>
      </c>
    </row>
    <row r="390" spans="12:63" s="80" customFormat="1" x14ac:dyDescent="0.2"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</row>
    <row r="409" spans="1:1" ht="15.75" x14ac:dyDescent="0.25">
      <c r="A409" s="79" t="str">
        <f>CONCATENATE("Occupation Figure 2.10  Change in Employment in ",$L$41,", ",$M$2,"-",$O$2,", ",Info!B5)</f>
        <v>Occupation Figure 2.10  Change in Employment in Process, plant and machine operatives, 2010-2035, London</v>
      </c>
    </row>
    <row r="444" spans="1:1" ht="15.75" x14ac:dyDescent="0.25">
      <c r="A444" s="79" t="str">
        <f>CONCATENATE("Occupation Figure 2.11  Change in Employment in ",$L$45,", ",$M$2,"-",$O$2,", ",Info!B5)</f>
        <v>Occupation Figure 2.11  Change in Employment in Elementary occupations, 2010-2035, London</v>
      </c>
    </row>
    <row r="479" spans="1:12" ht="15.75" x14ac:dyDescent="0.25">
      <c r="A479" s="79" t="str">
        <f>CONCATENATE("Occupation Figure 2.12  Employment Level by Occupation (SOC 2020), ",'Occ T1'!D6," and ",'Occ T1'!F6," (000s)",", ",Info!B5)</f>
        <v>Occupation Figure 2.12  Employment Level by Occupation (SOC 2020), 2020 and 2035 (000s), London</v>
      </c>
      <c r="L479" s="45" t="s">
        <v>423</v>
      </c>
    </row>
    <row r="480" spans="1:12" x14ac:dyDescent="0.2">
      <c r="L480" s="29" t="s">
        <v>424</v>
      </c>
    </row>
    <row r="507" spans="1:12" ht="15.75" x14ac:dyDescent="0.25">
      <c r="A507" s="79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London</v>
      </c>
      <c r="L507" s="45" t="s">
        <v>425</v>
      </c>
    </row>
    <row r="508" spans="1:12" x14ac:dyDescent="0.2">
      <c r="L508" s="29" t="s">
        <v>424</v>
      </c>
    </row>
  </sheetData>
  <conditionalFormatting sqref="L4:AP4">
    <cfRule type="cellIs" dxfId="8" priority="2" stopIfTrue="1" operator="equal">
      <formula>0</formula>
    </cfRule>
  </conditionalFormatting>
  <conditionalFormatting sqref="L51:AL51">
    <cfRule type="cellIs" dxfId="7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8" max="9" man="1"/>
    <brk id="117" max="9" man="1"/>
    <brk id="163" max="9" man="1"/>
    <brk id="233" max="9" man="1"/>
    <brk id="303" max="9" man="1"/>
    <brk id="373" max="9" man="1"/>
    <brk id="443" max="9" man="1"/>
    <brk id="478" max="9" man="1"/>
  </row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8"/>
  <dimension ref="A1:AC19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79" t="str">
        <f>CONCATENATE("Occupation Figure 3  Changes in Occupational Employment Structure (000s) (SOC 2020), ",$W$1,"-",$X$1,", ",Info!B5)</f>
        <v>Occupation Figure 3  Changes in Occupational Employment Structure (000s) (SOC 2020), 2015-2035, London</v>
      </c>
      <c r="W1" t="str">
        <f>LEFT(X3,4)</f>
        <v>2015</v>
      </c>
      <c r="X1" t="str">
        <f>RIGHT(AC3,4)</f>
        <v>2035</v>
      </c>
    </row>
    <row r="2" spans="1:29" x14ac:dyDescent="0.2">
      <c r="A2" s="1" t="s">
        <v>536</v>
      </c>
      <c r="X2" t="s">
        <v>427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98.408933369679971</v>
      </c>
      <c r="Y4" s="11">
        <f>'Occ T1'!D8-'Occ T1'!C8</f>
        <v>0.20230700129320667</v>
      </c>
      <c r="Z4" s="11">
        <f>'Occ T1'!E8-'Occ T1'!D8</f>
        <v>29.017393928036881</v>
      </c>
      <c r="AA4" s="11">
        <f>'Occ T1'!F8-'Occ T1'!E8</f>
        <v>71.336133673654103</v>
      </c>
      <c r="AB4" s="11">
        <f>'Occ T1'!D8-'Occ T1'!B8</f>
        <v>98.611240370973178</v>
      </c>
      <c r="AC4" s="11">
        <f>'Occ T1'!F8-'Occ T1'!D8</f>
        <v>100.35352760169098</v>
      </c>
    </row>
    <row r="5" spans="1:29" x14ac:dyDescent="0.2">
      <c r="W5" s="10" t="str">
        <f>name!E5</f>
        <v>Professional occupations</v>
      </c>
      <c r="X5" s="11">
        <f>'Occ T1'!C9-'Occ T1'!B9</f>
        <v>224.68951882743409</v>
      </c>
      <c r="Y5" s="11">
        <f>'Occ T1'!D9-'Occ T1'!C9</f>
        <v>73.057974156349701</v>
      </c>
      <c r="Z5" s="11">
        <f>'Occ T1'!E9-'Occ T1'!D9</f>
        <v>162.98196194383081</v>
      </c>
      <c r="AA5" s="11">
        <f>'Occ T1'!F9-'Occ T1'!E9</f>
        <v>165.16944650055507</v>
      </c>
      <c r="AB5" s="11">
        <f>'Occ T1'!D9-'Occ T1'!B9</f>
        <v>297.74749298378379</v>
      </c>
      <c r="AC5" s="11">
        <f>'Occ T1'!F9-'Occ T1'!D9</f>
        <v>328.15140844438588</v>
      </c>
    </row>
    <row r="6" spans="1:29" x14ac:dyDescent="0.2">
      <c r="W6" s="10" t="str">
        <f>name!E6</f>
        <v>Associate professional occupations</v>
      </c>
      <c r="X6" s="11">
        <f>'Occ T1'!C10-'Occ T1'!B10</f>
        <v>63.056486588916641</v>
      </c>
      <c r="Y6" s="11">
        <f>'Occ T1'!D10-'Occ T1'!C10</f>
        <v>50.560282287759946</v>
      </c>
      <c r="Z6" s="11">
        <f>'Occ T1'!E10-'Occ T1'!D10</f>
        <v>-2.2312955903169041</v>
      </c>
      <c r="AA6" s="11">
        <f>'Occ T1'!F10-'Occ T1'!E10</f>
        <v>67.622060100981344</v>
      </c>
      <c r="AB6" s="11">
        <f>'Occ T1'!D10-'Occ T1'!B10</f>
        <v>113.61676887667659</v>
      </c>
      <c r="AC6" s="11">
        <f>'Occ T1'!F10-'Occ T1'!D10</f>
        <v>65.39076451066444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-16.773738860639696</v>
      </c>
      <c r="Y7" s="11">
        <f>'Occ T1'!D11-'Occ T1'!C11</f>
        <v>7.4277413719560172</v>
      </c>
      <c r="Z7" s="11">
        <f>'Occ T1'!E11-'Occ T1'!D11</f>
        <v>-38.502273820907476</v>
      </c>
      <c r="AA7" s="11">
        <f>'Occ T1'!F11-'Occ T1'!E11</f>
        <v>-39.703558567111372</v>
      </c>
      <c r="AB7" s="11">
        <f>'Occ T1'!D11-'Occ T1'!B11</f>
        <v>-9.345997488683679</v>
      </c>
      <c r="AC7" s="11">
        <f>'Occ T1'!F11-'Occ T1'!D11</f>
        <v>-78.205832388018848</v>
      </c>
    </row>
    <row r="8" spans="1:29" x14ac:dyDescent="0.2">
      <c r="W8" s="10" t="str">
        <f>name!E8</f>
        <v>Skilled trades occupations</v>
      </c>
      <c r="X8" s="11">
        <f>'Occ T1'!C12-'Occ T1'!B12</f>
        <v>-13.912618079524009</v>
      </c>
      <c r="Y8" s="11">
        <f>'Occ T1'!D12-'Occ T1'!C12</f>
        <v>-62.578782833361799</v>
      </c>
      <c r="Z8" s="11">
        <f>'Occ T1'!E12-'Occ T1'!D12</f>
        <v>27.527991431245198</v>
      </c>
      <c r="AA8" s="11">
        <f>'Occ T1'!F12-'Occ T1'!E12</f>
        <v>19.233536306834878</v>
      </c>
      <c r="AB8" s="11">
        <f>'Occ T1'!D12-'Occ T1'!B12</f>
        <v>-76.491400912885808</v>
      </c>
      <c r="AC8" s="11">
        <f>'Occ T1'!F12-'Occ T1'!D12</f>
        <v>46.761527738080076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21.069072534051827</v>
      </c>
      <c r="Y9" s="11">
        <f>'Occ T1'!D13-'Occ T1'!C13</f>
        <v>-21.802827361014124</v>
      </c>
      <c r="Z9" s="11">
        <f>'Occ T1'!E13-'Occ T1'!D13</f>
        <v>26.452409760370699</v>
      </c>
      <c r="AA9" s="11">
        <f>'Occ T1'!F13-'Occ T1'!E13</f>
        <v>23.601491144958743</v>
      </c>
      <c r="AB9" s="11">
        <f>'Occ T1'!D13-'Occ T1'!B13</f>
        <v>-0.7337548269622971</v>
      </c>
      <c r="AC9" s="11">
        <f>'Occ T1'!F13-'Occ T1'!D13</f>
        <v>50.053900905329442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-27.500677337425998</v>
      </c>
      <c r="Y10" s="11">
        <f>'Occ T1'!D14-'Occ T1'!C14</f>
        <v>-6.2495155298855138</v>
      </c>
      <c r="Z10" s="11">
        <f>'Occ T1'!E14-'Occ T1'!D14</f>
        <v>1.2315033177791861</v>
      </c>
      <c r="AA10" s="11">
        <f>'Occ T1'!F14-'Occ T1'!E14</f>
        <v>-1.8243122858838206</v>
      </c>
      <c r="AB10" s="11">
        <f>'Occ T1'!D14-'Occ T1'!B14</f>
        <v>-33.750192867311512</v>
      </c>
      <c r="AC10" s="11">
        <f>'Occ T1'!F14-'Occ T1'!D14</f>
        <v>-0.59280896810463446</v>
      </c>
    </row>
    <row r="11" spans="1:29" x14ac:dyDescent="0.2">
      <c r="W11" s="10" t="str">
        <f>name!E11</f>
        <v>Process, plant and machine operatives</v>
      </c>
      <c r="X11" s="11">
        <f>'Occ T1'!C15-'Occ T1'!B15</f>
        <v>22.701053469655363</v>
      </c>
      <c r="Y11" s="11">
        <f>'Occ T1'!D15-'Occ T1'!C15</f>
        <v>-25.820704559427412</v>
      </c>
      <c r="Z11" s="11">
        <f>'Occ T1'!E15-'Occ T1'!D15</f>
        <v>28.44106987269592</v>
      </c>
      <c r="AA11" s="11">
        <f>'Occ T1'!F15-'Occ T1'!E15</f>
        <v>-0.22015000877863145</v>
      </c>
      <c r="AB11" s="11">
        <f>'Occ T1'!D15-'Occ T1'!B15</f>
        <v>-3.1196510897720486</v>
      </c>
      <c r="AC11" s="11">
        <f>'Occ T1'!F15-'Occ T1'!D15</f>
        <v>28.220919863917288</v>
      </c>
    </row>
    <row r="12" spans="1:29" x14ac:dyDescent="0.2">
      <c r="W12" s="10" t="str">
        <f>name!E12</f>
        <v>Elementary occupations</v>
      </c>
      <c r="X12" s="11">
        <f>'Occ T1'!C16-'Occ T1'!B16</f>
        <v>24.82296948200792</v>
      </c>
      <c r="Y12" s="11">
        <f>'Occ T1'!D16-'Occ T1'!C16</f>
        <v>-47.532474526604346</v>
      </c>
      <c r="Z12" s="11">
        <f>'Occ T1'!E16-'Occ T1'!D16</f>
        <v>6.9982391626363096</v>
      </c>
      <c r="AA12" s="11">
        <f>'Occ T1'!F16-'Occ T1'!E16</f>
        <v>-3.7776468684488691</v>
      </c>
      <c r="AB12" s="11">
        <f>'Occ T1'!D16-'Occ T1'!B16</f>
        <v>-22.709505044596426</v>
      </c>
      <c r="AC12" s="11">
        <f>'Occ T1'!F16-'Occ T1'!D16</f>
        <v>3.2205922941874405</v>
      </c>
    </row>
    <row r="14" spans="1:29" x14ac:dyDescent="0.2">
      <c r="W14" s="10" t="str">
        <f>name!E3</f>
        <v>All occupations</v>
      </c>
      <c r="X14" s="11">
        <f>'Occ T1'!C18-'Occ T1'!B18</f>
        <v>396.5609999941571</v>
      </c>
      <c r="Y14" s="11">
        <f>'Occ T1'!D18-'Occ T1'!C18</f>
        <v>-32.735999992935831</v>
      </c>
      <c r="Z14" s="11">
        <f>'Occ T1'!E18-'Occ T1'!D18</f>
        <v>241.91700000537094</v>
      </c>
      <c r="AA14" s="11">
        <f>'Occ T1'!F18-'Occ T1'!E18</f>
        <v>301.43699999676301</v>
      </c>
      <c r="AB14" s="11">
        <f>'Occ T1'!D18-'Occ T1'!B18</f>
        <v>363.82500000122127</v>
      </c>
      <c r="AC14" s="11">
        <f>'Occ T1'!F18-'Occ T1'!D18</f>
        <v>543.35400000213394</v>
      </c>
    </row>
    <row r="17" spans="23:26" x14ac:dyDescent="0.2">
      <c r="Y17" s="82" t="s">
        <v>442</v>
      </c>
      <c r="Z17" s="82" t="s">
        <v>443</v>
      </c>
    </row>
    <row r="18" spans="23:26" x14ac:dyDescent="0.2">
      <c r="W18" s="82" t="s">
        <v>444</v>
      </c>
      <c r="X18">
        <f>CEILING(MAX(X4:AA12),IF(MAX(X4:AA12)&lt;100,10,IF(MAX(X4:AA12)&lt;1000,100,1000)))</f>
        <v>300</v>
      </c>
      <c r="Y18">
        <f>MAX(X18,(X19*-1))</f>
        <v>300</v>
      </c>
      <c r="Z18">
        <f>IF(Y18&gt;1000,1000,IF(Y18&gt;500,500,IF(Y18&gt;100,100,IF(Y18&gt;40,20,10))))</f>
        <v>100</v>
      </c>
    </row>
    <row r="19" spans="23:26" x14ac:dyDescent="0.2">
      <c r="W19" s="82" t="s">
        <v>445</v>
      </c>
      <c r="X19">
        <f>FLOOR(MIN(X4:AA12),IF(MIN(X4:AA12)&gt;-100,10,IF(MIN(X4:AA12)&gt;-1000,100,1000)))</f>
        <v>-70</v>
      </c>
      <c r="Y19">
        <f>Y18*-1</f>
        <v>-300</v>
      </c>
    </row>
  </sheetData>
  <pageMargins left="0.7" right="0.7" top="0.75" bottom="0.75" header="0.3" footer="0.3"/>
  <pageSetup paperSize="9" scale="74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79" t="str">
        <f>CONCATENATE("Occupation Figure 4  Occupational Change by Gender (000s) (SOC 2020), ",N1,", ",Info!B5)</f>
        <v>Occupation Figure 4  Occupational Change by Gender (000s) (SOC 2020), 2020-2035, London</v>
      </c>
      <c r="M1" s="82" t="s">
        <v>18</v>
      </c>
      <c r="N1" t="str">
        <f>'Occ T1'!F62</f>
        <v>2020-2035</v>
      </c>
    </row>
    <row r="2" spans="1:16" x14ac:dyDescent="0.2">
      <c r="A2" s="1" t="s">
        <v>536</v>
      </c>
      <c r="M2" s="1" t="s">
        <v>0</v>
      </c>
      <c r="N2" s="82" t="s">
        <v>32</v>
      </c>
      <c r="O2" s="82" t="s">
        <v>99</v>
      </c>
      <c r="P2" s="82" t="s">
        <v>98</v>
      </c>
    </row>
    <row r="3" spans="1:16" x14ac:dyDescent="0.2">
      <c r="M3" s="10" t="str">
        <f>name!E4</f>
        <v>Managers, directors and senior officials</v>
      </c>
      <c r="N3" s="11">
        <f>'Occ T1'!F64</f>
        <v>100.35352760169098</v>
      </c>
      <c r="O3" s="11">
        <f>'Occ T1'!AB64</f>
        <v>57.527166350854202</v>
      </c>
      <c r="P3" s="11">
        <f>'Occ T1'!Q64</f>
        <v>42.826361250836555</v>
      </c>
    </row>
    <row r="4" spans="1:16" x14ac:dyDescent="0.2">
      <c r="M4" s="10" t="str">
        <f>name!E5</f>
        <v>Professional occupations</v>
      </c>
      <c r="N4" s="11">
        <f>'Occ T1'!F65</f>
        <v>328.15140844438588</v>
      </c>
      <c r="O4" s="11">
        <f>'Occ T1'!AB65</f>
        <v>164.08218077070796</v>
      </c>
      <c r="P4" s="11">
        <f>'Occ T1'!Q65</f>
        <v>164.06922767368201</v>
      </c>
    </row>
    <row r="5" spans="1:16" x14ac:dyDescent="0.2">
      <c r="M5" s="10" t="str">
        <f>name!E6</f>
        <v>Associate professional occupations</v>
      </c>
      <c r="N5" s="11">
        <f>'Occ T1'!F66</f>
        <v>65.39076451066444</v>
      </c>
      <c r="O5" s="11">
        <f>'Occ T1'!AB66</f>
        <v>58.349226641972677</v>
      </c>
      <c r="P5" s="11">
        <f>'Occ T1'!Q66</f>
        <v>7.041537868689602</v>
      </c>
    </row>
    <row r="6" spans="1:16" x14ac:dyDescent="0.2">
      <c r="M6" s="10" t="str">
        <f>name!E7</f>
        <v>Administrative and secretarial occupations</v>
      </c>
      <c r="N6" s="11">
        <f>'Occ T1'!F67</f>
        <v>-78.205832388018848</v>
      </c>
      <c r="O6" s="11">
        <f>'Occ T1'!AB67</f>
        <v>-71.327208217398379</v>
      </c>
      <c r="P6" s="11">
        <f>'Occ T1'!Q67</f>
        <v>-6.8786241706207676</v>
      </c>
    </row>
    <row r="7" spans="1:16" x14ac:dyDescent="0.2">
      <c r="M7" s="10" t="str">
        <f>name!E8</f>
        <v>Skilled trades occupations</v>
      </c>
      <c r="N7" s="11">
        <f>'Occ T1'!F68</f>
        <v>46.761527738080076</v>
      </c>
      <c r="O7" s="11">
        <f>'Occ T1'!AB68</f>
        <v>15.398380133334541</v>
      </c>
      <c r="P7" s="11">
        <f>'Occ T1'!Q68</f>
        <v>31.363147604745848</v>
      </c>
    </row>
    <row r="8" spans="1:16" x14ac:dyDescent="0.2">
      <c r="M8" s="10" t="str">
        <f>name!E9</f>
        <v>Caring, leisure and other service occupations</v>
      </c>
      <c r="N8" s="11">
        <f>'Occ T1'!F69</f>
        <v>50.053900905329442</v>
      </c>
      <c r="O8" s="11">
        <f>'Occ T1'!AB69</f>
        <v>21.019529478665419</v>
      </c>
      <c r="P8" s="11">
        <f>'Occ T1'!Q69</f>
        <v>29.034371426663355</v>
      </c>
    </row>
    <row r="9" spans="1:16" x14ac:dyDescent="0.2">
      <c r="M9" s="10" t="str">
        <f>name!E10</f>
        <v>Sales and customer service occupations</v>
      </c>
      <c r="N9" s="11">
        <f>'Occ T1'!F70</f>
        <v>-0.59280896810463446</v>
      </c>
      <c r="O9" s="11">
        <f>'Occ T1'!AB70</f>
        <v>-6.5437816374302997</v>
      </c>
      <c r="P9" s="11">
        <f>'Occ T1'!Q70</f>
        <v>5.9509726693259495</v>
      </c>
    </row>
    <row r="10" spans="1:16" x14ac:dyDescent="0.2">
      <c r="M10" s="10" t="str">
        <f>name!E11</f>
        <v>Process, plant and machine operatives</v>
      </c>
      <c r="N10" s="11">
        <f>'Occ T1'!F71</f>
        <v>28.220919863917288</v>
      </c>
      <c r="O10" s="11">
        <f>'Occ T1'!AB71</f>
        <v>11.853221136067422</v>
      </c>
      <c r="P10" s="11">
        <f>'Occ T1'!Q71</f>
        <v>16.367698727850467</v>
      </c>
    </row>
    <row r="11" spans="1:16" x14ac:dyDescent="0.2">
      <c r="M11" s="10" t="str">
        <f>name!E12</f>
        <v>Elementary occupations</v>
      </c>
      <c r="N11" s="11">
        <f>'Occ T1'!F72</f>
        <v>3.2205922941874405</v>
      </c>
      <c r="O11" s="11">
        <f>'Occ T1'!AB72</f>
        <v>-0.3827146551237206</v>
      </c>
      <c r="P11" s="11">
        <f>'Occ T1'!Q72</f>
        <v>3.603306949310479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543.35400000213394</v>
      </c>
      <c r="O13" s="11">
        <f>'Occ T1'!AB74</f>
        <v>249.97600000164948</v>
      </c>
      <c r="P13" s="11">
        <f>'Occ T1'!Q74</f>
        <v>293.37800000048355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3" max="13" width="36" customWidth="1"/>
    <col min="14" max="14" width="19.5703125" customWidth="1"/>
  </cols>
  <sheetData>
    <row r="1" spans="1:16" ht="15.75" x14ac:dyDescent="0.25">
      <c r="A1" s="79" t="str">
        <f>CONCATENATE("Occupation Figure 5  Occupational Change by Status (000s) (SOC 2020), ",N1,", ",Info!B5)</f>
        <v>Occupation Figure 5  Occupational Change by Status (000s) (SOC 2020), 2020-2035, London</v>
      </c>
      <c r="M1" s="82" t="s">
        <v>18</v>
      </c>
      <c r="N1" t="str">
        <f>'Ind Occ T2'!G6&amp;"-"&amp;'Ind Occ T2'!L6</f>
        <v>2020-2035</v>
      </c>
    </row>
    <row r="2" spans="1:16" x14ac:dyDescent="0.2">
      <c r="A2" s="1" t="s">
        <v>536</v>
      </c>
      <c r="M2" s="1" t="s">
        <v>331</v>
      </c>
      <c r="N2" s="82" t="s">
        <v>338</v>
      </c>
      <c r="O2" s="82" t="s">
        <v>432</v>
      </c>
      <c r="P2" s="82" t="s">
        <v>433</v>
      </c>
    </row>
    <row r="3" spans="1:16" x14ac:dyDescent="0.2">
      <c r="M3" s="10" t="str">
        <f>name!E4</f>
        <v>Managers, directors and senior officials</v>
      </c>
      <c r="N3" s="11">
        <f>'Occ T5'!I44</f>
        <v>20.762032365990052</v>
      </c>
      <c r="O3" s="11">
        <f>'Occ T5'!H44</f>
        <v>20.275202819635396</v>
      </c>
      <c r="P3" s="11">
        <f>'Occ T5'!G44</f>
        <v>59.316292416063447</v>
      </c>
    </row>
    <row r="4" spans="1:16" x14ac:dyDescent="0.2">
      <c r="M4" s="10" t="str">
        <f>name!E5</f>
        <v>Professional occupations</v>
      </c>
      <c r="N4" s="11">
        <f>'Occ T5'!I45</f>
        <v>0.61072771041943952</v>
      </c>
      <c r="O4" s="11">
        <f>'Occ T5'!H45</f>
        <v>63.783776360035631</v>
      </c>
      <c r="P4" s="11">
        <f>'Occ T5'!G45</f>
        <v>263.75690437393382</v>
      </c>
    </row>
    <row r="5" spans="1:16" x14ac:dyDescent="0.2">
      <c r="M5" s="10" t="str">
        <f>name!E6</f>
        <v>Associate professional occupations</v>
      </c>
      <c r="N5" s="11">
        <f>'Occ T5'!I46</f>
        <v>12.467473310268247</v>
      </c>
      <c r="O5" s="11">
        <f>'Occ T5'!H46</f>
        <v>15.700744080832635</v>
      </c>
      <c r="P5" s="11">
        <f>'Occ T5'!G46</f>
        <v>37.222547119562932</v>
      </c>
    </row>
    <row r="6" spans="1:16" x14ac:dyDescent="0.2">
      <c r="M6" s="10" t="str">
        <f>name!E7</f>
        <v>Administrative and secretarial occupations</v>
      </c>
      <c r="N6" s="11">
        <f>'Occ T5'!I47</f>
        <v>-2.2935716762361302</v>
      </c>
      <c r="O6" s="11">
        <f>'Occ T5'!H47</f>
        <v>-18.24271332557916</v>
      </c>
      <c r="P6" s="11">
        <f>'Occ T5'!G47</f>
        <v>-57.669547386204272</v>
      </c>
    </row>
    <row r="7" spans="1:16" x14ac:dyDescent="0.2">
      <c r="M7" s="10" t="str">
        <f>name!E8</f>
        <v>Skilled trades occupations</v>
      </c>
      <c r="N7" s="11">
        <f>'Occ T5'!I48</f>
        <v>30.266905475221208</v>
      </c>
      <c r="O7" s="11">
        <f>'Occ T5'!H48</f>
        <v>7.0831376888194484</v>
      </c>
      <c r="P7" s="11">
        <f>'Occ T5'!G48</f>
        <v>9.4114845740398039</v>
      </c>
    </row>
    <row r="8" spans="1:16" x14ac:dyDescent="0.2">
      <c r="M8" s="10" t="str">
        <f>name!E9</f>
        <v>Caring, leisure and other service occupations</v>
      </c>
      <c r="N8" s="11">
        <f>'Occ T5'!I49</f>
        <v>11.83281306202651</v>
      </c>
      <c r="O8" s="11">
        <f>'Occ T5'!H49</f>
        <v>2.8964985615515957</v>
      </c>
      <c r="P8" s="11">
        <f>'Occ T5'!G49</f>
        <v>35.324589281750491</v>
      </c>
    </row>
    <row r="9" spans="1:16" x14ac:dyDescent="0.2">
      <c r="M9" s="10" t="str">
        <f>name!E10</f>
        <v>Sales and customer service occupations</v>
      </c>
      <c r="N9" s="11">
        <f>'Occ T5'!I50</f>
        <v>-0.71240126142455651</v>
      </c>
      <c r="O9" s="11">
        <f>'Occ T5'!H50</f>
        <v>1.6934408256618099</v>
      </c>
      <c r="P9" s="11">
        <f>'Occ T5'!G50</f>
        <v>-1.573848532341799</v>
      </c>
    </row>
    <row r="10" spans="1:16" x14ac:dyDescent="0.2">
      <c r="M10" s="10" t="str">
        <f>name!E11</f>
        <v>Process, plant and machine operatives</v>
      </c>
      <c r="N10" s="11">
        <f>'Occ T5'!I51</f>
        <v>16.858475099096665</v>
      </c>
      <c r="O10" s="11">
        <f>'Occ T5'!H51</f>
        <v>15.771604763510815</v>
      </c>
      <c r="P10" s="11">
        <f>'Occ T5'!G51</f>
        <v>-4.4091599986895744</v>
      </c>
    </row>
    <row r="11" spans="1:16" x14ac:dyDescent="0.2">
      <c r="M11" s="10" t="str">
        <f>name!E12</f>
        <v>Elementary occupations</v>
      </c>
      <c r="N11" s="11">
        <f>'Occ T5'!I52</f>
        <v>12.031545913728813</v>
      </c>
      <c r="O11" s="11">
        <f>'Occ T5'!H52</f>
        <v>-16.730691770820783</v>
      </c>
      <c r="P11" s="11">
        <f>'Occ T5'!G52</f>
        <v>7.9197381512782101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101.82399999909035</v>
      </c>
      <c r="O13" s="11">
        <f>'Occ T5'!H54</f>
        <v>92.231000003647296</v>
      </c>
      <c r="P13" s="11">
        <f>'Occ T5'!G54</f>
        <v>349.29899999939335</v>
      </c>
    </row>
    <row r="16" spans="1:16" x14ac:dyDescent="0.2">
      <c r="M16" s="82" t="s">
        <v>18</v>
      </c>
      <c r="N16" t="str">
        <f>N1</f>
        <v>2020-2035</v>
      </c>
    </row>
    <row r="17" spans="13:16" x14ac:dyDescent="0.2">
      <c r="M17" s="1" t="s">
        <v>99</v>
      </c>
      <c r="N17" s="82" t="s">
        <v>338</v>
      </c>
      <c r="O17" s="82" t="s">
        <v>432</v>
      </c>
      <c r="P17" s="82" t="s">
        <v>433</v>
      </c>
    </row>
    <row r="18" spans="13:16" x14ac:dyDescent="0.2">
      <c r="M18" s="10" t="str">
        <f>M3</f>
        <v>Managers, directors and senior officials</v>
      </c>
      <c r="N18" s="11">
        <f>'Occ T5'!AO44</f>
        <v>6.5392234408546628</v>
      </c>
      <c r="O18" s="11">
        <f>'Occ T5'!AN44</f>
        <v>9.1620711134565624</v>
      </c>
      <c r="P18" s="11">
        <f>'Occ T5'!AM44</f>
        <v>41.825871796542515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1.3241089683035341</v>
      </c>
      <c r="O19" s="11">
        <f>'Occ T5'!AN45</f>
        <v>31.3721927539398</v>
      </c>
      <c r="P19" s="11">
        <f>'Occ T5'!AM45</f>
        <v>131.38587904846315</v>
      </c>
    </row>
    <row r="20" spans="13:16" x14ac:dyDescent="0.2">
      <c r="M20" s="10" t="str">
        <f t="shared" si="0"/>
        <v>Associate professional occupations</v>
      </c>
      <c r="N20" s="11">
        <f>'Occ T5'!AO46</f>
        <v>7.0704846334192695</v>
      </c>
      <c r="O20" s="11">
        <f>'Occ T5'!AN46</f>
        <v>17.892528815261286</v>
      </c>
      <c r="P20" s="11">
        <f>'Occ T5'!AM46</f>
        <v>33.386213193292804</v>
      </c>
    </row>
    <row r="21" spans="13:16" x14ac:dyDescent="0.2">
      <c r="M21" s="10" t="str">
        <f t="shared" si="0"/>
        <v>Administrative and secretarial occupations</v>
      </c>
      <c r="N21" s="11">
        <f>'Occ T5'!AO47</f>
        <v>-3.2442651316106215</v>
      </c>
      <c r="O21" s="11">
        <f>'Occ T5'!AN47</f>
        <v>-11.852439216260095</v>
      </c>
      <c r="P21" s="11">
        <f>'Occ T5'!AM47</f>
        <v>-56.230503869527752</v>
      </c>
    </row>
    <row r="22" spans="13:16" x14ac:dyDescent="0.2">
      <c r="M22" s="10" t="str">
        <f t="shared" si="0"/>
        <v>Skilled trades occupations</v>
      </c>
      <c r="N22" s="11">
        <f>'Occ T5'!AO48</f>
        <v>6.3111799141636915</v>
      </c>
      <c r="O22" s="11">
        <f>'Occ T5'!AN48</f>
        <v>2.6879943327025924</v>
      </c>
      <c r="P22" s="11">
        <f>'Occ T5'!AM48</f>
        <v>6.3992058864683798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7.3904090534783151</v>
      </c>
      <c r="O23" s="11">
        <f>'Occ T5'!AN49</f>
        <v>-3.5355834124715813</v>
      </c>
      <c r="P23" s="11">
        <f>'Occ T5'!AM49</f>
        <v>17.164703837658749</v>
      </c>
    </row>
    <row r="24" spans="13:16" x14ac:dyDescent="0.2">
      <c r="M24" s="10" t="str">
        <f t="shared" si="0"/>
        <v>Sales and customer service occupations</v>
      </c>
      <c r="N24" s="11">
        <f>'Occ T5'!AO50</f>
        <v>-0.21828942313323285</v>
      </c>
      <c r="O24" s="11">
        <f>'Occ T5'!AN50</f>
        <v>-2.8229186321231481</v>
      </c>
      <c r="P24" s="11">
        <f>'Occ T5'!AM50</f>
        <v>-3.5025735821739801</v>
      </c>
    </row>
    <row r="25" spans="13:16" x14ac:dyDescent="0.2">
      <c r="M25" s="10" t="str">
        <f t="shared" si="0"/>
        <v>Process, plant and machine operatives</v>
      </c>
      <c r="N25" s="11">
        <f>'Occ T5'!AO51</f>
        <v>1.5705397843026585</v>
      </c>
      <c r="O25" s="11">
        <f>'Occ T5'!AN51</f>
        <v>8.1081362507576884</v>
      </c>
      <c r="P25" s="11">
        <f>'Occ T5'!AM51</f>
        <v>2.1745451010071566</v>
      </c>
    </row>
    <row r="26" spans="13:16" x14ac:dyDescent="0.2">
      <c r="M26" s="10" t="str">
        <f t="shared" si="0"/>
        <v>Elementary occupations</v>
      </c>
      <c r="N26" s="11">
        <f>'Occ T5'!AO52</f>
        <v>9.3456087593988251</v>
      </c>
      <c r="O26" s="11">
        <f>'Occ T5'!AN52</f>
        <v>-20.462982001437467</v>
      </c>
      <c r="P26" s="11">
        <f>'Occ T5'!AM52</f>
        <v>10.734658586914698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36.088999999177076</v>
      </c>
      <c r="O28" s="11">
        <f>'Occ T5'!AN54</f>
        <v>30.54900000382554</v>
      </c>
      <c r="P28" s="11">
        <f>'Occ T5'!AM54</f>
        <v>183.33799999864573</v>
      </c>
    </row>
    <row r="31" spans="13:16" x14ac:dyDescent="0.2">
      <c r="M31" s="82" t="s">
        <v>18</v>
      </c>
      <c r="N31" t="str">
        <f>N1</f>
        <v>2020-2035</v>
      </c>
    </row>
    <row r="32" spans="13:16" x14ac:dyDescent="0.2">
      <c r="M32" s="1" t="s">
        <v>98</v>
      </c>
      <c r="N32" s="82" t="s">
        <v>338</v>
      </c>
      <c r="O32" s="82" t="s">
        <v>432</v>
      </c>
      <c r="P32" s="82" t="s">
        <v>433</v>
      </c>
    </row>
    <row r="33" spans="1:16" x14ac:dyDescent="0.2">
      <c r="M33" s="10" t="str">
        <f>M3</f>
        <v>Managers, directors and senior officials</v>
      </c>
      <c r="N33" s="11">
        <f>'Occ T5'!Y44</f>
        <v>14.222808925135318</v>
      </c>
      <c r="O33" s="11">
        <f>'Occ T5'!X44</f>
        <v>11.113131706178741</v>
      </c>
      <c r="P33" s="11">
        <f>'Occ T5'!W44</f>
        <v>17.490420619520819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-0.71338125788410878</v>
      </c>
      <c r="O34" s="11">
        <f>'Occ T5'!X45</f>
        <v>32.411583606096173</v>
      </c>
      <c r="P34" s="11">
        <f>'Occ T5'!W45</f>
        <v>132.37102532546999</v>
      </c>
    </row>
    <row r="35" spans="1:16" x14ac:dyDescent="0.2">
      <c r="M35" s="10" t="str">
        <f t="shared" si="1"/>
        <v>Associate professional occupations</v>
      </c>
      <c r="N35" s="11">
        <f>'Occ T5'!Y46</f>
        <v>5.3969886768489488</v>
      </c>
      <c r="O35" s="11">
        <f>'Occ T5'!X46</f>
        <v>-2.1917847344285235</v>
      </c>
      <c r="P35" s="11">
        <f>'Occ T5'!W46</f>
        <v>3.8363339262692193</v>
      </c>
    </row>
    <row r="36" spans="1:16" x14ac:dyDescent="0.2">
      <c r="M36" s="10" t="str">
        <f t="shared" si="1"/>
        <v>Administrative and secretarial occupations</v>
      </c>
      <c r="N36" s="11">
        <f>'Occ T5'!Y47</f>
        <v>0.95069345537449568</v>
      </c>
      <c r="O36" s="11">
        <f>'Occ T5'!X47</f>
        <v>-6.3902741093191402</v>
      </c>
      <c r="P36" s="11">
        <f>'Occ T5'!W47</f>
        <v>-1.4390435166761932</v>
      </c>
    </row>
    <row r="37" spans="1:16" x14ac:dyDescent="0.2">
      <c r="M37" s="10" t="str">
        <f t="shared" si="1"/>
        <v>Skilled trades occupations</v>
      </c>
      <c r="N37" s="11">
        <f>'Occ T5'!Y48</f>
        <v>23.955725561057562</v>
      </c>
      <c r="O37" s="11">
        <f>'Occ T5'!X48</f>
        <v>4.3951433561168969</v>
      </c>
      <c r="P37" s="11">
        <f>'Occ T5'!W48</f>
        <v>3.0122786875714098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4.442404008548209</v>
      </c>
      <c r="O38" s="11">
        <f>'Occ T5'!X49</f>
        <v>6.4320819740232977</v>
      </c>
      <c r="P38" s="11">
        <f>'Occ T5'!W49</f>
        <v>18.159885444091969</v>
      </c>
    </row>
    <row r="39" spans="1:16" x14ac:dyDescent="0.2">
      <c r="M39" s="10" t="str">
        <f t="shared" si="1"/>
        <v>Sales and customer service occupations</v>
      </c>
      <c r="N39" s="11">
        <f>'Occ T5'!Y50</f>
        <v>-0.49411183829131566</v>
      </c>
      <c r="O39" s="11">
        <f>'Occ T5'!X50</f>
        <v>4.5163594577851285</v>
      </c>
      <c r="P39" s="11">
        <f>'Occ T5'!W50</f>
        <v>1.9287250498322379</v>
      </c>
    </row>
    <row r="40" spans="1:16" ht="15.75" x14ac:dyDescent="0.25">
      <c r="A40" s="79" t="str">
        <f>CONCATENATE("Occupation Figure 5.1 Females:  Occupational Change by Status (000s) (SOC 2020), ",N1,", ",Info!B5)</f>
        <v>Occupation Figure 5.1 Females:  Occupational Change by Status (000s) (SOC 2020), 2020-2035, London</v>
      </c>
      <c r="M40" s="10" t="str">
        <f t="shared" si="1"/>
        <v>Process, plant and machine operatives</v>
      </c>
      <c r="N40" s="11">
        <f>'Occ T5'!Y51</f>
        <v>15.287935314794048</v>
      </c>
      <c r="O40" s="11">
        <f>'Occ T5'!X51</f>
        <v>7.6634685127531981</v>
      </c>
      <c r="P40" s="11">
        <f>'Occ T5'!W51</f>
        <v>-6.5837050996970987</v>
      </c>
    </row>
    <row r="41" spans="1:16" x14ac:dyDescent="0.2">
      <c r="M41" s="10" t="str">
        <f t="shared" si="1"/>
        <v>Elementary occupations</v>
      </c>
      <c r="N41" s="11">
        <f>'Occ T5'!Y52</f>
        <v>2.6859371543299932</v>
      </c>
      <c r="O41" s="11">
        <f>'Occ T5'!X52</f>
        <v>3.7322902306166412</v>
      </c>
      <c r="P41" s="11">
        <f>'Occ T5'!W52</f>
        <v>-2.8149204356359974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65.734999999912986</v>
      </c>
      <c r="O43" s="11">
        <f>'Occ T5'!X54</f>
        <v>61.681999999822381</v>
      </c>
      <c r="P43" s="11">
        <f>'Occ T5'!W54</f>
        <v>165.96100000074557</v>
      </c>
    </row>
    <row r="79" spans="1:1" ht="15.75" x14ac:dyDescent="0.25">
      <c r="A79" s="79" t="str">
        <f>CONCATENATE("Occupation Figure 5.2 Males:  Occupational Change by Status (000s) (SOC 2020), ",N1,", ",Info!B5)</f>
        <v>Occupation Figure 5.2 Males:  Occupational Change by Status (000s) (SOC 2020), 2020-2035, London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8" t="str">
        <f>CONCATENATE("Qualification Table 1  Employment by Qualification, ",B$3,"-",F$3,", ",Info!B5)</f>
        <v>Qualification Table 1  Employment by Qualification, 2015-2035, London</v>
      </c>
    </row>
    <row r="2" spans="1:7" x14ac:dyDescent="0.2">
      <c r="A2" s="1" t="s">
        <v>539</v>
      </c>
    </row>
    <row r="3" spans="1:7" x14ac:dyDescent="0.2">
      <c r="A3" s="21"/>
      <c r="B3" s="22">
        <f>'Occ T3'!B5</f>
        <v>2015</v>
      </c>
      <c r="C3" s="22">
        <f>'Occ T3'!C5</f>
        <v>2019</v>
      </c>
      <c r="D3" s="22">
        <f>'Occ T3'!D5</f>
        <v>2020</v>
      </c>
      <c r="E3" s="22">
        <f>'Occ T3'!E5</f>
        <v>2025</v>
      </c>
      <c r="F3" s="22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F1'!$M$4:$BZ$14,11,FALSE)</f>
        <v>113.63840206462548</v>
      </c>
      <c r="C5" s="11">
        <f>HLOOKUP(C$3,'Qual F1'!$M$4:$BZ$14,11,FALSE)</f>
        <v>151.30824955547968</v>
      </c>
      <c r="D5" s="11">
        <f>HLOOKUP(D$3,'Qual F1'!$M$4:$BZ$14,11,FALSE)</f>
        <v>161.65072151993115</v>
      </c>
      <c r="E5" s="11">
        <f>HLOOKUP(E$3,'Qual F1'!$M$4:$BZ$14,11,FALSE)</f>
        <v>220.43123967367589</v>
      </c>
      <c r="F5" s="11">
        <f>HLOOKUP(F$3,'Qual F1'!$M$4:$BZ$14,11,FALSE)</f>
        <v>331.30684385995289</v>
      </c>
      <c r="G5" s="11"/>
    </row>
    <row r="6" spans="1:7" x14ac:dyDescent="0.2">
      <c r="A6" t="str">
        <f>name!F5</f>
        <v>RQF7 Other higher degree</v>
      </c>
      <c r="B6" s="11">
        <f>HLOOKUP(B$3,'Qual F1'!$M$4:$BZ$14,10,FALSE)</f>
        <v>881.41613377129386</v>
      </c>
      <c r="C6" s="11">
        <f>HLOOKUP(C$3,'Qual F1'!$M$4:$BZ$14,10,FALSE)</f>
        <v>1171.0388322569752</v>
      </c>
      <c r="D6" s="11">
        <f>HLOOKUP(D$3,'Qual F1'!$M$4:$BZ$14,10,FALSE)</f>
        <v>1286.8258493021121</v>
      </c>
      <c r="E6" s="11">
        <f>HLOOKUP(E$3,'Qual F1'!$M$4:$BZ$14,10,FALSE)</f>
        <v>1743.2941601736184</v>
      </c>
      <c r="F6" s="11">
        <f>HLOOKUP(F$3,'Qual F1'!$M$4:$BZ$14,10,FALSE)</f>
        <v>2634.5906837165412</v>
      </c>
      <c r="G6" s="11"/>
    </row>
    <row r="7" spans="1:7" x14ac:dyDescent="0.2">
      <c r="A7" t="str">
        <f>name!F6</f>
        <v>RQF6 First degree</v>
      </c>
      <c r="B7" s="11">
        <f>HLOOKUP(B$3,'Qual F1'!$M$4:$BZ$14,9,FALSE)</f>
        <v>1466.8215340858858</v>
      </c>
      <c r="C7" s="11">
        <f>HLOOKUP(C$3,'Qual F1'!$M$4:$BZ$14,9,FALSE)</f>
        <v>1566.7165234412528</v>
      </c>
      <c r="D7" s="11">
        <f>HLOOKUP(D$3,'Qual F1'!$M$4:$BZ$14,9,FALSE)</f>
        <v>1631.9926000135615</v>
      </c>
      <c r="E7" s="11">
        <f>HLOOKUP(E$3,'Qual F1'!$M$4:$BZ$14,9,FALSE)</f>
        <v>1592.6488249222332</v>
      </c>
      <c r="F7" s="11">
        <f>HLOOKUP(F$3,'Qual F1'!$M$4:$BZ$14,9,FALSE)</f>
        <v>1477.546226951031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F1'!$M$4:$BZ$14,8,FALSE)</f>
        <v>359.54549744715496</v>
      </c>
      <c r="C8" s="11">
        <f>HLOOKUP(C$3,'Qual F1'!$M$4:$BZ$14,8,FALSE)</f>
        <v>357.86430874235197</v>
      </c>
      <c r="D8" s="11">
        <f>HLOOKUP(D$3,'Qual F1'!$M$4:$BZ$14,8,FALSE)</f>
        <v>382.35442465949808</v>
      </c>
      <c r="E8" s="11">
        <f>HLOOKUP(E$3,'Qual F1'!$M$4:$BZ$14,8,FALSE)</f>
        <v>361.14111819799353</v>
      </c>
      <c r="F8" s="11">
        <f>HLOOKUP(F$3,'Qual F1'!$M$4:$BZ$14,8,FALSE)</f>
        <v>354.71033219107505</v>
      </c>
      <c r="G8" s="11"/>
    </row>
    <row r="9" spans="1:7" x14ac:dyDescent="0.2">
      <c r="A9" t="str">
        <f>name!F8</f>
        <v>RQF4 HE below degree level</v>
      </c>
      <c r="B9" s="11">
        <f>HLOOKUP(B$3,'Qual F1'!$M$4:$BZ$14,7,FALSE)</f>
        <v>347.79017019527225</v>
      </c>
      <c r="C9" s="11">
        <f>HLOOKUP(C$3,'Qual F1'!$M$4:$BZ$14,7,FALSE)</f>
        <v>367.17902110710247</v>
      </c>
      <c r="D9" s="11">
        <f>HLOOKUP(D$3,'Qual F1'!$M$4:$BZ$14,7,FALSE)</f>
        <v>392.24441782094812</v>
      </c>
      <c r="E9" s="11">
        <f>HLOOKUP(E$3,'Qual F1'!$M$4:$BZ$14,7,FALSE)</f>
        <v>384.715343209509</v>
      </c>
      <c r="F9" s="11">
        <f>HLOOKUP(F$3,'Qual F1'!$M$4:$BZ$14,7,FALSE)</f>
        <v>384.76558566144325</v>
      </c>
      <c r="G9" s="11"/>
    </row>
    <row r="10" spans="1:7" x14ac:dyDescent="0.2">
      <c r="A10" t="str">
        <f>name!F9</f>
        <v>RQF3 A level &amp; equivalent</v>
      </c>
      <c r="B10" s="11">
        <f>HLOOKUP(B$3,'Qual F1'!$M$4:$BZ$14,6,FALSE)</f>
        <v>786.84419024320039</v>
      </c>
      <c r="C10" s="11">
        <f>HLOOKUP(C$3,'Qual F1'!$M$4:$BZ$14,6,FALSE)</f>
        <v>762.62319528737498</v>
      </c>
      <c r="D10" s="11">
        <f>HLOOKUP(D$3,'Qual F1'!$M$4:$BZ$14,6,FALSE)</f>
        <v>758.16476382285566</v>
      </c>
      <c r="E10" s="11">
        <f>HLOOKUP(E$3,'Qual F1'!$M$4:$BZ$14,6,FALSE)</f>
        <v>675.75964302509294</v>
      </c>
      <c r="F10" s="11">
        <f>HLOOKUP(F$3,'Qual F1'!$M$4:$BZ$14,6,FALSE)</f>
        <v>526.90691520085272</v>
      </c>
      <c r="G10" s="11"/>
    </row>
    <row r="11" spans="1:7" x14ac:dyDescent="0.2">
      <c r="A11" t="str">
        <f>name!F10</f>
        <v>RQF2 GCSE(A-C) &amp; equivalent</v>
      </c>
      <c r="B11" s="11">
        <f>HLOOKUP(B$3,'Qual F1'!$M$4:$BZ$14,5,FALSE)</f>
        <v>732.88012843485296</v>
      </c>
      <c r="C11" s="11">
        <f>HLOOKUP(C$3,'Qual F1'!$M$4:$BZ$14,5,FALSE)</f>
        <v>777.332146508081</v>
      </c>
      <c r="D11" s="11">
        <f>HLOOKUP(D$3,'Qual F1'!$M$4:$BZ$14,5,FALSE)</f>
        <v>630.12466673858808</v>
      </c>
      <c r="E11" s="11">
        <f>HLOOKUP(E$3,'Qual F1'!$M$4:$BZ$14,5,FALSE)</f>
        <v>599.72142626943912</v>
      </c>
      <c r="F11" s="11">
        <f>HLOOKUP(F$3,'Qual F1'!$M$4:$BZ$14,5,FALSE)</f>
        <v>411.05900045374818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F1'!$M$4:$BZ$14,4,FALSE)</f>
        <v>619.2156303303135</v>
      </c>
      <c r="C12" s="11">
        <f>HLOOKUP(C$3,'Qual F1'!$M$4:$BZ$14,4,FALSE)</f>
        <v>589.79706439931238</v>
      </c>
      <c r="D12" s="11">
        <f>HLOOKUP(D$3,'Qual F1'!$M$4:$BZ$14,4,FALSE)</f>
        <v>548.75082422711353</v>
      </c>
      <c r="E12" s="11">
        <f>HLOOKUP(E$3,'Qual F1'!$M$4:$BZ$14,4,FALSE)</f>
        <v>483.97524488788935</v>
      </c>
      <c r="F12" s="11">
        <f>HLOOKUP(F$3,'Qual F1'!$M$4:$BZ$14,4,FALSE)</f>
        <v>298.97816591691907</v>
      </c>
      <c r="G12" s="11"/>
    </row>
    <row r="13" spans="1:7" x14ac:dyDescent="0.2">
      <c r="A13" t="str">
        <f>name!F12</f>
        <v>No Qualification</v>
      </c>
      <c r="B13" s="11">
        <f>HLOOKUP(B$3,'Qual F1'!$M$4:$BZ$14,3,FALSE)</f>
        <v>265.40431343151045</v>
      </c>
      <c r="C13" s="11">
        <f>HLOOKUP(C$3,'Qual F1'!$M$4:$BZ$14,3,FALSE)</f>
        <v>226.25765870034382</v>
      </c>
      <c r="D13" s="11">
        <f>HLOOKUP(D$3,'Qual F1'!$M$4:$BZ$14,3,FALSE)</f>
        <v>145.27273190073018</v>
      </c>
      <c r="E13" s="11">
        <f>HLOOKUP(E$3,'Qual F1'!$M$4:$BZ$14,3,FALSE)</f>
        <v>117.6109996512359</v>
      </c>
      <c r="F13" s="11">
        <f>HLOOKUP(F$3,'Qual F1'!$M$4:$BZ$14,3,FALSE)</f>
        <v>60.871246055901466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5573.5560000041105</v>
      </c>
      <c r="C15" s="11">
        <f t="shared" ref="C15:F15" si="0">SUM(C5:C13)</f>
        <v>5970.116999998274</v>
      </c>
      <c r="D15" s="11">
        <f t="shared" si="0"/>
        <v>5937.3810000053372</v>
      </c>
      <c r="E15" s="11">
        <f t="shared" si="0"/>
        <v>6179.2980000106863</v>
      </c>
      <c r="F15" s="11">
        <f t="shared" si="0"/>
        <v>6480.7350000074648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463</v>
      </c>
      <c r="B18" s="16">
        <f>B$3</f>
        <v>2015</v>
      </c>
      <c r="C18" s="16">
        <f>C$3</f>
        <v>2019</v>
      </c>
      <c r="D18" s="16">
        <f>D$3</f>
        <v>2020</v>
      </c>
      <c r="E18" s="16">
        <f>E$3</f>
        <v>2025</v>
      </c>
      <c r="F18" s="16">
        <f>F$3</f>
        <v>2035</v>
      </c>
      <c r="G18" s="11"/>
    </row>
    <row r="19" spans="1:7" x14ac:dyDescent="0.2">
      <c r="A19" t="str">
        <f>$A5</f>
        <v>RQF8 Doctorate</v>
      </c>
      <c r="B19" s="17">
        <f t="shared" ref="B19:F21" si="1">B5/B$15*100</f>
        <v>2.038885086371101</v>
      </c>
      <c r="C19" s="17">
        <f t="shared" si="1"/>
        <v>2.5344268722961951</v>
      </c>
      <c r="D19" s="17">
        <f t="shared" si="1"/>
        <v>2.7225930341978364</v>
      </c>
      <c r="E19" s="17">
        <f>E5/E$15*100</f>
        <v>3.5672537507220832</v>
      </c>
      <c r="F19" s="17">
        <f t="shared" si="1"/>
        <v>5.1121800823451551</v>
      </c>
      <c r="G19" s="11"/>
    </row>
    <row r="20" spans="1:7" x14ac:dyDescent="0.2">
      <c r="A20" t="str">
        <f>$A6</f>
        <v>RQF7 Other higher degree</v>
      </c>
      <c r="B20" s="17">
        <f t="shared" si="1"/>
        <v>15.814250969590038</v>
      </c>
      <c r="C20" s="17">
        <f t="shared" si="1"/>
        <v>19.615006410382136</v>
      </c>
      <c r="D20" s="17">
        <f t="shared" si="1"/>
        <v>21.673290787654615</v>
      </c>
      <c r="E20" s="17">
        <f t="shared" si="1"/>
        <v>28.211848015269751</v>
      </c>
      <c r="F20" s="17">
        <f t="shared" si="1"/>
        <v>40.6526525727947</v>
      </c>
      <c r="G20" s="11"/>
    </row>
    <row r="21" spans="1:7" x14ac:dyDescent="0.2">
      <c r="A21" t="str">
        <f>$A7</f>
        <v>RQF6 First degree</v>
      </c>
      <c r="B21" s="17">
        <f t="shared" si="1"/>
        <v>26.317516753842678</v>
      </c>
      <c r="C21" s="17">
        <f t="shared" si="1"/>
        <v>26.242643543530313</v>
      </c>
      <c r="D21" s="17">
        <f t="shared" si="1"/>
        <v>27.486742050275947</v>
      </c>
      <c r="E21" s="17">
        <f t="shared" si="1"/>
        <v>25.773944304344589</v>
      </c>
      <c r="F21" s="17">
        <f t="shared" si="1"/>
        <v>22.799053301042694</v>
      </c>
      <c r="G21" s="11"/>
    </row>
    <row r="22" spans="1:7" x14ac:dyDescent="0.2">
      <c r="A22" t="str">
        <f t="shared" ref="A22:A27" si="2">$A8</f>
        <v>RQF5 Foundation degree;Nursing;Teaching</v>
      </c>
      <c r="B22" s="17">
        <f t="shared" ref="B22:F22" si="3">B8/B$15*100</f>
        <v>6.450917465382779</v>
      </c>
      <c r="C22" s="17">
        <f t="shared" si="3"/>
        <v>5.9942595554233762</v>
      </c>
      <c r="D22" s="17">
        <f t="shared" si="3"/>
        <v>6.4397825347430855</v>
      </c>
      <c r="E22" s="17">
        <f t="shared" si="3"/>
        <v>5.8443712893822077</v>
      </c>
      <c r="F22" s="17">
        <f t="shared" si="3"/>
        <v>5.4733040649041582</v>
      </c>
      <c r="G22" s="11"/>
    </row>
    <row r="23" spans="1:7" x14ac:dyDescent="0.2">
      <c r="A23" t="str">
        <f t="shared" si="2"/>
        <v>RQF4 HE below degree level</v>
      </c>
      <c r="B23" s="17">
        <f t="shared" ref="B23:F23" si="4">B9/B$15*100</f>
        <v>6.2400049482774689</v>
      </c>
      <c r="C23" s="17">
        <f t="shared" si="4"/>
        <v>6.1502818304433333</v>
      </c>
      <c r="D23" s="17">
        <f t="shared" si="4"/>
        <v>6.6063541790664191</v>
      </c>
      <c r="E23" s="17">
        <f t="shared" si="4"/>
        <v>6.2258745768345154</v>
      </c>
      <c r="F23" s="17">
        <f t="shared" si="4"/>
        <v>5.9370671021265347</v>
      </c>
      <c r="G23" s="11"/>
    </row>
    <row r="24" spans="1:7" x14ac:dyDescent="0.2">
      <c r="A24" t="str">
        <f t="shared" si="2"/>
        <v>RQF3 A level &amp; equivalent</v>
      </c>
      <c r="B24" s="17">
        <f t="shared" ref="B24:F24" si="5">B10/B$15*100</f>
        <v>14.117453744837588</v>
      </c>
      <c r="C24" s="17">
        <f t="shared" si="5"/>
        <v>12.774007532642919</v>
      </c>
      <c r="D24" s="17">
        <f t="shared" si="5"/>
        <v>12.769346683700677</v>
      </c>
      <c r="E24" s="17">
        <f t="shared" si="5"/>
        <v>10.935864284647289</v>
      </c>
      <c r="F24" s="17">
        <f t="shared" si="5"/>
        <v>8.1303573622474268</v>
      </c>
      <c r="G24" s="11"/>
    </row>
    <row r="25" spans="1:7" x14ac:dyDescent="0.2">
      <c r="A25" t="str">
        <f t="shared" si="2"/>
        <v>RQF2 GCSE(A-C) &amp; equivalent</v>
      </c>
      <c r="B25" s="17">
        <f t="shared" ref="B25:F25" si="6">B11/B$15*100</f>
        <v>13.149237729634589</v>
      </c>
      <c r="C25" s="17">
        <f t="shared" si="6"/>
        <v>13.020383796637583</v>
      </c>
      <c r="D25" s="17">
        <f t="shared" si="6"/>
        <v>10.612838669743809</v>
      </c>
      <c r="E25" s="17">
        <f t="shared" si="6"/>
        <v>9.7053326489255234</v>
      </c>
      <c r="F25" s="17">
        <f t="shared" si="6"/>
        <v>6.3427836573054552</v>
      </c>
      <c r="G25" s="11"/>
    </row>
    <row r="26" spans="1:7" x14ac:dyDescent="0.2">
      <c r="A26" t="str">
        <f t="shared" si="2"/>
        <v>RQF1 GCSE(below grade C) &amp; equivalent</v>
      </c>
      <c r="B26" s="17">
        <f t="shared" ref="B26:F26" si="7">B12/B$15*100</f>
        <v>11.109884431588322</v>
      </c>
      <c r="C26" s="17">
        <f>C12/C$15*100</f>
        <v>9.8791542008219082</v>
      </c>
      <c r="D26" s="17">
        <f t="shared" si="7"/>
        <v>9.2423043801066544</v>
      </c>
      <c r="E26" s="17">
        <f t="shared" si="7"/>
        <v>7.8322043197633837</v>
      </c>
      <c r="F26" s="17">
        <f t="shared" si="7"/>
        <v>4.6133373130759807</v>
      </c>
      <c r="G26" s="11"/>
    </row>
    <row r="27" spans="1:7" x14ac:dyDescent="0.2">
      <c r="A27" t="str">
        <f t="shared" si="2"/>
        <v>No Qualification</v>
      </c>
      <c r="B27" s="17">
        <f t="shared" ref="B27:F27" si="8">B13/B$15*100</f>
        <v>4.7618488704754141</v>
      </c>
      <c r="C27" s="17">
        <f>C13/C$15*100</f>
        <v>3.7898362578222375</v>
      </c>
      <c r="D27" s="17">
        <f t="shared" si="8"/>
        <v>2.4467476805109794</v>
      </c>
      <c r="E27" s="17">
        <f t="shared" si="8"/>
        <v>1.9033068101106714</v>
      </c>
      <c r="F27" s="17">
        <f t="shared" si="8"/>
        <v>0.93926454415789795</v>
      </c>
      <c r="G27" s="11"/>
    </row>
    <row r="28" spans="1:7" x14ac:dyDescent="0.2">
      <c r="B28" s="17"/>
      <c r="C28" s="17"/>
      <c r="D28" s="17"/>
      <c r="E28" s="17"/>
      <c r="F28" s="17"/>
      <c r="G28" s="11"/>
    </row>
    <row r="29" spans="1:7" x14ac:dyDescent="0.2">
      <c r="A29" t="str">
        <f>$A15</f>
        <v>All qualifications</v>
      </c>
      <c r="B29" s="17">
        <f>B15/B$15*100</f>
        <v>100</v>
      </c>
      <c r="C29" s="17">
        <f>C15/C$15*100</f>
        <v>100</v>
      </c>
      <c r="D29" s="17">
        <f>D15/D$15*100</f>
        <v>100</v>
      </c>
      <c r="E29" s="17">
        <f>E15/E$15*100</f>
        <v>100</v>
      </c>
      <c r="F29" s="17">
        <f>F15/F$15*100</f>
        <v>100</v>
      </c>
      <c r="G29" s="11"/>
    </row>
    <row r="30" spans="1:7" x14ac:dyDescent="0.2">
      <c r="B30" s="17"/>
      <c r="C30" s="17"/>
      <c r="D30" s="17"/>
      <c r="E30" s="17"/>
      <c r="F30" s="17"/>
      <c r="G30" s="11"/>
    </row>
    <row r="32" spans="1:7" x14ac:dyDescent="0.2">
      <c r="A32" s="1" t="s">
        <v>14</v>
      </c>
      <c r="B32" s="19" t="str">
        <f>CONCATENATE(B$3,"-",C$3)</f>
        <v>2015-2019</v>
      </c>
      <c r="C32" s="19" t="str">
        <f>CONCATENATE(C$3,"-",D$3)</f>
        <v>2019-2020</v>
      </c>
      <c r="D32" s="19" t="str">
        <f>CONCATENATE(D$3,"-",E$3)</f>
        <v>2020-2025</v>
      </c>
      <c r="E32" s="19" t="str">
        <f>CONCATENATE(E$3,"-",F$3)</f>
        <v>2025-2035</v>
      </c>
      <c r="F32" s="19" t="str">
        <f>CONCATENATE(D$3,"-",F$3)</f>
        <v>2020-2035</v>
      </c>
    </row>
    <row r="33" spans="1:6" x14ac:dyDescent="0.2">
      <c r="A33" t="str">
        <f>$A19</f>
        <v>RQF8 Doctorate</v>
      </c>
      <c r="B33" s="17">
        <f>IF(C$3-B$3 &lt;&gt; 0,(EXP(LN(C5/B5)/(C$3-B$3))-1)*100,0)</f>
        <v>7.4198081033691521</v>
      </c>
      <c r="C33" s="17">
        <f t="shared" ref="B33:E35" si="9">IF(D$3-C$3 &lt;&gt; 0,(EXP(LN(D5/C5)/(D$3-C$3))-1)*100,0)</f>
        <v>6.8353655500186239</v>
      </c>
      <c r="D33" s="17">
        <f t="shared" si="9"/>
        <v>6.399380451879999</v>
      </c>
      <c r="E33" s="17">
        <f t="shared" si="9"/>
        <v>4.1587421081202169</v>
      </c>
      <c r="F33" s="17">
        <f>IF(F$3-D$3 &lt;&gt; 0,(EXP(LN(F5/D5)/(F$3-D$3))-1)*100,0)</f>
        <v>4.900329091675415</v>
      </c>
    </row>
    <row r="34" spans="1:6" x14ac:dyDescent="0.2">
      <c r="A34" t="str">
        <f>$A20</f>
        <v>RQF7 Other higher degree</v>
      </c>
      <c r="B34" s="17">
        <f t="shared" si="9"/>
        <v>7.3612539392835075</v>
      </c>
      <c r="C34" s="17">
        <f t="shared" si="9"/>
        <v>9.8875471808204338</v>
      </c>
      <c r="D34" s="17">
        <f t="shared" si="9"/>
        <v>6.2600900976488516</v>
      </c>
      <c r="E34" s="17">
        <f t="shared" si="9"/>
        <v>4.2159634067967966</v>
      </c>
      <c r="F34" s="17">
        <f t="shared" ref="F34:F43" si="10">IF(F$3-D$3 &lt;&gt; 0,(EXP(LN(F6/D6)/(F$3-D$3))-1)*100,0)</f>
        <v>4.8929319798727722</v>
      </c>
    </row>
    <row r="35" spans="1:6" x14ac:dyDescent="0.2">
      <c r="A35" t="str">
        <f>$A21</f>
        <v>RQF6 First degree</v>
      </c>
      <c r="B35" s="17">
        <f t="shared" si="9"/>
        <v>1.6607446822572314</v>
      </c>
      <c r="C35" s="17">
        <f t="shared" si="9"/>
        <v>4.1664254889538954</v>
      </c>
      <c r="D35" s="17">
        <f t="shared" si="9"/>
        <v>-0.48687419618667072</v>
      </c>
      <c r="E35" s="17">
        <f t="shared" si="9"/>
        <v>-0.74735134387430291</v>
      </c>
      <c r="F35" s="17">
        <f t="shared" si="10"/>
        <v>-0.66060147212835263</v>
      </c>
    </row>
    <row r="36" spans="1:6" x14ac:dyDescent="0.2">
      <c r="A36" t="str">
        <f t="shared" ref="A36:A41" si="11">$A22</f>
        <v>RQF5 Foundation degree;Nursing;Teaching</v>
      </c>
      <c r="B36" s="17">
        <f>IF(C$3-B$3 &lt;&gt; 0,(EXP(LN(C8/B8)/(C$3-B$3))-1)*100,0)</f>
        <v>-0.11710233245765256</v>
      </c>
      <c r="C36" s="17">
        <f t="shared" ref="C36:E36" si="12">IF(D$3-C$3 &lt;&gt; 0,(EXP(LN(D8/C8)/(D$3-C$3))-1)*100,0)</f>
        <v>6.8434083307195692</v>
      </c>
      <c r="D36" s="17">
        <f t="shared" si="12"/>
        <v>-1.1350926668853734</v>
      </c>
      <c r="E36" s="17">
        <f t="shared" si="12"/>
        <v>-0.17951168816925378</v>
      </c>
      <c r="F36" s="17">
        <f t="shared" si="10"/>
        <v>-0.49906054051269688</v>
      </c>
    </row>
    <row r="37" spans="1:6" x14ac:dyDescent="0.2">
      <c r="A37" t="str">
        <f t="shared" si="11"/>
        <v>RQF4 HE below degree level</v>
      </c>
      <c r="B37" s="17">
        <f t="shared" ref="B37:E37" si="13">IF(C$3-B$3 &lt;&gt; 0,(EXP(LN(C9/B9)/(C$3-B$3))-1)*100,0)</f>
        <v>1.365493512218463</v>
      </c>
      <c r="C37" s="17">
        <f t="shared" si="13"/>
        <v>6.8264784404810319</v>
      </c>
      <c r="D37" s="17">
        <f t="shared" si="13"/>
        <v>-0.38687904324113953</v>
      </c>
      <c r="E37" s="17">
        <f t="shared" si="13"/>
        <v>1.3058875970806127E-3</v>
      </c>
      <c r="F37" s="17">
        <f t="shared" si="10"/>
        <v>-0.12825687976877331</v>
      </c>
    </row>
    <row r="38" spans="1:6" x14ac:dyDescent="0.2">
      <c r="A38" t="str">
        <f t="shared" si="11"/>
        <v>RQF3 A level &amp; equivalent</v>
      </c>
      <c r="B38" s="17">
        <f t="shared" ref="B38:E38" si="14">IF(C$3-B$3 &lt;&gt; 0,(EXP(LN(C10/B10)/(C$3-B$3))-1)*100,0)</f>
        <v>-0.77860768495138233</v>
      </c>
      <c r="C38" s="17">
        <f t="shared" si="14"/>
        <v>-0.58461786791565995</v>
      </c>
      <c r="D38" s="17">
        <f t="shared" si="14"/>
        <v>-2.2749883088659439</v>
      </c>
      <c r="E38" s="17">
        <f t="shared" si="14"/>
        <v>-2.4574365825143385</v>
      </c>
      <c r="F38" s="17">
        <f t="shared" si="10"/>
        <v>-2.3966583697202615</v>
      </c>
    </row>
    <row r="39" spans="1:6" x14ac:dyDescent="0.2">
      <c r="A39" t="str">
        <f t="shared" si="11"/>
        <v>RQF2 GCSE(A-C) &amp; equivalent</v>
      </c>
      <c r="B39" s="17">
        <f t="shared" ref="B39:E39" si="15">IF(C$3-B$3 &lt;&gt; 0,(EXP(LN(C11/B11)/(C$3-B$3))-1)*100,0)</f>
        <v>1.483028819430432</v>
      </c>
      <c r="C39" s="17">
        <f t="shared" si="15"/>
        <v>-18.937526311085417</v>
      </c>
      <c r="D39" s="17">
        <f t="shared" si="15"/>
        <v>-0.98417351390068797</v>
      </c>
      <c r="E39" s="17">
        <f t="shared" si="15"/>
        <v>-3.7068354048952923</v>
      </c>
      <c r="F39" s="17">
        <f t="shared" si="10"/>
        <v>-2.80770317114587</v>
      </c>
    </row>
    <row r="40" spans="1:6" x14ac:dyDescent="0.2">
      <c r="A40" t="str">
        <f t="shared" si="11"/>
        <v>RQF1 GCSE(below grade C) &amp; equivalent</v>
      </c>
      <c r="B40" s="17">
        <f t="shared" ref="B40:E40" si="16">IF(C$3-B$3 &lt;&gt; 0,(EXP(LN(C12/B12)/(C$3-B$3))-1)*100,0)</f>
        <v>-1.2095021446737242</v>
      </c>
      <c r="C40" s="17">
        <f t="shared" si="16"/>
        <v>-6.959383599849378</v>
      </c>
      <c r="D40" s="17">
        <f t="shared" si="16"/>
        <v>-2.4809206593211952</v>
      </c>
      <c r="E40" s="17">
        <f t="shared" si="16"/>
        <v>-4.7024726042668163</v>
      </c>
      <c r="F40" s="17">
        <f t="shared" si="10"/>
        <v>-3.9676361558911077</v>
      </c>
    </row>
    <row r="41" spans="1:6" x14ac:dyDescent="0.2">
      <c r="A41" t="str">
        <f t="shared" si="11"/>
        <v>No Qualification</v>
      </c>
      <c r="B41" s="17">
        <f t="shared" ref="B41:E41" si="17">IF(C$3-B$3 &lt;&gt; 0,(EXP(LN(C13/B13)/(C$3-B$3))-1)*100,0)</f>
        <v>-3.9109658659262192</v>
      </c>
      <c r="C41" s="17">
        <f t="shared" si="17"/>
        <v>-35.793231161677618</v>
      </c>
      <c r="D41" s="17">
        <f t="shared" si="17"/>
        <v>-4.1366133705372015</v>
      </c>
      <c r="E41" s="17">
        <f t="shared" si="17"/>
        <v>-6.3740095449132621</v>
      </c>
      <c r="F41" s="17">
        <f t="shared" si="10"/>
        <v>-5.6340740096215036</v>
      </c>
    </row>
    <row r="42" spans="1:6" x14ac:dyDescent="0.2">
      <c r="B42" s="17"/>
      <c r="C42" s="17"/>
      <c r="D42" s="17"/>
      <c r="E42" s="17"/>
      <c r="F42" s="17"/>
    </row>
    <row r="43" spans="1:6" x14ac:dyDescent="0.2">
      <c r="A43" t="str">
        <f>$A29</f>
        <v>All qualifications</v>
      </c>
      <c r="B43" s="17">
        <f>IF(C$3-B$3 &lt;&gt; 0,(EXP(LN(C15/B15)/(C$3-B$3))-1)*100,0)</f>
        <v>1.7331796103516872</v>
      </c>
      <c r="C43" s="17">
        <f t="shared" ref="C43" si="18">IF(D$3-C$3 &lt;&gt; 0,(EXP(LN(D15/C15)/(D$3-C$3))-1)*100,0)</f>
        <v>-0.54833096223987354</v>
      </c>
      <c r="D43" s="17">
        <f>IF(E$3-D$3 &lt;&gt; 0,(EXP(LN(E15/D15)/(E$3-D$3))-1)*100,0)</f>
        <v>0.80192927975619721</v>
      </c>
      <c r="E43" s="17">
        <f>IF(F$3-E$3 &lt;&gt; 0,(EXP(LN(F15/E15)/(F$3-E$3))-1)*100,0)</f>
        <v>0.47742864675837104</v>
      </c>
      <c r="F43" s="17">
        <f t="shared" si="10"/>
        <v>0.58547928810912531</v>
      </c>
    </row>
    <row r="44" spans="1:6" x14ac:dyDescent="0.2">
      <c r="B44" s="17"/>
      <c r="C44" s="17"/>
      <c r="D44" s="17"/>
      <c r="E44" s="17"/>
      <c r="F44" s="17"/>
    </row>
    <row r="46" spans="1:6" x14ac:dyDescent="0.2">
      <c r="A46" s="1" t="s">
        <v>15</v>
      </c>
      <c r="B46" s="19" t="str">
        <f>CONCATENATE(B$3,"-",C$3)</f>
        <v>2015-2019</v>
      </c>
      <c r="C46" s="19" t="str">
        <f>CONCATENATE(C$3,"-",D$3)</f>
        <v>2019-2020</v>
      </c>
      <c r="D46" s="19" t="str">
        <f>CONCATENATE(D$3,"-",E$3)</f>
        <v>2020-2025</v>
      </c>
      <c r="E46" s="19" t="str">
        <f>CONCATENATE(E$3,"-",F$3)</f>
        <v>2025-2035</v>
      </c>
      <c r="F46" s="19" t="str">
        <f>CONCATENATE(D$3,"-",F$3)</f>
        <v>2020-2035</v>
      </c>
    </row>
    <row r="47" spans="1:6" x14ac:dyDescent="0.2">
      <c r="A47" t="str">
        <f>$A33</f>
        <v>RQF8 Doctorate</v>
      </c>
      <c r="B47" s="26">
        <f>C5-B5</f>
        <v>37.669847490854195</v>
      </c>
      <c r="C47" s="26">
        <f>D5-C5</f>
        <v>10.342471964451477</v>
      </c>
      <c r="D47" s="26">
        <f>E5-D5</f>
        <v>58.780518153744737</v>
      </c>
      <c r="E47" s="26">
        <f>F5-E5</f>
        <v>110.875604186277</v>
      </c>
      <c r="F47" s="26">
        <f>F5-D5</f>
        <v>169.65612234002174</v>
      </c>
    </row>
    <row r="48" spans="1:6" x14ac:dyDescent="0.2">
      <c r="A48" t="str">
        <f t="shared" ref="A48:A55" si="19">$A34</f>
        <v>RQF7 Other higher degree</v>
      </c>
      <c r="B48" s="26">
        <f t="shared" ref="B48:E48" si="20">C6-B6</f>
        <v>289.62269848568133</v>
      </c>
      <c r="C48" s="26">
        <f t="shared" si="20"/>
        <v>115.78701704513696</v>
      </c>
      <c r="D48" s="26">
        <f t="shared" si="20"/>
        <v>456.46831087150622</v>
      </c>
      <c r="E48" s="26">
        <f t="shared" si="20"/>
        <v>891.29652354292284</v>
      </c>
      <c r="F48" s="26">
        <f t="shared" ref="F48:F57" si="21">F6-D6</f>
        <v>1347.7648344144291</v>
      </c>
    </row>
    <row r="49" spans="1:6" x14ac:dyDescent="0.2">
      <c r="A49" t="str">
        <f t="shared" si="19"/>
        <v>RQF6 First degree</v>
      </c>
      <c r="B49" s="26">
        <f t="shared" ref="B49:E49" si="22">C7-B7</f>
        <v>99.894989355366988</v>
      </c>
      <c r="C49" s="26">
        <f t="shared" si="22"/>
        <v>65.276076572308739</v>
      </c>
      <c r="D49" s="26">
        <f t="shared" si="22"/>
        <v>-39.343775091328325</v>
      </c>
      <c r="E49" s="26">
        <f t="shared" si="22"/>
        <v>-115.10259797120216</v>
      </c>
      <c r="F49" s="26">
        <f t="shared" si="21"/>
        <v>-154.44637306253048</v>
      </c>
    </row>
    <row r="50" spans="1:6" x14ac:dyDescent="0.2">
      <c r="A50" t="str">
        <f t="shared" si="19"/>
        <v>RQF5 Foundation degree;Nursing;Teaching</v>
      </c>
      <c r="B50" s="26">
        <f t="shared" ref="B50:E50" si="23">C8-B8</f>
        <v>-1.6811887048029917</v>
      </c>
      <c r="C50" s="26">
        <f t="shared" si="23"/>
        <v>24.490115917146113</v>
      </c>
      <c r="D50" s="26">
        <f t="shared" si="23"/>
        <v>-21.213306461504544</v>
      </c>
      <c r="E50" s="26">
        <f t="shared" si="23"/>
        <v>-6.4307860069184812</v>
      </c>
      <c r="F50" s="26">
        <f t="shared" si="21"/>
        <v>-27.644092468423025</v>
      </c>
    </row>
    <row r="51" spans="1:6" x14ac:dyDescent="0.2">
      <c r="A51" t="str">
        <f t="shared" si="19"/>
        <v>RQF4 HE below degree level</v>
      </c>
      <c r="B51" s="26">
        <f t="shared" ref="B51:E51" si="24">C9-B9</f>
        <v>19.388850911830218</v>
      </c>
      <c r="C51" s="26">
        <f t="shared" si="24"/>
        <v>25.065396713845644</v>
      </c>
      <c r="D51" s="26">
        <f t="shared" si="24"/>
        <v>-7.5290746114391141</v>
      </c>
      <c r="E51" s="26">
        <f t="shared" si="24"/>
        <v>5.0242451934252585E-2</v>
      </c>
      <c r="F51" s="26">
        <f t="shared" si="21"/>
        <v>-7.4788321595048615</v>
      </c>
    </row>
    <row r="52" spans="1:6" x14ac:dyDescent="0.2">
      <c r="A52" t="str">
        <f t="shared" si="19"/>
        <v>RQF3 A level &amp; equivalent</v>
      </c>
      <c r="B52" s="26">
        <f t="shared" ref="B52:E52" si="25">C10-B10</f>
        <v>-24.220994955825404</v>
      </c>
      <c r="C52" s="26">
        <f t="shared" si="25"/>
        <v>-4.4584314645193217</v>
      </c>
      <c r="D52" s="26">
        <f t="shared" si="25"/>
        <v>-82.40512079776272</v>
      </c>
      <c r="E52" s="26">
        <f t="shared" si="25"/>
        <v>-148.85272782424022</v>
      </c>
      <c r="F52" s="26">
        <f t="shared" si="21"/>
        <v>-231.25784862200294</v>
      </c>
    </row>
    <row r="53" spans="1:6" x14ac:dyDescent="0.2">
      <c r="A53" t="str">
        <f t="shared" si="19"/>
        <v>RQF2 GCSE(A-C) &amp; equivalent</v>
      </c>
      <c r="B53" s="26">
        <f t="shared" ref="B53:E53" si="26">C11-B11</f>
        <v>44.452018073228032</v>
      </c>
      <c r="C53" s="26">
        <f>D11-C11</f>
        <v>-147.20747976949292</v>
      </c>
      <c r="D53" s="26">
        <f t="shared" si="26"/>
        <v>-30.403240469148955</v>
      </c>
      <c r="E53" s="26">
        <f t="shared" si="26"/>
        <v>-188.66242581569094</v>
      </c>
      <c r="F53" s="26">
        <f t="shared" si="21"/>
        <v>-219.06566628483989</v>
      </c>
    </row>
    <row r="54" spans="1:6" x14ac:dyDescent="0.2">
      <c r="A54" t="str">
        <f t="shared" si="19"/>
        <v>RQF1 GCSE(below grade C) &amp; equivalent</v>
      </c>
      <c r="B54" s="26">
        <f t="shared" ref="B54:E54" si="27">C12-B12</f>
        <v>-29.418565931001126</v>
      </c>
      <c r="C54" s="26">
        <f t="shared" si="27"/>
        <v>-41.04624017219885</v>
      </c>
      <c r="D54" s="26">
        <f t="shared" si="27"/>
        <v>-64.77557933922418</v>
      </c>
      <c r="E54" s="26">
        <f t="shared" si="27"/>
        <v>-184.99707897097028</v>
      </c>
      <c r="F54" s="26">
        <f t="shared" si="21"/>
        <v>-249.77265831019446</v>
      </c>
    </row>
    <row r="55" spans="1:6" x14ac:dyDescent="0.2">
      <c r="A55" t="str">
        <f t="shared" si="19"/>
        <v>No Qualification</v>
      </c>
      <c r="B55" s="26">
        <f t="shared" ref="B55:E55" si="28">C13-B13</f>
        <v>-39.14665473116662</v>
      </c>
      <c r="C55" s="26">
        <f t="shared" si="28"/>
        <v>-80.984926799613646</v>
      </c>
      <c r="D55" s="26">
        <f t="shared" si="28"/>
        <v>-27.661732249494278</v>
      </c>
      <c r="E55" s="26">
        <f t="shared" si="28"/>
        <v>-56.739753595334435</v>
      </c>
      <c r="F55" s="26">
        <f t="shared" si="21"/>
        <v>-84.401485844828713</v>
      </c>
    </row>
    <row r="56" spans="1:6" x14ac:dyDescent="0.2">
      <c r="B56" s="20"/>
      <c r="C56" s="26"/>
      <c r="D56" s="20"/>
      <c r="E56" s="20"/>
      <c r="F56" s="26"/>
    </row>
    <row r="57" spans="1:6" x14ac:dyDescent="0.2">
      <c r="A57" s="23" t="str">
        <f>$A43</f>
        <v>All qualifications</v>
      </c>
      <c r="B57" s="28">
        <f>C15-B15</f>
        <v>396.56099999416347</v>
      </c>
      <c r="C57" s="28">
        <f t="shared" ref="C57" si="29">D15-C15</f>
        <v>-32.73599999293674</v>
      </c>
      <c r="D57" s="28">
        <f>E15-D15</f>
        <v>241.91700000534911</v>
      </c>
      <c r="E57" s="28">
        <f>F15-E15</f>
        <v>301.43699999677847</v>
      </c>
      <c r="F57" s="28">
        <f t="shared" si="21"/>
        <v>543.35400000212758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0" customWidth="1"/>
    <col min="2" max="8" width="9.140625" style="80"/>
    <col min="9" max="9" width="31.85546875" style="80" customWidth="1"/>
    <col min="10" max="10" width="11.28515625" style="80" customWidth="1"/>
    <col min="11" max="11" width="6.140625" style="80" customWidth="1"/>
    <col min="12" max="12" width="27.140625" customWidth="1"/>
    <col min="13" max="13" width="5.7109375" bestFit="1" customWidth="1"/>
    <col min="14" max="20" width="6" bestFit="1" customWidth="1"/>
    <col min="21" max="21" width="5.7109375" bestFit="1" customWidth="1"/>
    <col min="22" max="30" width="6" bestFit="1" customWidth="1"/>
    <col min="31" max="32" width="6.42578125" bestFit="1" customWidth="1"/>
    <col min="33" max="33" width="6" bestFit="1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79" t="str">
        <f>CONCATENATE("Qualification Figure 1  Employment by Qualification, ",$M$2,"-",$O$2,", ",Info!B5)</f>
        <v>Qualification Figure 1  Employment by Qualification, 2010-2035, London</v>
      </c>
      <c r="H1"/>
      <c r="L1" s="45"/>
    </row>
    <row r="2" spans="1:68" x14ac:dyDescent="0.2">
      <c r="A2" s="1" t="s">
        <v>539</v>
      </c>
      <c r="L2" s="15" t="s">
        <v>28</v>
      </c>
      <c r="M2" s="15">
        <f>M4</f>
        <v>2010</v>
      </c>
      <c r="N2" s="46" t="s">
        <v>27</v>
      </c>
      <c r="O2" s="47">
        <f>MAX(M4:BP4)</f>
        <v>2035</v>
      </c>
    </row>
    <row r="3" spans="1:68" x14ac:dyDescent="0.2">
      <c r="L3" s="15"/>
      <c r="M3" s="15"/>
      <c r="N3" s="46"/>
      <c r="O3" s="15"/>
    </row>
    <row r="4" spans="1:68" x14ac:dyDescent="0.2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</row>
    <row r="6" spans="1:68" x14ac:dyDescent="0.2">
      <c r="L6" s="232" t="str">
        <f>name!F12</f>
        <v>No Qualification</v>
      </c>
      <c r="M6" s="11">
        <v>288.56626848616816</v>
      </c>
      <c r="N6" s="11">
        <v>248.5331135054833</v>
      </c>
      <c r="O6" s="11">
        <v>270.87482440880035</v>
      </c>
      <c r="P6" s="11">
        <v>267.48400348109072</v>
      </c>
      <c r="Q6" s="11">
        <v>251.66761726649807</v>
      </c>
      <c r="R6" s="11">
        <v>265.40431343151045</v>
      </c>
      <c r="S6" s="11">
        <v>212.32662165413115</v>
      </c>
      <c r="T6" s="11">
        <v>233.8516030791267</v>
      </c>
      <c r="U6" s="11">
        <v>222.58107021421756</v>
      </c>
      <c r="V6" s="11">
        <v>226.25765870034382</v>
      </c>
      <c r="W6" s="11">
        <v>145.27273190073018</v>
      </c>
      <c r="X6" s="11">
        <v>166.20546362862419</v>
      </c>
      <c r="Y6" s="11">
        <v>150.98078980712501</v>
      </c>
      <c r="Z6" s="11">
        <v>138.34543176013977</v>
      </c>
      <c r="AA6" s="11">
        <v>125.99282952597922</v>
      </c>
      <c r="AB6" s="11">
        <v>117.6109996512359</v>
      </c>
      <c r="AC6" s="11">
        <v>110.03728189109906</v>
      </c>
      <c r="AD6" s="11">
        <v>102.82356487628782</v>
      </c>
      <c r="AE6" s="11">
        <v>96.006106726790762</v>
      </c>
      <c r="AF6" s="11">
        <v>89.585558179973461</v>
      </c>
      <c r="AG6" s="11">
        <v>83.587141470876674</v>
      </c>
      <c r="AH6" s="11">
        <v>77.967791298009061</v>
      </c>
      <c r="AI6" s="11">
        <v>72.728189163010768</v>
      </c>
      <c r="AJ6" s="11">
        <v>67.857116922437712</v>
      </c>
      <c r="AK6" s="11">
        <v>63.453359881931853</v>
      </c>
      <c r="AL6" s="11">
        <v>60.871246055901466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</row>
    <row r="7" spans="1:68" x14ac:dyDescent="0.2">
      <c r="L7" s="232" t="str">
        <f>name!F11</f>
        <v>RQF1 GCSE(below grade C) &amp; equivalent</v>
      </c>
      <c r="M7" s="11">
        <v>719.06359627358381</v>
      </c>
      <c r="N7" s="11">
        <v>631.20066461723582</v>
      </c>
      <c r="O7" s="11">
        <v>559.38171410161181</v>
      </c>
      <c r="P7" s="11">
        <v>595.30784208003297</v>
      </c>
      <c r="Q7" s="11">
        <v>605.88718719975088</v>
      </c>
      <c r="R7" s="11">
        <v>619.2156303303135</v>
      </c>
      <c r="S7" s="11">
        <v>625.16533412426054</v>
      </c>
      <c r="T7" s="11">
        <v>607.94261077153499</v>
      </c>
      <c r="U7" s="11">
        <v>661.24031458462719</v>
      </c>
      <c r="V7" s="11">
        <v>589.79706439931238</v>
      </c>
      <c r="W7" s="11">
        <v>548.75082422711353</v>
      </c>
      <c r="X7" s="11">
        <v>494.56236345484416</v>
      </c>
      <c r="Y7" s="11">
        <v>530.28782221072402</v>
      </c>
      <c r="Z7" s="11">
        <v>516.16663436663214</v>
      </c>
      <c r="AA7" s="11">
        <v>501.11606220465518</v>
      </c>
      <c r="AB7" s="11">
        <v>483.97524488788935</v>
      </c>
      <c r="AC7" s="11">
        <v>466.18740383552904</v>
      </c>
      <c r="AD7" s="11">
        <v>448.00435534252335</v>
      </c>
      <c r="AE7" s="11">
        <v>429.62152982472725</v>
      </c>
      <c r="AF7" s="11">
        <v>411.08766017830317</v>
      </c>
      <c r="AG7" s="11">
        <v>392.58130115279153</v>
      </c>
      <c r="AH7" s="11">
        <v>373.95725554860906</v>
      </c>
      <c r="AI7" s="11">
        <v>355.28333351992137</v>
      </c>
      <c r="AJ7" s="11">
        <v>336.57001908506373</v>
      </c>
      <c r="AK7" s="11">
        <v>317.81887062104067</v>
      </c>
      <c r="AL7" s="11">
        <v>298.97816591691907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</row>
    <row r="8" spans="1:68" x14ac:dyDescent="0.2">
      <c r="L8" s="232" t="str">
        <f>name!F10</f>
        <v>RQF2 GCSE(A-C) &amp; equivalent</v>
      </c>
      <c r="M8" s="11">
        <v>818.6584287345961</v>
      </c>
      <c r="N8" s="11">
        <v>743.84667153374221</v>
      </c>
      <c r="O8" s="11">
        <v>757.38470236827152</v>
      </c>
      <c r="P8" s="11">
        <v>720.29253049646866</v>
      </c>
      <c r="Q8" s="11">
        <v>773.90350564980201</v>
      </c>
      <c r="R8" s="11">
        <v>732.88012843485296</v>
      </c>
      <c r="S8" s="11">
        <v>768.5526369547872</v>
      </c>
      <c r="T8" s="11">
        <v>757.58090601552612</v>
      </c>
      <c r="U8" s="11">
        <v>802.84577803681157</v>
      </c>
      <c r="V8" s="11">
        <v>777.332146508081</v>
      </c>
      <c r="W8" s="11">
        <v>630.12466673858808</v>
      </c>
      <c r="X8" s="11">
        <v>640.00314761469986</v>
      </c>
      <c r="Y8" s="11">
        <v>653.72456566626215</v>
      </c>
      <c r="Z8" s="11">
        <v>636.83446389890332</v>
      </c>
      <c r="AA8" s="11">
        <v>619.32383282979242</v>
      </c>
      <c r="AB8" s="11">
        <v>599.72142626943912</v>
      </c>
      <c r="AC8" s="11">
        <v>579.79492898788783</v>
      </c>
      <c r="AD8" s="11">
        <v>559.85052574106055</v>
      </c>
      <c r="AE8" s="11">
        <v>540.11007160942631</v>
      </c>
      <c r="AF8" s="11">
        <v>520.62237287181688</v>
      </c>
      <c r="AG8" s="11">
        <v>501.59697238234997</v>
      </c>
      <c r="AH8" s="11">
        <v>482.83912423572252</v>
      </c>
      <c r="AI8" s="11">
        <v>464.41857368477827</v>
      </c>
      <c r="AJ8" s="11">
        <v>446.33389652173048</v>
      </c>
      <c r="AK8" s="11">
        <v>428.57173481629525</v>
      </c>
      <c r="AL8" s="11">
        <v>411.05900045374818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</row>
    <row r="9" spans="1:68" x14ac:dyDescent="0.2">
      <c r="L9" s="232" t="str">
        <f>name!F9</f>
        <v>RQF3 A level &amp; equivalent</v>
      </c>
      <c r="M9" s="11">
        <v>692.10172751172217</v>
      </c>
      <c r="N9" s="11">
        <v>658.83884974868806</v>
      </c>
      <c r="O9" s="11">
        <v>744.88597417400729</v>
      </c>
      <c r="P9" s="11">
        <v>734.40629962391722</v>
      </c>
      <c r="Q9" s="11">
        <v>799.49787288542746</v>
      </c>
      <c r="R9" s="11">
        <v>786.84419024320039</v>
      </c>
      <c r="S9" s="11">
        <v>799.49743747520574</v>
      </c>
      <c r="T9" s="11">
        <v>824.50925167058915</v>
      </c>
      <c r="U9" s="11">
        <v>735.36818085156801</v>
      </c>
      <c r="V9" s="11">
        <v>762.62319528737498</v>
      </c>
      <c r="W9" s="11">
        <v>758.16476382285566</v>
      </c>
      <c r="X9" s="11">
        <v>699.30047837127847</v>
      </c>
      <c r="Y9" s="11">
        <v>714.25463880491452</v>
      </c>
      <c r="Z9" s="11">
        <v>702.74276953356321</v>
      </c>
      <c r="AA9" s="11">
        <v>690.49210395621412</v>
      </c>
      <c r="AB9" s="11">
        <v>675.75964302509294</v>
      </c>
      <c r="AC9" s="11">
        <v>660.47767839161611</v>
      </c>
      <c r="AD9" s="11">
        <v>645.00480519162943</v>
      </c>
      <c r="AE9" s="11">
        <v>629.57197576635701</v>
      </c>
      <c r="AF9" s="11">
        <v>614.24192808212399</v>
      </c>
      <c r="AG9" s="11">
        <v>599.25624654417993</v>
      </c>
      <c r="AH9" s="11">
        <v>584.39645021415652</v>
      </c>
      <c r="AI9" s="11">
        <v>569.74150823843945</v>
      </c>
      <c r="AJ9" s="11">
        <v>555.29127781546492</v>
      </c>
      <c r="AK9" s="11">
        <v>541.03159795910562</v>
      </c>
      <c r="AL9" s="11">
        <v>526.90691520085272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</row>
    <row r="10" spans="1:68" x14ac:dyDescent="0.2">
      <c r="L10" s="232" t="str">
        <f>name!F8</f>
        <v>RQF4 HE below degree level</v>
      </c>
      <c r="M10" s="11">
        <v>271.47392804450686</v>
      </c>
      <c r="N10" s="11">
        <v>311.23396533939092</v>
      </c>
      <c r="O10" s="11">
        <v>335.48591814137194</v>
      </c>
      <c r="P10" s="11">
        <v>349.60720466771846</v>
      </c>
      <c r="Q10" s="11">
        <v>366.37839393480868</v>
      </c>
      <c r="R10" s="11">
        <v>347.79017019527225</v>
      </c>
      <c r="S10" s="11">
        <v>338.7427459634568</v>
      </c>
      <c r="T10" s="11">
        <v>354.02804390113783</v>
      </c>
      <c r="U10" s="11">
        <v>351.05851527730539</v>
      </c>
      <c r="V10" s="11">
        <v>367.17902110710247</v>
      </c>
      <c r="W10" s="11">
        <v>392.24441782094812</v>
      </c>
      <c r="X10" s="11">
        <v>404.41214785939985</v>
      </c>
      <c r="Y10" s="11">
        <v>379.24234800306209</v>
      </c>
      <c r="Z10" s="11">
        <v>382.01530165524167</v>
      </c>
      <c r="AA10" s="11">
        <v>384.2220078912506</v>
      </c>
      <c r="AB10" s="11">
        <v>384.715343209509</v>
      </c>
      <c r="AC10" s="11">
        <v>384.83648728457064</v>
      </c>
      <c r="AD10" s="11">
        <v>384.81558958900519</v>
      </c>
      <c r="AE10" s="11">
        <v>385.00471158703107</v>
      </c>
      <c r="AF10" s="11">
        <v>385.0726056203772</v>
      </c>
      <c r="AG10" s="11">
        <v>385.30301823171095</v>
      </c>
      <c r="AH10">
        <v>385.35605509251292</v>
      </c>
      <c r="AI10">
        <v>385.34311344327483</v>
      </c>
      <c r="AJ10">
        <v>385.34114338297496</v>
      </c>
      <c r="AK10">
        <v>385.34253889852295</v>
      </c>
      <c r="AL10" s="11">
        <v>384.76558566144325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</row>
    <row r="11" spans="1:68" x14ac:dyDescent="0.2">
      <c r="L11" s="232" t="str">
        <f>name!F7</f>
        <v>RQF5 Foundation degree;Nursing;Teaching</v>
      </c>
      <c r="M11" s="11">
        <v>321.11526749891073</v>
      </c>
      <c r="N11" s="11">
        <v>353.67904248869593</v>
      </c>
      <c r="O11" s="11">
        <v>367.9769645706923</v>
      </c>
      <c r="P11" s="11">
        <v>378.50607403590561</v>
      </c>
      <c r="Q11" s="11">
        <v>388.71654803443153</v>
      </c>
      <c r="R11" s="11">
        <v>359.54549744715496</v>
      </c>
      <c r="S11" s="11">
        <v>343.06524918327693</v>
      </c>
      <c r="T11" s="11">
        <v>355.72049103708054</v>
      </c>
      <c r="U11" s="11">
        <v>346.73913719777295</v>
      </c>
      <c r="V11" s="11">
        <v>357.86430874235197</v>
      </c>
      <c r="W11" s="11">
        <v>382.35442465949808</v>
      </c>
      <c r="X11" s="11">
        <v>386.90260426014493</v>
      </c>
      <c r="Y11" s="11">
        <v>361.86464510854171</v>
      </c>
      <c r="Z11" s="11">
        <v>362.08562589470819</v>
      </c>
      <c r="AA11" s="11">
        <v>362.32673708874051</v>
      </c>
      <c r="AB11" s="11">
        <v>361.14111819799353</v>
      </c>
      <c r="AC11" s="11">
        <v>359.77406524547933</v>
      </c>
      <c r="AD11" s="11">
        <v>358.34522011293728</v>
      </c>
      <c r="AE11" s="11">
        <v>357.5881076231916</v>
      </c>
      <c r="AF11" s="11">
        <v>357.05885828320083</v>
      </c>
      <c r="AG11" s="11">
        <v>356.64091961993222</v>
      </c>
      <c r="AH11">
        <v>356.2030593615259</v>
      </c>
      <c r="AI11">
        <v>355.90639600049082</v>
      </c>
      <c r="AJ11">
        <v>355.58833524236053</v>
      </c>
      <c r="AK11">
        <v>355.15396664356751</v>
      </c>
      <c r="AL11" s="11">
        <v>354.71033219107505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</row>
    <row r="12" spans="1:68" x14ac:dyDescent="0.2">
      <c r="L12" s="232" t="str">
        <f>name!F6</f>
        <v>RQF6 First degree</v>
      </c>
      <c r="M12" s="11">
        <v>1081.0616091988657</v>
      </c>
      <c r="N12" s="11">
        <v>1233.0661271419162</v>
      </c>
      <c r="O12" s="11">
        <v>1347.1746658997129</v>
      </c>
      <c r="P12" s="11">
        <v>1424.3859319899802</v>
      </c>
      <c r="Q12" s="11">
        <v>1547.5942012983387</v>
      </c>
      <c r="R12" s="11">
        <v>1466.8215340858858</v>
      </c>
      <c r="S12" s="11">
        <v>1416.5744476699724</v>
      </c>
      <c r="T12" s="11">
        <v>1497.4713058368429</v>
      </c>
      <c r="U12" s="11">
        <v>1515.2858548578927</v>
      </c>
      <c r="V12" s="11">
        <v>1566.7165234412528</v>
      </c>
      <c r="W12" s="11">
        <v>1631.9926000135615</v>
      </c>
      <c r="X12" s="11">
        <v>1684.1047378088867</v>
      </c>
      <c r="Y12" s="11">
        <v>1588.970873488473</v>
      </c>
      <c r="Z12" s="11">
        <v>1594.031519485211</v>
      </c>
      <c r="AA12" s="11">
        <v>1596.4422986614093</v>
      </c>
      <c r="AB12" s="11">
        <v>1592.6488249222332</v>
      </c>
      <c r="AC12" s="11">
        <v>1586.3469906402038</v>
      </c>
      <c r="AD12" s="11">
        <v>1578.2878303134091</v>
      </c>
      <c r="AE12" s="11">
        <v>1568.168426122641</v>
      </c>
      <c r="AF12" s="11">
        <v>1556.948217017577</v>
      </c>
      <c r="AG12" s="11">
        <v>1545.3660630132676</v>
      </c>
      <c r="AH12">
        <v>1533.0549281612837</v>
      </c>
      <c r="AI12">
        <v>1520.0412793768089</v>
      </c>
      <c r="AJ12">
        <v>1506.4059240111594</v>
      </c>
      <c r="AK12">
        <v>1492.1863683305542</v>
      </c>
      <c r="AL12">
        <v>1477.546226951031</v>
      </c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</row>
    <row r="13" spans="1:68" x14ac:dyDescent="0.2">
      <c r="L13" s="232" t="str">
        <f>name!F5</f>
        <v>RQF7 Other higher degree</v>
      </c>
      <c r="M13" s="11">
        <v>555.89095578025263</v>
      </c>
      <c r="N13" s="11">
        <v>596.03667300991151</v>
      </c>
      <c r="O13" s="11">
        <v>619.98330364556239</v>
      </c>
      <c r="P13" s="11">
        <v>638.83808962936723</v>
      </c>
      <c r="Q13" s="11">
        <v>663.21774541887714</v>
      </c>
      <c r="R13" s="11">
        <v>881.41613377129386</v>
      </c>
      <c r="S13" s="11">
        <v>1093.2395411833722</v>
      </c>
      <c r="T13" s="11">
        <v>1092.4323243238143</v>
      </c>
      <c r="U13" s="11">
        <v>1123.9721302651774</v>
      </c>
      <c r="V13" s="11">
        <v>1171.0388322569752</v>
      </c>
      <c r="W13" s="11">
        <v>1286.8258493021121</v>
      </c>
      <c r="X13" s="11">
        <v>1340.4619733748671</v>
      </c>
      <c r="Y13" s="11">
        <v>1465.6103955418887</v>
      </c>
      <c r="Z13" s="11">
        <v>1559.5589106262205</v>
      </c>
      <c r="AA13" s="11">
        <v>1653.7450600411</v>
      </c>
      <c r="AB13" s="11">
        <v>1743.2941601736184</v>
      </c>
      <c r="AC13" s="11">
        <v>1832.0843191236597</v>
      </c>
      <c r="AD13" s="11">
        <v>1920.5036996172817</v>
      </c>
      <c r="AE13" s="11">
        <v>2009.1406715903622</v>
      </c>
      <c r="AF13" s="11">
        <v>2097.906978800273</v>
      </c>
      <c r="AG13" s="11">
        <v>2187.529851509003</v>
      </c>
      <c r="AH13">
        <v>2277.0976833479717</v>
      </c>
      <c r="AI13">
        <v>2366.7839935204247</v>
      </c>
      <c r="AJ13">
        <v>2456.466827587451</v>
      </c>
      <c r="AK13">
        <v>2545.9224898277284</v>
      </c>
      <c r="AL13">
        <v>2634.5906837165412</v>
      </c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</row>
    <row r="14" spans="1:68" x14ac:dyDescent="0.2">
      <c r="L14" s="232" t="str">
        <f>name!F4</f>
        <v>RQF8 Doctorate</v>
      </c>
      <c r="M14" s="11">
        <v>75.882218470058589</v>
      </c>
      <c r="N14" s="11">
        <v>76.873892619238987</v>
      </c>
      <c r="O14" s="11">
        <v>79.709932695044643</v>
      </c>
      <c r="P14" s="11">
        <v>83.416024000153755</v>
      </c>
      <c r="Q14" s="11">
        <v>87.895928314454352</v>
      </c>
      <c r="R14" s="11">
        <v>113.63840206462548</v>
      </c>
      <c r="S14" s="11">
        <v>141.01098579512791</v>
      </c>
      <c r="T14" s="11">
        <v>141.46946335821406</v>
      </c>
      <c r="U14" s="11">
        <v>144.41701871080423</v>
      </c>
      <c r="V14" s="11">
        <v>151.30824955547968</v>
      </c>
      <c r="W14" s="11">
        <v>161.65072151993115</v>
      </c>
      <c r="X14" s="11">
        <v>171.21408363771428</v>
      </c>
      <c r="Y14" s="11">
        <v>185.79992137679679</v>
      </c>
      <c r="Z14" s="11">
        <v>197.4633427873494</v>
      </c>
      <c r="AA14" s="11">
        <v>209.23106781007948</v>
      </c>
      <c r="AB14" s="11">
        <v>220.43123967367589</v>
      </c>
      <c r="AC14" s="11">
        <v>231.48484461171302</v>
      </c>
      <c r="AD14" s="11">
        <v>242.57840922888386</v>
      </c>
      <c r="AE14" s="11">
        <v>253.59839916597795</v>
      </c>
      <c r="AF14" s="11">
        <v>264.62282098209857</v>
      </c>
      <c r="AG14" s="11">
        <v>275.72948609331178</v>
      </c>
      <c r="AH14">
        <v>286.83765275485291</v>
      </c>
      <c r="AI14">
        <v>297.95761307011844</v>
      </c>
      <c r="AJ14">
        <v>309.07645944884513</v>
      </c>
      <c r="AK14">
        <v>320.20107303764871</v>
      </c>
      <c r="AL14">
        <v>331.30684385995289</v>
      </c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13:68" x14ac:dyDescent="0.2">
      <c r="M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13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13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13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13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13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13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13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13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13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13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13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13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13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13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79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79" t="str">
        <f>CONCATENATE("Qualification Figure 1.1  Employment by Qualification, ",$M$2,"-",$O$2," ",Info!B5)</f>
        <v>Qualification Figure 1.1  Employment by Qualification, 2010-2035 London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0" customWidth="1"/>
    <col min="2" max="6" width="11.7109375" style="90" customWidth="1"/>
    <col min="7" max="7" width="5.7109375" style="90" customWidth="1"/>
    <col min="8" max="12" width="11.7109375" style="90" customWidth="1"/>
    <col min="13" max="16384" width="9.140625" style="90"/>
  </cols>
  <sheetData>
    <row r="1" spans="1:12" ht="15.75" x14ac:dyDescent="0.25">
      <c r="A1" s="18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6"/>
      <c r="L3" s="116" t="s">
        <v>19</v>
      </c>
    </row>
    <row r="4" spans="1:12" x14ac:dyDescent="0.2">
      <c r="A4" s="95"/>
      <c r="B4" s="117" t="s">
        <v>17</v>
      </c>
      <c r="C4" s="95"/>
      <c r="D4" s="95"/>
      <c r="E4" s="95"/>
      <c r="F4" s="118"/>
      <c r="H4" s="117" t="s">
        <v>18</v>
      </c>
      <c r="I4" s="95"/>
      <c r="J4" s="95"/>
      <c r="K4" s="95"/>
      <c r="L4" s="95"/>
    </row>
    <row r="5" spans="1:12" x14ac:dyDescent="0.2">
      <c r="A5" s="91"/>
      <c r="B5" s="119">
        <v>2008</v>
      </c>
      <c r="C5" s="119">
        <v>2010</v>
      </c>
      <c r="D5" s="119">
        <v>2012</v>
      </c>
      <c r="E5" s="119">
        <v>2015</v>
      </c>
      <c r="F5" s="119">
        <v>2020</v>
      </c>
      <c r="H5" s="120" t="str">
        <f>CONCATENATE(B$5,"-",C$5)</f>
        <v>2008-2010</v>
      </c>
      <c r="I5" s="120" t="str">
        <f>CONCATENATE(B$5,"-",D$5)</f>
        <v>2008-2012</v>
      </c>
      <c r="J5" s="120" t="str">
        <f>CONCATENATE(D$5,"-",E$5)</f>
        <v>2012-2015</v>
      </c>
      <c r="K5" s="120" t="str">
        <f>CONCATENATE(E$5,"-",F$5)</f>
        <v>2015-2020</v>
      </c>
      <c r="L5" s="120" t="str">
        <f>CONCATENATE(D$5,"-",F$5)</f>
        <v>2012-2020</v>
      </c>
    </row>
    <row r="7" spans="1:12" s="121" customFormat="1" x14ac:dyDescent="0.2">
      <c r="A7" s="121" t="str">
        <f>name!F4</f>
        <v>RQF8 Doctorate</v>
      </c>
      <c r="B7" s="122">
        <v>71325.851049592791</v>
      </c>
      <c r="C7" s="122">
        <v>67875.205285452204</v>
      </c>
      <c r="D7" s="122">
        <v>65953.088065984106</v>
      </c>
      <c r="E7" s="122">
        <v>63161.5699830265</v>
      </c>
      <c r="F7" s="122">
        <v>59517.030027737295</v>
      </c>
      <c r="H7" s="122">
        <f>C7-B7</f>
        <v>-3450.6457641405868</v>
      </c>
      <c r="I7" s="122">
        <f>D7-B7</f>
        <v>-5372.7629836086853</v>
      </c>
      <c r="J7" s="122">
        <f>E7-D7</f>
        <v>-2791.5180829576057</v>
      </c>
      <c r="K7" s="122">
        <f>F7-E7</f>
        <v>-3644.539955289205</v>
      </c>
      <c r="L7" s="122">
        <f>F7-D7</f>
        <v>-6436.0580382468106</v>
      </c>
    </row>
    <row r="8" spans="1:12" x14ac:dyDescent="0.2">
      <c r="A8" s="90" t="str">
        <f>name!J4</f>
        <v>SE</v>
      </c>
      <c r="B8" s="93">
        <v>21828.171692536111</v>
      </c>
      <c r="C8" s="93">
        <v>20792.172573048945</v>
      </c>
      <c r="D8" s="93">
        <v>20234.216118009812</v>
      </c>
      <c r="E8" s="93">
        <v>19430.497541178578</v>
      </c>
      <c r="F8" s="93">
        <v>18413.968008235337</v>
      </c>
      <c r="H8" s="93">
        <f>C8-B8</f>
        <v>-1035.9991194871654</v>
      </c>
      <c r="I8" s="93">
        <f>D8-B8</f>
        <v>-1593.9555745262987</v>
      </c>
      <c r="J8" s="93">
        <f t="shared" ref="J8:K10" si="0">E8-D8</f>
        <v>-803.7185768312338</v>
      </c>
      <c r="K8" s="93">
        <f t="shared" si="0"/>
        <v>-1016.5295329432411</v>
      </c>
      <c r="L8" s="93">
        <f>F8-D8</f>
        <v>-1820.2481097744749</v>
      </c>
    </row>
    <row r="9" spans="1:12" x14ac:dyDescent="0.2">
      <c r="A9" s="90" t="str">
        <f>name!J5</f>
        <v>FT</v>
      </c>
      <c r="B9" s="93">
        <v>49497.679357056688</v>
      </c>
      <c r="C9" s="93">
        <v>47083.032712403263</v>
      </c>
      <c r="D9" s="93">
        <v>45718.871947974287</v>
      </c>
      <c r="E9" s="93">
        <v>43731.072441847915</v>
      </c>
      <c r="F9" s="93">
        <v>41103.062019501958</v>
      </c>
      <c r="H9" s="93">
        <f>C9-B9</f>
        <v>-2414.646644653425</v>
      </c>
      <c r="I9" s="93">
        <f>D9-B9</f>
        <v>-3778.8074090824011</v>
      </c>
      <c r="J9" s="93">
        <f t="shared" si="0"/>
        <v>-1987.7995061263719</v>
      </c>
      <c r="K9" s="93">
        <f t="shared" si="0"/>
        <v>-2628.0104223459566</v>
      </c>
      <c r="L9" s="93">
        <f>F9-D9</f>
        <v>-4615.8099284723285</v>
      </c>
    </row>
    <row r="10" spans="1:12" x14ac:dyDescent="0.2">
      <c r="A10" s="90" t="str">
        <f>name!J6</f>
        <v>PT</v>
      </c>
      <c r="B10" s="93">
        <v>0</v>
      </c>
      <c r="C10" s="93">
        <v>0</v>
      </c>
      <c r="D10" s="93">
        <v>0</v>
      </c>
      <c r="E10" s="93">
        <v>0</v>
      </c>
      <c r="F10" s="93">
        <v>0</v>
      </c>
      <c r="H10" s="93">
        <f>C10-B10</f>
        <v>0</v>
      </c>
      <c r="I10" s="93">
        <f>D10-B10</f>
        <v>0</v>
      </c>
      <c r="J10" s="93">
        <f t="shared" si="0"/>
        <v>0</v>
      </c>
      <c r="K10" s="93">
        <f t="shared" si="0"/>
        <v>0</v>
      </c>
      <c r="L10" s="93">
        <f>F10-D10</f>
        <v>0</v>
      </c>
    </row>
    <row r="11" spans="1:12" x14ac:dyDescent="0.2">
      <c r="H11" s="93"/>
      <c r="I11" s="93"/>
      <c r="J11" s="93"/>
      <c r="K11" s="93"/>
      <c r="L11" s="93"/>
    </row>
    <row r="12" spans="1:12" s="121" customFormat="1" x14ac:dyDescent="0.2">
      <c r="A12" s="121" t="str">
        <f>name!F5</f>
        <v>RQF7 Other higher degree</v>
      </c>
      <c r="B12" s="122">
        <v>117603.36216609999</v>
      </c>
      <c r="C12" s="122">
        <v>115939.95604983499</v>
      </c>
      <c r="D12" s="122">
        <v>117782.27837055401</v>
      </c>
      <c r="E12" s="122">
        <v>118889.39584623399</v>
      </c>
      <c r="F12" s="122">
        <v>120707.41471465</v>
      </c>
      <c r="H12" s="122">
        <f>C12-B12</f>
        <v>-1663.4061162650032</v>
      </c>
      <c r="I12" s="122">
        <f>D12-B12</f>
        <v>178.9162044540135</v>
      </c>
      <c r="J12" s="122">
        <f t="shared" ref="J12:K14" si="1">E12-D12</f>
        <v>1107.1174756799883</v>
      </c>
      <c r="K12" s="122">
        <f t="shared" si="1"/>
        <v>1818.0188684160094</v>
      </c>
      <c r="L12" s="122">
        <f>F12-D12</f>
        <v>2925.1363440959976</v>
      </c>
    </row>
    <row r="13" spans="1:12" x14ac:dyDescent="0.2">
      <c r="A13" s="90">
        <f>name!J7</f>
        <v>0</v>
      </c>
      <c r="B13" s="93">
        <v>85684.696366442135</v>
      </c>
      <c r="C13" s="93">
        <v>84496.661838978005</v>
      </c>
      <c r="D13" s="93">
        <v>85862.536135946357</v>
      </c>
      <c r="E13" s="93">
        <v>86649.544796460745</v>
      </c>
      <c r="F13" s="93">
        <v>87931.502704386687</v>
      </c>
      <c r="H13" s="93">
        <f>C13-B13</f>
        <v>-1188.0345274641295</v>
      </c>
      <c r="I13" s="93">
        <f>D13-B13</f>
        <v>177.8397695042222</v>
      </c>
      <c r="J13" s="93">
        <f t="shared" si="1"/>
        <v>787.00866051438788</v>
      </c>
      <c r="K13" s="93">
        <f t="shared" si="1"/>
        <v>1281.957907925942</v>
      </c>
      <c r="L13" s="93">
        <f>F13-D13</f>
        <v>2068.9665684403299</v>
      </c>
    </row>
    <row r="14" spans="1:12" x14ac:dyDescent="0.2">
      <c r="A14" s="90">
        <f>name!J8</f>
        <v>0</v>
      </c>
      <c r="B14" s="93">
        <v>31918.665799657861</v>
      </c>
      <c r="C14" s="93">
        <v>31443.29421085698</v>
      </c>
      <c r="D14" s="93">
        <v>31919.742234607653</v>
      </c>
      <c r="E14" s="93">
        <v>32239.851049773246</v>
      </c>
      <c r="F14" s="93">
        <v>32775.912010263324</v>
      </c>
      <c r="H14" s="93">
        <f>C14-B14</f>
        <v>-475.371588800881</v>
      </c>
      <c r="I14" s="93">
        <f>D14-B14</f>
        <v>1.0764349497912917</v>
      </c>
      <c r="J14" s="93">
        <f t="shared" si="1"/>
        <v>320.10881516559311</v>
      </c>
      <c r="K14" s="93">
        <f t="shared" si="1"/>
        <v>536.06096049007829</v>
      </c>
      <c r="L14" s="93">
        <f>F14-D14</f>
        <v>856.1697756556714</v>
      </c>
    </row>
    <row r="15" spans="1:12" x14ac:dyDescent="0.2">
      <c r="H15" s="93"/>
      <c r="I15" s="93"/>
      <c r="J15" s="93"/>
      <c r="K15" s="93"/>
      <c r="L15" s="93"/>
    </row>
    <row r="16" spans="1:12" s="121" customFormat="1" x14ac:dyDescent="0.2">
      <c r="A16" s="121" t="str">
        <f>name!F6</f>
        <v>RQF6 First degree</v>
      </c>
      <c r="B16" s="122">
        <v>10699.858351711669</v>
      </c>
      <c r="C16" s="122">
        <v>10970.73916072664</v>
      </c>
      <c r="D16" s="122">
        <v>11301.540359819686</v>
      </c>
      <c r="E16" s="122">
        <v>11603.888290360199</v>
      </c>
      <c r="F16" s="122">
        <v>11675.073262162417</v>
      </c>
      <c r="H16" s="122">
        <f>C16-B16</f>
        <v>270.88080901497051</v>
      </c>
      <c r="I16" s="122">
        <f>D16-B16</f>
        <v>601.68200810801682</v>
      </c>
      <c r="J16" s="122">
        <f t="shared" ref="J16:K18" si="2">E16-D16</f>
        <v>302.34793054051261</v>
      </c>
      <c r="K16" s="122">
        <f t="shared" si="2"/>
        <v>71.18497180221857</v>
      </c>
      <c r="L16" s="122">
        <f>F16-D16</f>
        <v>373.53290234273118</v>
      </c>
    </row>
    <row r="17" spans="1:12" x14ac:dyDescent="0.2">
      <c r="A17" s="90">
        <f>name!J9</f>
        <v>0</v>
      </c>
      <c r="B17" s="93">
        <v>8525.1872183076739</v>
      </c>
      <c r="C17" s="93">
        <v>8709.9422108052859</v>
      </c>
      <c r="D17" s="93">
        <v>8966.579956519352</v>
      </c>
      <c r="E17" s="93">
        <v>9198.0093388787081</v>
      </c>
      <c r="F17" s="93">
        <v>9243.5195858644965</v>
      </c>
      <c r="H17" s="93">
        <f>C17-B17</f>
        <v>184.75499249761197</v>
      </c>
      <c r="I17" s="93">
        <f>D17-B17</f>
        <v>441.39273821167808</v>
      </c>
      <c r="J17" s="93">
        <f t="shared" si="2"/>
        <v>231.42938235935617</v>
      </c>
      <c r="K17" s="93">
        <f t="shared" si="2"/>
        <v>45.510246985788399</v>
      </c>
      <c r="L17" s="93">
        <f>F17-D17</f>
        <v>276.93962934514457</v>
      </c>
    </row>
    <row r="18" spans="1:12" x14ac:dyDescent="0.2">
      <c r="A18" s="90">
        <f>name!J10</f>
        <v>0</v>
      </c>
      <c r="B18" s="93">
        <v>2174.6711334039956</v>
      </c>
      <c r="C18" s="93">
        <v>2260.7969499213555</v>
      </c>
      <c r="D18" s="93">
        <v>2334.9604033003338</v>
      </c>
      <c r="E18" s="93">
        <v>2405.8789514814907</v>
      </c>
      <c r="F18" s="93">
        <v>2431.5536762979191</v>
      </c>
      <c r="H18" s="93">
        <f>C18-B18</f>
        <v>86.125816517359908</v>
      </c>
      <c r="I18" s="93">
        <f>D18-B18</f>
        <v>160.28926989633828</v>
      </c>
      <c r="J18" s="93">
        <f t="shared" si="2"/>
        <v>70.918548181156893</v>
      </c>
      <c r="K18" s="93">
        <f t="shared" si="2"/>
        <v>25.674724816428352</v>
      </c>
      <c r="L18" s="93">
        <f>F18-D18</f>
        <v>96.593272997585245</v>
      </c>
    </row>
    <row r="19" spans="1:12" x14ac:dyDescent="0.2">
      <c r="H19" s="93"/>
      <c r="I19" s="93"/>
      <c r="J19" s="93"/>
      <c r="K19" s="93"/>
      <c r="L19" s="93"/>
    </row>
    <row r="20" spans="1:12" x14ac:dyDescent="0.2">
      <c r="A20" s="91" t="str">
        <f>name!J3</f>
        <v>EE</v>
      </c>
      <c r="B20" s="92">
        <v>199629.07156740446</v>
      </c>
      <c r="C20" s="92">
        <v>194785.90049601384</v>
      </c>
      <c r="D20" s="92">
        <v>195036.90679635777</v>
      </c>
      <c r="E20" s="92">
        <v>193654.85411962072</v>
      </c>
      <c r="F20" s="92">
        <v>191899.51800454973</v>
      </c>
      <c r="H20" s="92">
        <f>C20-B20</f>
        <v>-4843.1710713906214</v>
      </c>
      <c r="I20" s="92">
        <f>D20-B20</f>
        <v>-4592.1647710466932</v>
      </c>
      <c r="J20" s="92">
        <f>E20-D20</f>
        <v>-1382.0526767370466</v>
      </c>
      <c r="K20" s="92">
        <f>F20-E20</f>
        <v>-1755.336115070997</v>
      </c>
      <c r="L20" s="92">
        <f>F20-D20</f>
        <v>-3137.3887918080436</v>
      </c>
    </row>
    <row r="23" spans="1:12" x14ac:dyDescent="0.2">
      <c r="A23" s="90" t="str">
        <f>CONCATENATE("Note: For ",Info!$A$1," there is no European LFS data for some of the ISCED Qualifications.")</f>
        <v>Note: For Region/Nation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5"/>
  <dimension ref="A1:CS102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29" customWidth="1"/>
    <col min="2" max="2" width="13" style="129" customWidth="1"/>
    <col min="3" max="3" width="10.140625" style="129" customWidth="1"/>
    <col min="4" max="4" width="3.7109375" style="129" customWidth="1"/>
    <col min="5" max="6" width="10.140625" style="129" customWidth="1"/>
    <col min="7" max="7" width="3.7109375" style="129" customWidth="1"/>
    <col min="8" max="9" width="10.140625" style="129" customWidth="1"/>
    <col min="10" max="10" width="3.7109375" style="129" customWidth="1"/>
    <col min="11" max="12" width="10.140625" style="129" customWidth="1"/>
    <col min="13" max="13" width="3.7109375" style="129" customWidth="1"/>
    <col min="14" max="15" width="10.140625" style="129" customWidth="1"/>
    <col min="16" max="16" width="3.7109375" style="129" customWidth="1"/>
    <col min="17" max="18" width="10.140625" style="129" customWidth="1"/>
    <col min="19" max="19" width="9.140625" style="129"/>
    <col min="20" max="20" width="16.7109375" style="129" customWidth="1"/>
    <col min="21" max="21" width="9.140625" style="129"/>
    <col min="22" max="22" width="8.85546875" style="129" customWidth="1"/>
    <col min="23" max="41" width="9.140625" style="129"/>
    <col min="42" max="46" width="9.140625" style="136" customWidth="1"/>
    <col min="47" max="49" width="9.140625" style="129"/>
    <col min="50" max="50" width="9.140625" style="129" customWidth="1"/>
    <col min="51" max="16384" width="9.140625" style="129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London</v>
      </c>
      <c r="W1" s="203" t="str">
        <f>CONCATENATE("Shift-share Figure 1: Levels of Employment, ",C4," - ",F40,", ",Info!B5)</f>
        <v>Shift-share Figure 1: Levels of Employment, 2015 - 2035, London</v>
      </c>
      <c r="AK1" s="203" t="str">
        <f>CONCATENATE("Shift-share Figure 1.1: Net Changes, ",C4,"-",F40,", ",Info!B5)</f>
        <v>Shift-share Figure 1.1: Net Changes, 2015-2035, London</v>
      </c>
    </row>
    <row r="2" spans="1:97" ht="18.75" customHeight="1" x14ac:dyDescent="0.25">
      <c r="A2" s="135" t="s">
        <v>537</v>
      </c>
      <c r="W2" s="203"/>
      <c r="AK2" s="203"/>
    </row>
    <row r="3" spans="1:97" x14ac:dyDescent="0.2">
      <c r="A3" s="145"/>
      <c r="B3" s="275"/>
      <c r="C3" s="275"/>
      <c r="D3" s="275"/>
      <c r="E3" s="275"/>
      <c r="F3" s="275"/>
      <c r="G3" s="275"/>
      <c r="H3" s="275"/>
      <c r="I3" s="275"/>
      <c r="J3" s="275"/>
      <c r="K3" s="377" t="s">
        <v>53</v>
      </c>
      <c r="L3" s="377"/>
      <c r="M3" s="377"/>
      <c r="N3" s="377"/>
      <c r="O3" s="377"/>
      <c r="P3" s="377"/>
      <c r="Q3" s="377"/>
      <c r="R3" s="377"/>
      <c r="AT3" s="137"/>
      <c r="AU3" s="125"/>
      <c r="AW3" s="137"/>
      <c r="AX3" s="136"/>
      <c r="AY3" s="138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5"/>
      <c r="CI3" s="125"/>
      <c r="CJ3" s="125"/>
      <c r="CK3" s="125"/>
      <c r="CL3" s="125"/>
      <c r="CM3" s="125"/>
      <c r="CN3" s="125"/>
      <c r="CO3" s="125"/>
      <c r="CP3" s="125"/>
      <c r="CQ3" s="125"/>
      <c r="CR3" s="125"/>
      <c r="CS3" s="125"/>
    </row>
    <row r="4" spans="1:97" x14ac:dyDescent="0.2">
      <c r="B4" s="270" t="s">
        <v>54</v>
      </c>
      <c r="C4" s="271">
        <v>2015</v>
      </c>
      <c r="D4" s="135"/>
      <c r="E4" s="270" t="s">
        <v>55</v>
      </c>
      <c r="F4" s="271">
        <v>2020</v>
      </c>
      <c r="G4" s="135"/>
      <c r="H4" s="270" t="s">
        <v>18</v>
      </c>
      <c r="I4" s="270" t="str">
        <f>CONCATENATE(C4,"-",F4)</f>
        <v>2015-2020</v>
      </c>
      <c r="J4" s="135"/>
      <c r="K4" s="376" t="s">
        <v>56</v>
      </c>
      <c r="L4" s="376"/>
      <c r="M4" s="135"/>
      <c r="N4" s="376" t="s">
        <v>57</v>
      </c>
      <c r="O4" s="376"/>
      <c r="P4" s="135"/>
      <c r="Q4" s="376" t="s">
        <v>58</v>
      </c>
      <c r="R4" s="376"/>
      <c r="AW4" s="136"/>
      <c r="AX4" s="136"/>
      <c r="AY4" s="138"/>
    </row>
    <row r="5" spans="1:97" x14ac:dyDescent="0.2">
      <c r="A5" s="142" t="s">
        <v>507</v>
      </c>
      <c r="B5" s="272" t="s">
        <v>60</v>
      </c>
      <c r="C5" s="272" t="s">
        <v>61</v>
      </c>
      <c r="D5" s="135"/>
      <c r="E5" s="272" t="str">
        <f>B5</f>
        <v>000s</v>
      </c>
      <c r="F5" s="272" t="str">
        <f>C5</f>
        <v>% share</v>
      </c>
      <c r="G5" s="135"/>
      <c r="H5" s="272" t="str">
        <f>E5</f>
        <v>000s</v>
      </c>
      <c r="I5" s="272" t="s">
        <v>62</v>
      </c>
      <c r="J5" s="135"/>
      <c r="K5" s="272" t="str">
        <f>H5</f>
        <v>000s</v>
      </c>
      <c r="L5" s="272" t="str">
        <f>I5</f>
        <v xml:space="preserve">%   </v>
      </c>
      <c r="M5" s="135"/>
      <c r="N5" s="272" t="str">
        <f>K5</f>
        <v>000s</v>
      </c>
      <c r="O5" s="272" t="str">
        <f>L5</f>
        <v xml:space="preserve">%   </v>
      </c>
      <c r="P5" s="135"/>
      <c r="Q5" s="272" t="str">
        <f>N5</f>
        <v>000s</v>
      </c>
      <c r="R5" s="272" t="str">
        <f>O5</f>
        <v xml:space="preserve">%   </v>
      </c>
      <c r="Z5" s="138" t="e">
        <f>"Levels of Employment, "&amp;#REF!&amp;"-"&amp;#REF!</f>
        <v>#REF!</v>
      </c>
      <c r="AM5" s="129" t="e">
        <f>"Net Changes, "&amp;#REF!&amp;"-"&amp;#REF!</f>
        <v>#REF!</v>
      </c>
      <c r="AV5" s="136"/>
      <c r="AW5" s="136"/>
      <c r="AX5" s="136"/>
    </row>
    <row r="6" spans="1:97" x14ac:dyDescent="0.2">
      <c r="A6" s="142"/>
      <c r="B6" s="270"/>
      <c r="C6" s="270"/>
      <c r="D6" s="135"/>
      <c r="E6" s="270"/>
      <c r="F6" s="270"/>
      <c r="G6" s="135"/>
      <c r="H6" s="270"/>
      <c r="I6" s="270"/>
      <c r="J6" s="135"/>
      <c r="K6" s="270"/>
      <c r="L6" s="270"/>
      <c r="M6" s="135"/>
      <c r="N6" s="270"/>
      <c r="O6" s="270"/>
      <c r="P6" s="135"/>
      <c r="Q6" s="270"/>
      <c r="R6" s="270"/>
      <c r="T6" s="135"/>
      <c r="AV6" s="136"/>
      <c r="AW6" s="136"/>
      <c r="AX6" s="136"/>
      <c r="AY6" s="138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5"/>
      <c r="AV7" s="136"/>
      <c r="AW7" s="136"/>
      <c r="AX7" s="136"/>
      <c r="AY7" s="138"/>
    </row>
    <row r="8" spans="1:97" x14ac:dyDescent="0.2">
      <c r="A8" s="10" t="str">
        <f>name!$D4</f>
        <v>11 Corporate managers and directors</v>
      </c>
      <c r="B8" s="150">
        <v>439.61936541253647</v>
      </c>
      <c r="C8" s="140">
        <f t="shared" ref="C8:C33" si="0">B8/B$35*100</f>
        <v>7.8875921478534092</v>
      </c>
      <c r="E8" s="150">
        <v>526.87103828580155</v>
      </c>
      <c r="F8" s="140">
        <f t="shared" ref="F8:F33" si="1">E8/E$35*100</f>
        <v>8.873795336451014</v>
      </c>
      <c r="H8" s="150">
        <f>E8-B8</f>
        <v>87.251672873265079</v>
      </c>
      <c r="I8" s="140">
        <f>IF(B8&lt;&gt;0,((E8/B8)-1)*100,0)</f>
        <v>19.847094950284671</v>
      </c>
      <c r="K8" s="207">
        <f t="shared" ref="K8:K33" si="2">(($E$35/$B$35)-1)*B8</f>
        <v>28.697032132024098</v>
      </c>
      <c r="L8" s="140">
        <f>IF(B8&lt;&gt;0,K8/B8*100,0)</f>
        <v>6.5276997306738194</v>
      </c>
      <c r="N8" s="150">
        <f>H8-(K8+Q8)</f>
        <v>54.229695442067538</v>
      </c>
      <c r="O8" s="140">
        <f>IF(B8&lt;&gt;0,N8/B8*100,0)</f>
        <v>12.33560204773479</v>
      </c>
      <c r="Q8" s="150">
        <v>4.3249452991734438</v>
      </c>
      <c r="R8" s="140">
        <f>IF(B8&lt;&gt;0,Q8/B8*100,0)</f>
        <v>0.98379317187607018</v>
      </c>
      <c r="AT8" s="136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0">
        <v>186.84262660144509</v>
      </c>
      <c r="C9" s="140">
        <f t="shared" si="0"/>
        <v>3.3523055406872637</v>
      </c>
      <c r="E9" s="150">
        <v>198.20219409915316</v>
      </c>
      <c r="F9" s="140">
        <f t="shared" si="1"/>
        <v>3.3382091211423894</v>
      </c>
      <c r="H9" s="150">
        <f t="shared" ref="H9:H32" si="3">E9-B9</f>
        <v>11.359567497708071</v>
      </c>
      <c r="I9" s="140">
        <f t="shared" ref="I9:I35" si="4">IF(B9&lt;&gt;0,((E9/B9)-1)*100,0)</f>
        <v>6.0797515558048909</v>
      </c>
      <c r="K9" s="207">
        <f t="shared" si="2"/>
        <v>12.196525633446422</v>
      </c>
      <c r="L9" s="140">
        <f t="shared" ref="L9:L32" si="5">IF(B9&lt;&gt;0,K9/B9*100,0)</f>
        <v>6.5276997306738194</v>
      </c>
      <c r="N9" s="150">
        <f t="shared" ref="N9:N31" si="6">H9-(K9+Q9)</f>
        <v>-2.1061112306774472</v>
      </c>
      <c r="O9" s="140">
        <f>IF(B9&lt;&gt;0,N9/B9*100,0)</f>
        <v>-1.1272113162752755</v>
      </c>
      <c r="Q9" s="150">
        <v>1.2691530949390966</v>
      </c>
      <c r="R9" s="140">
        <f>IF(B9&lt;&gt;0,Q9/B9*100,0)</f>
        <v>0.67926314140634148</v>
      </c>
      <c r="T9" s="135"/>
    </row>
    <row r="10" spans="1:97" x14ac:dyDescent="0.2">
      <c r="A10" s="10" t="str">
        <f>name!$D6</f>
        <v>21 Science, research, engineering and technology professionals</v>
      </c>
      <c r="B10" s="150">
        <v>341.5971984313648</v>
      </c>
      <c r="C10" s="140">
        <f t="shared" si="0"/>
        <v>6.1288914730759512</v>
      </c>
      <c r="E10" s="150">
        <v>423.83885764393955</v>
      </c>
      <c r="F10" s="140">
        <f t="shared" si="1"/>
        <v>7.1384817252515722</v>
      </c>
      <c r="H10" s="150">
        <f t="shared" si="3"/>
        <v>82.241659212574746</v>
      </c>
      <c r="I10" s="140">
        <f t="shared" si="4"/>
        <v>24.075624621698744</v>
      </c>
      <c r="K10" s="207">
        <f t="shared" si="2"/>
        <v>22.298439401993512</v>
      </c>
      <c r="L10" s="140">
        <f t="shared" si="5"/>
        <v>6.5276997306738194</v>
      </c>
      <c r="N10" s="150">
        <f t="shared" si="6"/>
        <v>43.895805660998242</v>
      </c>
      <c r="O10" s="140">
        <f t="shared" ref="O10:O32" si="7">IF(B10&lt;&gt;0,N10/B10*100,0)</f>
        <v>12.850165593444697</v>
      </c>
      <c r="Q10" s="150">
        <v>16.047414149582991</v>
      </c>
      <c r="R10" s="140">
        <f t="shared" ref="R10:R32" si="8">IF(B10&lt;&gt;0,Q10/B10*100,0)</f>
        <v>4.6977592975802196</v>
      </c>
      <c r="AT10" s="136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0">
        <v>253.3802593272118</v>
      </c>
      <c r="C11" s="140">
        <f t="shared" si="0"/>
        <v>4.5461148919473509</v>
      </c>
      <c r="E11" s="150">
        <v>289.86377178651531</v>
      </c>
      <c r="F11" s="140">
        <f t="shared" si="1"/>
        <v>4.8820140022386154</v>
      </c>
      <c r="H11" s="150">
        <f>E11-B11</f>
        <v>36.483512459303512</v>
      </c>
      <c r="I11" s="140">
        <f>IF(B11&lt;&gt;0,((E11/B11)-1)*100,0)</f>
        <v>14.398719362027812</v>
      </c>
      <c r="K11" s="207">
        <f t="shared" si="2"/>
        <v>16.539902505683031</v>
      </c>
      <c r="L11" s="140">
        <f t="shared" si="5"/>
        <v>6.5276997306738194</v>
      </c>
      <c r="N11" s="150">
        <f t="shared" si="6"/>
        <v>19.522190862775712</v>
      </c>
      <c r="O11" s="140">
        <f t="shared" si="7"/>
        <v>7.7047007981647946</v>
      </c>
      <c r="Q11" s="150">
        <v>0.42141909084476842</v>
      </c>
      <c r="R11" s="140">
        <f>IF(B11&lt;&gt;0,Q11/B11*100,0)</f>
        <v>0.16631883318919236</v>
      </c>
      <c r="T11" s="135"/>
    </row>
    <row r="12" spans="1:97" x14ac:dyDescent="0.2">
      <c r="A12" s="10" t="str">
        <f>name!$D8</f>
        <v>23 Teaching and other educational professionals</v>
      </c>
      <c r="B12" s="150">
        <v>342.63322989670951</v>
      </c>
      <c r="C12" s="140">
        <f t="shared" si="0"/>
        <v>6.1474798117477789</v>
      </c>
      <c r="E12" s="150">
        <v>370.65753423648943</v>
      </c>
      <c r="F12" s="140">
        <f t="shared" si="1"/>
        <v>6.242778326608259</v>
      </c>
      <c r="H12" s="150">
        <f t="shared" si="3"/>
        <v>28.024304339779917</v>
      </c>
      <c r="I12" s="140">
        <f t="shared" si="4"/>
        <v>8.1790970327741306</v>
      </c>
      <c r="K12" s="207">
        <f t="shared" si="2"/>
        <v>22.366068425166514</v>
      </c>
      <c r="L12" s="140">
        <f t="shared" si="5"/>
        <v>6.5276997306738194</v>
      </c>
      <c r="N12" s="150">
        <f t="shared" si="6"/>
        <v>18.6789143647919</v>
      </c>
      <c r="O12" s="140">
        <f t="shared" si="7"/>
        <v>5.4515770027393025</v>
      </c>
      <c r="Q12" s="150">
        <v>-13.020678450178497</v>
      </c>
      <c r="R12" s="140">
        <f t="shared" si="8"/>
        <v>-3.8001797006389957</v>
      </c>
      <c r="AT12" s="136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0">
        <v>578.85510824114158</v>
      </c>
      <c r="C13" s="140">
        <f t="shared" si="0"/>
        <v>10.385741315610986</v>
      </c>
      <c r="E13" s="150">
        <v>729.85312521326705</v>
      </c>
      <c r="F13" s="140">
        <f t="shared" si="1"/>
        <v>12.292509529245502</v>
      </c>
      <c r="H13" s="150">
        <f t="shared" si="3"/>
        <v>150.99801697212547</v>
      </c>
      <c r="I13" s="140">
        <f t="shared" si="4"/>
        <v>26.085632625914769</v>
      </c>
      <c r="K13" s="207">
        <f t="shared" si="2"/>
        <v>37.785923341648648</v>
      </c>
      <c r="L13" s="140">
        <f t="shared" si="5"/>
        <v>6.5276997306738194</v>
      </c>
      <c r="N13" s="150">
        <f>H13-(K13+Q13)</f>
        <v>117.07898083252024</v>
      </c>
      <c r="O13" s="140">
        <f>IF(B13&lt;&gt;0,N13/B13*100,0)</f>
        <v>20.225956230785659</v>
      </c>
      <c r="Q13" s="150">
        <v>-3.8668872020434155</v>
      </c>
      <c r="R13" s="140">
        <f t="shared" si="8"/>
        <v>-0.66802333554471005</v>
      </c>
      <c r="T13" s="135"/>
    </row>
    <row r="14" spans="1:97" x14ac:dyDescent="0.2">
      <c r="A14" s="10" t="str">
        <f>name!$D10</f>
        <v>31 Science, engineering and technology associate professionals</v>
      </c>
      <c r="B14" s="150">
        <v>81.903763878624659</v>
      </c>
      <c r="C14" s="140">
        <f t="shared" si="0"/>
        <v>1.4695064314158557</v>
      </c>
      <c r="E14" s="150">
        <v>105.44228217606674</v>
      </c>
      <c r="F14" s="140">
        <f t="shared" si="1"/>
        <v>1.7759056084824618</v>
      </c>
      <c r="H14" s="150">
        <f t="shared" si="3"/>
        <v>23.538518297442081</v>
      </c>
      <c r="I14" s="140">
        <f t="shared" si="4"/>
        <v>28.739238812424329</v>
      </c>
      <c r="K14" s="207">
        <f t="shared" si="2"/>
        <v>5.3464317741167031</v>
      </c>
      <c r="L14" s="140">
        <f>IF(B14&lt;&gt;0,K14/B14*100,0)</f>
        <v>6.5276997306738194</v>
      </c>
      <c r="N14" s="150">
        <f t="shared" si="6"/>
        <v>15.965139380351662</v>
      </c>
      <c r="O14" s="140">
        <f t="shared" si="7"/>
        <v>19.492558857259382</v>
      </c>
      <c r="Q14" s="150">
        <v>2.2269471429737173</v>
      </c>
      <c r="R14" s="140">
        <f t="shared" si="8"/>
        <v>2.7189802244911343</v>
      </c>
      <c r="AT14" s="136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0">
        <v>96.617057225558284</v>
      </c>
      <c r="C15" s="140">
        <f t="shared" si="0"/>
        <v>1.7334903825401073</v>
      </c>
      <c r="E15" s="150">
        <v>109.6581082081135</v>
      </c>
      <c r="F15" s="140">
        <f t="shared" si="1"/>
        <v>1.8469104173711453</v>
      </c>
      <c r="H15" s="150">
        <f t="shared" si="3"/>
        <v>13.04105098255522</v>
      </c>
      <c r="I15" s="140">
        <f t="shared" si="4"/>
        <v>13.497669414739178</v>
      </c>
      <c r="K15" s="207">
        <f t="shared" si="2"/>
        <v>6.3068713842977377</v>
      </c>
      <c r="L15" s="140">
        <f t="shared" si="5"/>
        <v>6.5276997306738194</v>
      </c>
      <c r="N15" s="150">
        <f t="shared" si="6"/>
        <v>6.4408214122766614</v>
      </c>
      <c r="O15" s="140">
        <f t="shared" si="7"/>
        <v>6.6663398754116256</v>
      </c>
      <c r="Q15" s="150">
        <v>0.29335818598082047</v>
      </c>
      <c r="R15" s="140">
        <f t="shared" si="8"/>
        <v>0.3036298086537228</v>
      </c>
      <c r="T15" s="11"/>
    </row>
    <row r="16" spans="1:97" x14ac:dyDescent="0.2">
      <c r="A16" s="10" t="str">
        <f>name!$D12</f>
        <v>33 Protective service occupations</v>
      </c>
      <c r="B16" s="150">
        <v>66.411785193429807</v>
      </c>
      <c r="C16" s="140">
        <f t="shared" si="0"/>
        <v>1.1915514115832133</v>
      </c>
      <c r="E16" s="150">
        <v>75.80441572551301</v>
      </c>
      <c r="F16" s="140">
        <f t="shared" si="1"/>
        <v>1.2767315374479922</v>
      </c>
      <c r="H16" s="150">
        <f t="shared" si="3"/>
        <v>9.3926305320832029</v>
      </c>
      <c r="I16" s="140">
        <f t="shared" si="4"/>
        <v>14.143017695920079</v>
      </c>
      <c r="K16" s="207">
        <f t="shared" si="2"/>
        <v>4.3351619232071927</v>
      </c>
      <c r="L16" s="140">
        <f t="shared" si="5"/>
        <v>6.5276997306738194</v>
      </c>
      <c r="N16" s="150">
        <f t="shared" si="6"/>
        <v>9.6536263413002033E-2</v>
      </c>
      <c r="O16" s="140">
        <f t="shared" si="7"/>
        <v>0.14536013921600241</v>
      </c>
      <c r="Q16" s="150">
        <v>4.9609323454630081</v>
      </c>
      <c r="R16" s="140">
        <f t="shared" si="8"/>
        <v>7.4699578260302495</v>
      </c>
      <c r="T16" s="11"/>
    </row>
    <row r="17" spans="1:20" x14ac:dyDescent="0.2">
      <c r="A17" s="10" t="str">
        <f>name!$D13</f>
        <v>34 Culture, media and sports occupations</v>
      </c>
      <c r="B17" s="150">
        <v>223.52526281482929</v>
      </c>
      <c r="C17" s="140">
        <f t="shared" si="0"/>
        <v>4.0104605177496122</v>
      </c>
      <c r="E17" s="150">
        <v>244.51539437746447</v>
      </c>
      <c r="F17" s="140">
        <f t="shared" si="1"/>
        <v>4.1182365486945338</v>
      </c>
      <c r="H17" s="150">
        <f t="shared" si="3"/>
        <v>20.990131562635185</v>
      </c>
      <c r="I17" s="140">
        <f t="shared" si="4"/>
        <v>9.3904963127249061</v>
      </c>
      <c r="K17" s="207">
        <f t="shared" si="2"/>
        <v>14.591057978751559</v>
      </c>
      <c r="L17" s="140">
        <f t="shared" si="5"/>
        <v>6.5276997306738194</v>
      </c>
      <c r="N17" s="150">
        <f t="shared" si="6"/>
        <v>9.6857890678677432</v>
      </c>
      <c r="O17" s="140">
        <f t="shared" si="7"/>
        <v>4.3331965907994725</v>
      </c>
      <c r="Q17" s="150">
        <v>-3.2867154839841177</v>
      </c>
      <c r="R17" s="140">
        <f t="shared" si="8"/>
        <v>-1.4704000087483928</v>
      </c>
      <c r="T17" s="11"/>
    </row>
    <row r="18" spans="1:20" x14ac:dyDescent="0.2">
      <c r="A18" s="10" t="str">
        <f>name!$D14</f>
        <v>35 Business and public service associate professionals</v>
      </c>
      <c r="B18" s="150">
        <v>503.40328903988308</v>
      </c>
      <c r="C18" s="140">
        <f t="shared" si="0"/>
        <v>9.0319948169447333</v>
      </c>
      <c r="E18" s="150">
        <v>550.05772654184398</v>
      </c>
      <c r="F18" s="140">
        <f t="shared" si="1"/>
        <v>9.2643158076153469</v>
      </c>
      <c r="H18" s="150">
        <f t="shared" si="3"/>
        <v>46.654437501960899</v>
      </c>
      <c r="I18" s="140">
        <f t="shared" si="4"/>
        <v>9.2678054589080396</v>
      </c>
      <c r="K18" s="207">
        <f t="shared" si="2"/>
        <v>32.860655142859599</v>
      </c>
      <c r="L18" s="140">
        <f t="shared" si="5"/>
        <v>6.5276997306738194</v>
      </c>
      <c r="N18" s="150">
        <f t="shared" si="6"/>
        <v>12.290361113545671</v>
      </c>
      <c r="O18" s="140">
        <f t="shared" si="7"/>
        <v>2.4414542735679152</v>
      </c>
      <c r="Q18" s="150">
        <v>1.5034212455556302</v>
      </c>
      <c r="R18" s="140">
        <f t="shared" si="8"/>
        <v>0.29865145466630411</v>
      </c>
      <c r="T18" s="11"/>
    </row>
    <row r="19" spans="1:20" x14ac:dyDescent="0.2">
      <c r="A19" s="10" t="str">
        <f>name!$D15</f>
        <v>41 Administrative occupations</v>
      </c>
      <c r="B19" s="150">
        <v>399.8387719269964</v>
      </c>
      <c r="C19" s="140">
        <f t="shared" si="0"/>
        <v>7.1738540337031118</v>
      </c>
      <c r="E19" s="150">
        <v>403.63982178925511</v>
      </c>
      <c r="F19" s="140">
        <f t="shared" si="1"/>
        <v>6.7982806188265963</v>
      </c>
      <c r="H19" s="150">
        <f t="shared" si="3"/>
        <v>3.8010498622587079</v>
      </c>
      <c r="I19" s="140">
        <f t="shared" si="4"/>
        <v>0.950645642477288</v>
      </c>
      <c r="K19" s="207">
        <f t="shared" si="2"/>
        <v>26.10027443820805</v>
      </c>
      <c r="L19" s="140">
        <f t="shared" si="5"/>
        <v>6.5276997306738194</v>
      </c>
      <c r="N19" s="150">
        <f t="shared" si="6"/>
        <v>-23.281779947535043</v>
      </c>
      <c r="O19" s="140">
        <f t="shared" si="7"/>
        <v>-5.8227919807101376</v>
      </c>
      <c r="Q19" s="150">
        <v>0.98255537158570061</v>
      </c>
      <c r="R19" s="140">
        <f t="shared" si="8"/>
        <v>0.24573789251360997</v>
      </c>
      <c r="T19" s="11"/>
    </row>
    <row r="20" spans="1:20" x14ac:dyDescent="0.2">
      <c r="A20" s="10" t="str">
        <f>name!$D16</f>
        <v>42 Secretarial and related occupations</v>
      </c>
      <c r="B20" s="150">
        <v>101.86485631189477</v>
      </c>
      <c r="C20" s="140">
        <f t="shared" si="0"/>
        <v>1.827645695348171</v>
      </c>
      <c r="E20" s="150">
        <v>88.717808960952368</v>
      </c>
      <c r="F20" s="140">
        <f t="shared" si="1"/>
        <v>1.4942246246429651</v>
      </c>
      <c r="H20" s="150">
        <f t="shared" si="3"/>
        <v>-13.147047350942401</v>
      </c>
      <c r="I20" s="140">
        <f t="shared" si="4"/>
        <v>-12.906362240072411</v>
      </c>
      <c r="K20" s="207">
        <f t="shared" si="2"/>
        <v>6.6494319511228284</v>
      </c>
      <c r="L20" s="140">
        <f t="shared" si="5"/>
        <v>6.5276997306738194</v>
      </c>
      <c r="N20" s="150">
        <f t="shared" si="6"/>
        <v>-19.386865624368877</v>
      </c>
      <c r="O20" s="140">
        <f t="shared" si="7"/>
        <v>-19.031947156543598</v>
      </c>
      <c r="Q20" s="150">
        <v>-0.4096136776963516</v>
      </c>
      <c r="R20" s="140">
        <f t="shared" si="8"/>
        <v>-0.4021148142026299</v>
      </c>
      <c r="T20" s="11"/>
    </row>
    <row r="21" spans="1:20" x14ac:dyDescent="0.2">
      <c r="A21" s="10" t="str">
        <f>name!$D17</f>
        <v>51 Skilled agricultural and related trades</v>
      </c>
      <c r="B21" s="150">
        <v>26.294453584726924</v>
      </c>
      <c r="C21" s="140">
        <f t="shared" si="0"/>
        <v>0.47177158684164205</v>
      </c>
      <c r="E21" s="150">
        <v>25.224786294385733</v>
      </c>
      <c r="F21" s="140">
        <f t="shared" si="1"/>
        <v>0.42484702083903814</v>
      </c>
      <c r="H21" s="150">
        <f t="shared" si="3"/>
        <v>-1.0696672903411901</v>
      </c>
      <c r="I21" s="140">
        <f t="shared" si="4"/>
        <v>-4.0680339178544633</v>
      </c>
      <c r="K21" s="207">
        <f t="shared" si="2"/>
        <v>1.7164229758323719</v>
      </c>
      <c r="L21" s="140">
        <f t="shared" si="5"/>
        <v>6.5276997306738194</v>
      </c>
      <c r="N21" s="150">
        <f t="shared" si="6"/>
        <v>-3.0545584963571164</v>
      </c>
      <c r="O21" s="140">
        <f t="shared" si="7"/>
        <v>-11.616740718777857</v>
      </c>
      <c r="Q21" s="150">
        <v>0.26846823018355442</v>
      </c>
      <c r="R21" s="140">
        <f t="shared" si="8"/>
        <v>1.0210070702495739</v>
      </c>
      <c r="T21" s="11"/>
    </row>
    <row r="22" spans="1:20" x14ac:dyDescent="0.2">
      <c r="A22" s="10" t="str">
        <f>name!$D18</f>
        <v>52 Skilled metal, electrical and electronic trades</v>
      </c>
      <c r="B22" s="150">
        <v>119.88160092800702</v>
      </c>
      <c r="C22" s="140">
        <f t="shared" si="0"/>
        <v>2.1508997295069552</v>
      </c>
      <c r="E22" s="150">
        <v>111.14071561048978</v>
      </c>
      <c r="F22" s="140">
        <f t="shared" si="1"/>
        <v>1.871881147771888</v>
      </c>
      <c r="H22" s="150">
        <f t="shared" si="3"/>
        <v>-8.7408853175172396</v>
      </c>
      <c r="I22" s="140">
        <f t="shared" si="4"/>
        <v>-7.2912650897667302</v>
      </c>
      <c r="K22" s="207">
        <f t="shared" si="2"/>
        <v>7.8255109409049775</v>
      </c>
      <c r="L22" s="140">
        <f t="shared" si="5"/>
        <v>6.5276997306738194</v>
      </c>
      <c r="N22" s="150">
        <f t="shared" si="6"/>
        <v>-19.490782739597758</v>
      </c>
      <c r="O22" s="140">
        <f t="shared" si="7"/>
        <v>-16.25836040619998</v>
      </c>
      <c r="Q22" s="150">
        <v>2.9243864811755418</v>
      </c>
      <c r="R22" s="140">
        <f t="shared" si="8"/>
        <v>2.4393955857594323</v>
      </c>
      <c r="T22" s="11"/>
    </row>
    <row r="23" spans="1:20" x14ac:dyDescent="0.2">
      <c r="A23" s="10" t="str">
        <f>name!$D19</f>
        <v>53 Skilled construction and building trades</v>
      </c>
      <c r="B23" s="150">
        <v>163.13365486178674</v>
      </c>
      <c r="C23" s="140">
        <f t="shared" si="0"/>
        <v>2.9269223250231367</v>
      </c>
      <c r="E23" s="150">
        <v>112.25935423674792</v>
      </c>
      <c r="F23" s="140">
        <f t="shared" si="1"/>
        <v>1.890721754872176</v>
      </c>
      <c r="H23" s="150">
        <f t="shared" si="3"/>
        <v>-50.874300625038813</v>
      </c>
      <c r="I23" s="140">
        <f t="shared" si="4"/>
        <v>-31.185656122362694</v>
      </c>
      <c r="K23" s="207">
        <f t="shared" si="2"/>
        <v>10.648875149051211</v>
      </c>
      <c r="L23" s="140">
        <f t="shared" si="5"/>
        <v>6.5276997306738194</v>
      </c>
      <c r="N23" s="150">
        <f t="shared" si="6"/>
        <v>-56.761796896604004</v>
      </c>
      <c r="O23" s="140">
        <f t="shared" si="7"/>
        <v>-34.794657757588297</v>
      </c>
      <c r="Q23" s="150">
        <v>-4.7613788774860213</v>
      </c>
      <c r="R23" s="140">
        <f t="shared" si="8"/>
        <v>-2.9186980954482071</v>
      </c>
      <c r="T23" s="11"/>
    </row>
    <row r="24" spans="1:20" x14ac:dyDescent="0.2">
      <c r="A24" s="10" t="str">
        <f>name!$D20</f>
        <v>54 Textiles, printing and other skilled trades</v>
      </c>
      <c r="B24" s="150">
        <v>128.98513495746371</v>
      </c>
      <c r="C24" s="140">
        <f t="shared" si="0"/>
        <v>2.3142341255271983</v>
      </c>
      <c r="E24" s="150">
        <v>113.17858727747519</v>
      </c>
      <c r="F24" s="140">
        <f t="shared" si="1"/>
        <v>1.906203884799941</v>
      </c>
      <c r="H24" s="150">
        <f t="shared" si="3"/>
        <v>-15.806547679988526</v>
      </c>
      <c r="I24" s="140">
        <f t="shared" si="4"/>
        <v>-12.254549863595642</v>
      </c>
      <c r="K24" s="207">
        <f t="shared" si="2"/>
        <v>8.4197623072276215</v>
      </c>
      <c r="L24" s="140">
        <f t="shared" si="5"/>
        <v>6.5276997306738194</v>
      </c>
      <c r="N24" s="150">
        <f t="shared" si="6"/>
        <v>-29.552066520722146</v>
      </c>
      <c r="O24" s="140">
        <f t="shared" si="7"/>
        <v>-22.911218824144136</v>
      </c>
      <c r="Q24" s="150">
        <v>5.3257565335059986</v>
      </c>
      <c r="R24" s="140">
        <f t="shared" si="8"/>
        <v>4.1289692298746736</v>
      </c>
      <c r="T24" s="11"/>
    </row>
    <row r="25" spans="1:20" x14ac:dyDescent="0.2">
      <c r="A25" s="10" t="str">
        <f>name!$D21</f>
        <v>61 Caring personal service occupations</v>
      </c>
      <c r="B25" s="150">
        <v>253.00446871969206</v>
      </c>
      <c r="C25" s="140">
        <f t="shared" si="0"/>
        <v>4.5393725068790127</v>
      </c>
      <c r="E25" s="150">
        <v>252.16320992365189</v>
      </c>
      <c r="F25" s="140">
        <f t="shared" si="1"/>
        <v>4.2470444447379334</v>
      </c>
      <c r="H25" s="150">
        <f t="shared" si="3"/>
        <v>-0.84125879604016518</v>
      </c>
      <c r="I25" s="140">
        <f t="shared" si="4"/>
        <v>-0.33250748506430394</v>
      </c>
      <c r="K25" s="207">
        <f t="shared" si="2"/>
        <v>16.515372023208066</v>
      </c>
      <c r="L25" s="140">
        <f t="shared" si="5"/>
        <v>6.5276997306738194</v>
      </c>
      <c r="N25" s="150">
        <f t="shared" si="6"/>
        <v>-17.742712870288578</v>
      </c>
      <c r="O25" s="140">
        <f t="shared" si="7"/>
        <v>-7.0128061215970181</v>
      </c>
      <c r="Q25" s="150">
        <v>0.3860820510403481</v>
      </c>
      <c r="R25" s="140">
        <f t="shared" si="8"/>
        <v>0.15259890585889016</v>
      </c>
      <c r="T25" s="11"/>
    </row>
    <row r="26" spans="1:20" x14ac:dyDescent="0.2">
      <c r="A26" s="10" t="str">
        <f>name!$D22</f>
        <v>62 Leisure, travel and related personal service occupations</v>
      </c>
      <c r="B26" s="150">
        <v>100.18519998138873</v>
      </c>
      <c r="C26" s="140">
        <f t="shared" si="0"/>
        <v>1.7975095250019002</v>
      </c>
      <c r="E26" s="150">
        <v>99.491973158038263</v>
      </c>
      <c r="F26" s="140">
        <f t="shared" si="1"/>
        <v>1.6756878690781165</v>
      </c>
      <c r="H26" s="150">
        <f t="shared" si="3"/>
        <v>-0.69322682335047148</v>
      </c>
      <c r="I26" s="140">
        <f t="shared" si="4"/>
        <v>-0.69194534070825542</v>
      </c>
      <c r="K26" s="207">
        <f t="shared" si="2"/>
        <v>6.5397890293601399</v>
      </c>
      <c r="L26" s="140">
        <f t="shared" si="5"/>
        <v>6.5276997306738194</v>
      </c>
      <c r="N26" s="150">
        <f t="shared" si="6"/>
        <v>-7.5714214965308431</v>
      </c>
      <c r="O26" s="140">
        <f t="shared" si="7"/>
        <v>-7.5574251465659357</v>
      </c>
      <c r="Q26" s="150">
        <v>0.33840564382023186</v>
      </c>
      <c r="R26" s="140">
        <f t="shared" si="8"/>
        <v>0.3377800751838565</v>
      </c>
      <c r="T26" s="11"/>
    </row>
    <row r="27" spans="1:20" x14ac:dyDescent="0.2">
      <c r="A27" s="10" t="str">
        <f>name!$D23</f>
        <v>63 Community and civil enforcement occupations</v>
      </c>
      <c r="B27" s="150">
        <v>5.9382957218516932</v>
      </c>
      <c r="C27" s="140">
        <f t="shared" si="0"/>
        <v>0.10654411154830629</v>
      </c>
      <c r="E27" s="150">
        <v>6.7390265142800718</v>
      </c>
      <c r="F27" s="140">
        <f t="shared" si="1"/>
        <v>0.11350166873700748</v>
      </c>
      <c r="H27" s="150">
        <f t="shared" si="3"/>
        <v>0.80073079242837863</v>
      </c>
      <c r="I27" s="140">
        <f t="shared" si="4"/>
        <v>13.484185192762554</v>
      </c>
      <c r="K27" s="207">
        <f t="shared" si="2"/>
        <v>0.38763411384192792</v>
      </c>
      <c r="L27" s="140">
        <f t="shared" si="5"/>
        <v>6.5276997306738194</v>
      </c>
      <c r="N27" s="150">
        <f t="shared" si="6"/>
        <v>0.10225890413124339</v>
      </c>
      <c r="O27" s="140">
        <f t="shared" si="7"/>
        <v>1.7220244481080975</v>
      </c>
      <c r="Q27" s="150">
        <v>0.31083777445520727</v>
      </c>
      <c r="R27" s="140">
        <f t="shared" si="8"/>
        <v>5.2344610139806429</v>
      </c>
      <c r="T27" s="171"/>
    </row>
    <row r="28" spans="1:20" x14ac:dyDescent="0.2">
      <c r="A28" s="10" t="str">
        <f>name!$D24</f>
        <v>71 Sales occupations</v>
      </c>
      <c r="B28" s="150">
        <v>317.65918909274848</v>
      </c>
      <c r="C28" s="140">
        <f t="shared" si="0"/>
        <v>5.6993988952925996</v>
      </c>
      <c r="E28" s="150">
        <v>277.11013700415418</v>
      </c>
      <c r="F28" s="140">
        <f t="shared" si="1"/>
        <v>4.6672116376548081</v>
      </c>
      <c r="H28" s="150">
        <f t="shared" si="3"/>
        <v>-40.549052088594294</v>
      </c>
      <c r="I28" s="140">
        <f t="shared" si="4"/>
        <v>-12.764954857564337</v>
      </c>
      <c r="K28" s="207">
        <f t="shared" si="2"/>
        <v>20.735838030867981</v>
      </c>
      <c r="L28" s="140">
        <f t="shared" si="5"/>
        <v>6.5276997306738194</v>
      </c>
      <c r="N28" s="150">
        <f t="shared" si="6"/>
        <v>-34.291978371671007</v>
      </c>
      <c r="O28" s="140">
        <f t="shared" si="7"/>
        <v>-10.795210574455824</v>
      </c>
      <c r="Q28" s="150">
        <v>-26.992911747791268</v>
      </c>
      <c r="R28" s="140">
        <f t="shared" si="8"/>
        <v>-8.4974440137823368</v>
      </c>
      <c r="T28" s="11"/>
    </row>
    <row r="29" spans="1:20" x14ac:dyDescent="0.2">
      <c r="A29" s="10" t="str">
        <f>name!$D25</f>
        <v>72 Customer service occupations</v>
      </c>
      <c r="B29" s="150">
        <v>78.11547202864962</v>
      </c>
      <c r="C29" s="140">
        <f t="shared" si="0"/>
        <v>1.4015374032052796</v>
      </c>
      <c r="E29" s="150">
        <v>84.914331249932388</v>
      </c>
      <c r="F29" s="140">
        <f t="shared" si="1"/>
        <v>1.4301647687735748</v>
      </c>
      <c r="H29" s="150">
        <f t="shared" si="3"/>
        <v>6.7988592212827683</v>
      </c>
      <c r="I29" s="140">
        <f t="shared" si="4"/>
        <v>8.7036012773362259</v>
      </c>
      <c r="K29" s="207">
        <f t="shared" si="2"/>
        <v>5.0991434572287435</v>
      </c>
      <c r="L29" s="140">
        <f t="shared" si="5"/>
        <v>6.5276997306738194</v>
      </c>
      <c r="N29" s="150">
        <f t="shared" si="6"/>
        <v>2.9845672663708687</v>
      </c>
      <c r="O29" s="140">
        <f t="shared" si="7"/>
        <v>3.8207120674842101</v>
      </c>
      <c r="Q29" s="150">
        <v>-1.2848515023168436</v>
      </c>
      <c r="R29" s="140">
        <f t="shared" si="8"/>
        <v>-1.6448105208218056</v>
      </c>
      <c r="T29" s="11"/>
    </row>
    <row r="30" spans="1:20" x14ac:dyDescent="0.2">
      <c r="A30" s="10" t="str">
        <f>name!$D26</f>
        <v>81 Process, plant and machine operatives</v>
      </c>
      <c r="B30" s="150">
        <v>35.434452802600624</v>
      </c>
      <c r="C30" s="140">
        <f t="shared" si="0"/>
        <v>0.63576023641952306</v>
      </c>
      <c r="E30" s="150">
        <v>31.105873118691047</v>
      </c>
      <c r="F30" s="140">
        <f t="shared" si="1"/>
        <v>0.52389888940364659</v>
      </c>
      <c r="H30" s="150">
        <f t="shared" si="3"/>
        <v>-4.3285796839095774</v>
      </c>
      <c r="I30" s="140">
        <f t="shared" si="4"/>
        <v>-12.215737344734423</v>
      </c>
      <c r="K30" s="207">
        <f t="shared" si="2"/>
        <v>2.3130546801611027</v>
      </c>
      <c r="L30" s="140">
        <f t="shared" si="5"/>
        <v>6.5276997306738194</v>
      </c>
      <c r="N30" s="150">
        <f t="shared" si="6"/>
        <v>-7.1572217707273413</v>
      </c>
      <c r="O30" s="140">
        <f t="shared" si="7"/>
        <v>-20.198482563281054</v>
      </c>
      <c r="Q30" s="150">
        <v>0.5155874066566617</v>
      </c>
      <c r="R30" s="140">
        <f t="shared" si="8"/>
        <v>1.4550454878728125</v>
      </c>
      <c r="T30" s="11"/>
    </row>
    <row r="31" spans="1:20" x14ac:dyDescent="0.2">
      <c r="A31" s="10" t="str">
        <f>name!$D27</f>
        <v>82 Transport and mobile machine drivers and operatives</v>
      </c>
      <c r="B31" s="150">
        <v>182.23681734593583</v>
      </c>
      <c r="C31" s="140">
        <f t="shared" si="0"/>
        <v>3.2696687239852182</v>
      </c>
      <c r="E31" s="150">
        <v>183.44574594007335</v>
      </c>
      <c r="F31" s="140">
        <f t="shared" si="1"/>
        <v>3.0896744867797548</v>
      </c>
      <c r="H31" s="150">
        <f t="shared" si="3"/>
        <v>1.2089285941375181</v>
      </c>
      <c r="I31" s="140">
        <f t="shared" si="4"/>
        <v>0.66338328980066752</v>
      </c>
      <c r="K31" s="207">
        <f t="shared" si="2"/>
        <v>11.895872235079194</v>
      </c>
      <c r="L31" s="140">
        <f t="shared" si="5"/>
        <v>6.5276997306738194</v>
      </c>
      <c r="N31" s="150">
        <f t="shared" si="6"/>
        <v>-14.274988688992206</v>
      </c>
      <c r="O31" s="140">
        <f t="shared" si="7"/>
        <v>-7.8332078538741881</v>
      </c>
      <c r="Q31" s="150">
        <v>3.588045048050529</v>
      </c>
      <c r="R31" s="140">
        <f t="shared" si="8"/>
        <v>1.9688914130010449</v>
      </c>
      <c r="T31" s="11"/>
    </row>
    <row r="32" spans="1:20" x14ac:dyDescent="0.2">
      <c r="A32" s="10" t="str">
        <f>name!$D28</f>
        <v>91 Elementary trades and related occupations</v>
      </c>
      <c r="B32" s="150">
        <v>44.118542088264775</v>
      </c>
      <c r="C32" s="140">
        <f t="shared" si="0"/>
        <v>0.79156901066809537</v>
      </c>
      <c r="E32" s="150">
        <v>35.852641009177191</v>
      </c>
      <c r="F32" s="140">
        <f t="shared" si="1"/>
        <v>0.60384605618445253</v>
      </c>
      <c r="H32" s="150">
        <f t="shared" si="3"/>
        <v>-8.265901079087584</v>
      </c>
      <c r="I32" s="140">
        <f t="shared" si="4"/>
        <v>-18.735662349292038</v>
      </c>
      <c r="K32" s="207">
        <f t="shared" si="2"/>
        <v>2.8799259530728754</v>
      </c>
      <c r="L32" s="140">
        <f t="shared" si="5"/>
        <v>6.5276997306738194</v>
      </c>
      <c r="N32" s="150">
        <f>H32-(K32+Q32)</f>
        <v>-11.500001837414334</v>
      </c>
      <c r="O32" s="140">
        <f t="shared" si="7"/>
        <v>-26.066142018943221</v>
      </c>
      <c r="Q32" s="150">
        <v>0.35417480525387474</v>
      </c>
      <c r="R32" s="140">
        <f t="shared" si="8"/>
        <v>0.80277993897736422</v>
      </c>
      <c r="T32" s="11"/>
    </row>
    <row r="33" spans="1:20" x14ac:dyDescent="0.2">
      <c r="A33" s="10" t="str">
        <f>name!$D29</f>
        <v>92 Elementary administration and service occupations</v>
      </c>
      <c r="B33" s="150">
        <v>502.07614358936502</v>
      </c>
      <c r="C33" s="140">
        <f t="shared" si="0"/>
        <v>9.0081833498935886</v>
      </c>
      <c r="E33" s="150">
        <v>487.63253962385613</v>
      </c>
      <c r="F33" s="140">
        <f t="shared" si="1"/>
        <v>8.2129231663492437</v>
      </c>
      <c r="H33" s="150">
        <f t="shared" ref="H33" si="9">E33-B33</f>
        <v>-14.443603965508885</v>
      </c>
      <c r="I33" s="140">
        <f>IF(B33&lt;&gt;0,((E33/B33)-1)*100,0)</f>
        <v>-2.8767755946838891</v>
      </c>
      <c r="K33" s="207">
        <f t="shared" si="2"/>
        <v>32.77402307286048</v>
      </c>
      <c r="L33" s="140">
        <f t="shared" ref="L33" si="10">IF(B33&lt;&gt;0,K33/B33*100,0)</f>
        <v>6.5276997306738194</v>
      </c>
      <c r="N33" s="150">
        <f>H33-(K33+Q33)</f>
        <v>-54.798774079592846</v>
      </c>
      <c r="O33" s="140">
        <f t="shared" ref="O33" si="11">IF(B33&lt;&gt;0,N33/B33*100,0)</f>
        <v>-10.914434947622473</v>
      </c>
      <c r="Q33" s="150">
        <v>7.5811470412234847</v>
      </c>
      <c r="R33" s="140">
        <f t="shared" ref="R33" si="12">IF(B33&lt;&gt;0,Q33/B33*100,0)</f>
        <v>1.5099596222647669</v>
      </c>
      <c r="T33" s="11"/>
    </row>
    <row r="34" spans="1:20" x14ac:dyDescent="0.2">
      <c r="A34" s="10"/>
      <c r="B34" s="150"/>
      <c r="C34" s="140"/>
      <c r="E34" s="150"/>
      <c r="F34" s="140"/>
      <c r="H34" s="150"/>
      <c r="I34" s="140"/>
      <c r="K34" s="207"/>
      <c r="L34" s="140"/>
      <c r="N34" s="150"/>
      <c r="O34" s="140"/>
      <c r="Q34" s="150"/>
      <c r="R34" s="140"/>
      <c r="T34" s="11"/>
    </row>
    <row r="35" spans="1:20" x14ac:dyDescent="0.2">
      <c r="A35" s="148" t="str">
        <f>name!$D$3</f>
        <v>All occupations</v>
      </c>
      <c r="B35" s="151">
        <f>SUM(B8:B33)</f>
        <v>5573.5560000041069</v>
      </c>
      <c r="C35" s="146">
        <f>B35/B$35*100</f>
        <v>100</v>
      </c>
      <c r="D35" s="144"/>
      <c r="E35" s="151">
        <f>SUM(E8:E33)</f>
        <v>5937.38100000533</v>
      </c>
      <c r="F35" s="146">
        <f t="shared" ref="F35" si="13">E35/E$35*100</f>
        <v>100</v>
      </c>
      <c r="G35" s="144"/>
      <c r="H35" s="151">
        <f>E35-B35</f>
        <v>363.82500000122309</v>
      </c>
      <c r="I35" s="146">
        <f t="shared" si="4"/>
        <v>6.5276997306738194</v>
      </c>
      <c r="J35" s="144"/>
      <c r="K35" s="151"/>
      <c r="L35" s="146"/>
      <c r="M35" s="144"/>
      <c r="N35" s="147"/>
      <c r="O35" s="146"/>
      <c r="P35" s="144"/>
      <c r="Q35" s="147"/>
      <c r="R35" s="146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London</v>
      </c>
    </row>
    <row r="38" spans="1:20" ht="15.75" x14ac:dyDescent="0.25">
      <c r="A38" s="276"/>
    </row>
    <row r="39" spans="1:20" x14ac:dyDescent="0.2">
      <c r="A39" s="145"/>
      <c r="B39" s="275"/>
      <c r="C39" s="275"/>
      <c r="D39" s="275"/>
      <c r="E39" s="275"/>
      <c r="F39" s="275"/>
      <c r="G39" s="275"/>
      <c r="H39" s="275"/>
      <c r="I39" s="275"/>
      <c r="J39" s="275"/>
      <c r="K39" s="377" t="str">
        <f>K3</f>
        <v>Components of change</v>
      </c>
      <c r="L39" s="377"/>
      <c r="M39" s="377"/>
      <c r="N39" s="377"/>
      <c r="O39" s="377"/>
      <c r="P39" s="377"/>
      <c r="Q39" s="377"/>
      <c r="R39" s="377"/>
    </row>
    <row r="40" spans="1:20" x14ac:dyDescent="0.2">
      <c r="B40" s="270" t="str">
        <f>B4</f>
        <v>Base year</v>
      </c>
      <c r="C40" s="271">
        <v>2020</v>
      </c>
      <c r="D40" s="135"/>
      <c r="E40" s="270" t="str">
        <f>E4</f>
        <v>Target year</v>
      </c>
      <c r="F40" s="275">
        <v>2035</v>
      </c>
      <c r="G40" s="135"/>
      <c r="H40" s="270" t="str">
        <f>H4</f>
        <v>Change</v>
      </c>
      <c r="I40" s="270" t="str">
        <f>CONCATENATE(C40,"-",F40)</f>
        <v>2020-2035</v>
      </c>
      <c r="J40" s="135"/>
      <c r="K40" s="376" t="str">
        <f>K4</f>
        <v>Scale effect</v>
      </c>
      <c r="L40" s="376"/>
      <c r="M40" s="135"/>
      <c r="N40" s="376" t="str">
        <f>N4</f>
        <v>Occupation effect</v>
      </c>
      <c r="O40" s="376"/>
      <c r="P40" s="135"/>
      <c r="Q40" s="376" t="str">
        <f>Q4</f>
        <v>Industry mix effect</v>
      </c>
      <c r="R40" s="376"/>
    </row>
    <row r="41" spans="1:20" x14ac:dyDescent="0.2">
      <c r="A41" s="142" t="str">
        <f>A5</f>
        <v>SOC2020 Sub-Major Groups</v>
      </c>
      <c r="B41" s="272" t="str">
        <f>B5</f>
        <v>000s</v>
      </c>
      <c r="C41" s="272" t="str">
        <f>C5</f>
        <v>% share</v>
      </c>
      <c r="D41" s="135"/>
      <c r="E41" s="272" t="str">
        <f>E5</f>
        <v>000s</v>
      </c>
      <c r="F41" s="272" t="str">
        <f>F5</f>
        <v>% share</v>
      </c>
      <c r="G41" s="135"/>
      <c r="H41" s="272" t="str">
        <f>H5</f>
        <v>000s</v>
      </c>
      <c r="I41" s="272" t="str">
        <f>I5</f>
        <v xml:space="preserve">%   </v>
      </c>
      <c r="J41" s="135"/>
      <c r="K41" s="272" t="str">
        <f>H41</f>
        <v>000s</v>
      </c>
      <c r="L41" s="272" t="str">
        <f>I41</f>
        <v xml:space="preserve">%   </v>
      </c>
      <c r="M41" s="135"/>
      <c r="N41" s="272" t="str">
        <f>K41</f>
        <v>000s</v>
      </c>
      <c r="O41" s="272" t="str">
        <f>L41</f>
        <v xml:space="preserve">%   </v>
      </c>
      <c r="P41" s="135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2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3"/>
    </row>
    <row r="44" spans="1:20" x14ac:dyDescent="0.2">
      <c r="A44" s="134" t="str">
        <f t="shared" ref="A44:A69" si="14">A8</f>
        <v>11 Corporate managers and directors</v>
      </c>
      <c r="B44" s="150">
        <v>526.87103828580155</v>
      </c>
      <c r="C44" s="140">
        <f t="shared" ref="C44:C69" si="15">B44/B$71*100</f>
        <v>8.873795336451014</v>
      </c>
      <c r="E44" s="150">
        <v>543.51331220374857</v>
      </c>
      <c r="F44" s="140">
        <f t="shared" ref="F44:F69" si="16">E44/E$71*100</f>
        <v>8.3865998563916406</v>
      </c>
      <c r="H44" s="150">
        <f>E44-B44</f>
        <v>16.642273917947023</v>
      </c>
      <c r="I44" s="140">
        <f>IF(B44&gt;0,((E44/B44)-1)*100,0)</f>
        <v>3.1586997023205887</v>
      </c>
      <c r="K44" s="150">
        <f>(($E$71/$B$71)-1)*B44</f>
        <v>48.216121912609189</v>
      </c>
      <c r="L44" s="140">
        <f>IF(B44&gt;0,K44/B44*100,0)</f>
        <v>9.1514086766815836</v>
      </c>
      <c r="N44" s="150">
        <f>H44-(K44+Q44)</f>
        <v>-25.305952693903706</v>
      </c>
      <c r="O44" s="140">
        <f>IF(B44&gt;0,N44/B44*100,0)</f>
        <v>-4.8030639103333055</v>
      </c>
      <c r="Q44" s="150">
        <v>-6.2678953007584646</v>
      </c>
      <c r="R44" s="140">
        <f>IF(B44&gt;0,Q44/B44*100,0)</f>
        <v>-1.1896450640276872</v>
      </c>
      <c r="T44" s="150"/>
    </row>
    <row r="45" spans="1:20" x14ac:dyDescent="0.2">
      <c r="A45" s="134" t="str">
        <f t="shared" si="14"/>
        <v>12 Other managers and proprietors</v>
      </c>
      <c r="B45" s="150">
        <v>198.20219409915316</v>
      </c>
      <c r="C45" s="140">
        <f t="shared" si="15"/>
        <v>3.3382091211423894</v>
      </c>
      <c r="E45" s="150">
        <v>281.91344778289721</v>
      </c>
      <c r="F45" s="140">
        <f t="shared" si="16"/>
        <v>4.3500227641243265</v>
      </c>
      <c r="H45" s="150">
        <f t="shared" ref="H45:H71" si="17">E45-B45</f>
        <v>83.711253683744047</v>
      </c>
      <c r="I45" s="140">
        <f t="shared" ref="I45:I71" si="18">IF(B45&gt;0,((E45/B45)-1)*100,0)</f>
        <v>42.235281029162785</v>
      </c>
      <c r="K45" s="150">
        <f t="shared" ref="K45:K68" si="19">(($E$71/$B$71)-1)*B45</f>
        <v>18.138292788163174</v>
      </c>
      <c r="L45" s="140">
        <f t="shared" ref="L45:L68" si="20">IF(B45&gt;0,K45/B45*100,0)</f>
        <v>9.1514086766815836</v>
      </c>
      <c r="N45" s="150">
        <f t="shared" ref="N45:N68" si="21">H45-(K45+Q45)</f>
        <v>63.047277211114711</v>
      </c>
      <c r="O45" s="140">
        <f t="shared" ref="O45:O68" si="22">IF(B45&gt;0,N45/B45*100,0)</f>
        <v>31.809575821130675</v>
      </c>
      <c r="Q45" s="150">
        <v>2.5256836844661619</v>
      </c>
      <c r="R45" s="140">
        <f>IF(B45&gt;0,Q45/B45*100,0)</f>
        <v>1.2742965313505341</v>
      </c>
      <c r="T45" s="150"/>
    </row>
    <row r="46" spans="1:20" x14ac:dyDescent="0.2">
      <c r="A46" s="134" t="str">
        <f t="shared" si="14"/>
        <v>21 Science, research, engineering and technology professionals</v>
      </c>
      <c r="B46" s="150">
        <v>423.83885764393955</v>
      </c>
      <c r="C46" s="140">
        <f t="shared" si="15"/>
        <v>7.1384817252515722</v>
      </c>
      <c r="E46" s="150">
        <v>511.56986191940257</v>
      </c>
      <c r="F46" s="140">
        <f t="shared" si="16"/>
        <v>7.8937012841724528</v>
      </c>
      <c r="H46" s="150">
        <f t="shared" si="17"/>
        <v>87.731004275463022</v>
      </c>
      <c r="I46" s="140">
        <f t="shared" si="18"/>
        <v>20.699141358380245</v>
      </c>
      <c r="K46" s="150">
        <f t="shared" si="19"/>
        <v>38.787225993575582</v>
      </c>
      <c r="L46" s="140">
        <f t="shared" si="20"/>
        <v>9.1514086766815819</v>
      </c>
      <c r="N46" s="150">
        <f t="shared" si="21"/>
        <v>40.901645394933091</v>
      </c>
      <c r="O46" s="140">
        <f t="shared" si="22"/>
        <v>9.6502820959596693</v>
      </c>
      <c r="Q46" s="150">
        <v>8.0421328869543469</v>
      </c>
      <c r="R46" s="140">
        <f t="shared" ref="R46:R68" si="23">IF(B46&gt;0,Q46/B46*100,0)</f>
        <v>1.8974505857389836</v>
      </c>
      <c r="T46" s="150"/>
    </row>
    <row r="47" spans="1:20" x14ac:dyDescent="0.2">
      <c r="A47" s="134" t="str">
        <f t="shared" si="14"/>
        <v>22 Health professionals</v>
      </c>
      <c r="B47" s="150">
        <v>289.86377178651531</v>
      </c>
      <c r="C47" s="140">
        <f t="shared" si="15"/>
        <v>4.8820140022386154</v>
      </c>
      <c r="E47" s="150">
        <v>314.63253825255418</v>
      </c>
      <c r="F47" s="140">
        <f t="shared" si="16"/>
        <v>4.8548897347629856</v>
      </c>
      <c r="H47" s="150">
        <f t="shared" si="17"/>
        <v>24.768766466038869</v>
      </c>
      <c r="I47" s="140">
        <f t="shared" si="18"/>
        <v>8.54496797353519</v>
      </c>
      <c r="K47" s="150">
        <f t="shared" si="19"/>
        <v>26.526618361827666</v>
      </c>
      <c r="L47" s="140">
        <f t="shared" si="20"/>
        <v>9.1514086766815836</v>
      </c>
      <c r="N47" s="150">
        <f t="shared" si="21"/>
        <v>7.2262925062837269</v>
      </c>
      <c r="O47" s="140">
        <f t="shared" si="22"/>
        <v>2.4929960932150887</v>
      </c>
      <c r="Q47" s="150">
        <v>-8.9841444020725234</v>
      </c>
      <c r="R47" s="140">
        <f t="shared" si="23"/>
        <v>-3.0994367963614806</v>
      </c>
      <c r="T47" s="150"/>
    </row>
    <row r="48" spans="1:20" x14ac:dyDescent="0.2">
      <c r="A48" s="134" t="str">
        <f t="shared" si="14"/>
        <v>23 Teaching and other educational professionals</v>
      </c>
      <c r="B48" s="150">
        <v>370.65753423648943</v>
      </c>
      <c r="C48" s="140">
        <f t="shared" si="15"/>
        <v>6.242778326608259</v>
      </c>
      <c r="E48" s="150">
        <v>405.31749165504783</v>
      </c>
      <c r="F48" s="140">
        <f t="shared" si="16"/>
        <v>6.2541901752591516</v>
      </c>
      <c r="H48" s="150">
        <f t="shared" si="17"/>
        <v>34.659957418558406</v>
      </c>
      <c r="I48" s="140">
        <f t="shared" si="18"/>
        <v>9.3509383236884069</v>
      </c>
      <c r="K48" s="150">
        <f t="shared" si="19"/>
        <v>33.920385748892102</v>
      </c>
      <c r="L48" s="140">
        <f t="shared" si="20"/>
        <v>9.1514086766815836</v>
      </c>
      <c r="N48" s="150">
        <f t="shared" si="21"/>
        <v>25.652368643250728</v>
      </c>
      <c r="O48" s="140">
        <f t="shared" si="22"/>
        <v>6.9207735642259545</v>
      </c>
      <c r="Q48" s="150">
        <v>-24.912796973584424</v>
      </c>
      <c r="R48" s="140">
        <f t="shared" si="23"/>
        <v>-6.7212439172191205</v>
      </c>
      <c r="T48" s="150"/>
    </row>
    <row r="49" spans="1:20" x14ac:dyDescent="0.2">
      <c r="A49" s="134" t="str">
        <f t="shared" si="14"/>
        <v>24 Business, media and public service professionals</v>
      </c>
      <c r="B49" s="150">
        <v>729.85312521326705</v>
      </c>
      <c r="C49" s="140">
        <f t="shared" si="15"/>
        <v>12.292509529245502</v>
      </c>
      <c r="E49" s="150">
        <v>910.8448054975928</v>
      </c>
      <c r="F49" s="140">
        <f t="shared" si="16"/>
        <v>14.054652836391924</v>
      </c>
      <c r="H49" s="150">
        <f t="shared" si="17"/>
        <v>180.99168028432575</v>
      </c>
      <c r="I49" s="140">
        <f t="shared" si="18"/>
        <v>24.798370251746071</v>
      </c>
      <c r="K49" s="150">
        <f t="shared" si="19"/>
        <v>66.791842227798611</v>
      </c>
      <c r="L49" s="140">
        <f t="shared" si="20"/>
        <v>9.1514086766815819</v>
      </c>
      <c r="N49" s="150">
        <f t="shared" si="21"/>
        <v>111.36764914867406</v>
      </c>
      <c r="O49" s="140">
        <f t="shared" si="22"/>
        <v>15.258912416951265</v>
      </c>
      <c r="Q49" s="150">
        <v>2.8321889078530824</v>
      </c>
      <c r="R49" s="140">
        <f t="shared" si="23"/>
        <v>0.3880491581132165</v>
      </c>
      <c r="T49" s="150"/>
    </row>
    <row r="50" spans="1:20" x14ac:dyDescent="0.2">
      <c r="A50" s="134" t="str">
        <f t="shared" si="14"/>
        <v>31 Science, engineering and technology associate professionals</v>
      </c>
      <c r="B50" s="150">
        <v>105.44228217606674</v>
      </c>
      <c r="C50" s="140">
        <f t="shared" si="15"/>
        <v>1.7759056084824618</v>
      </c>
      <c r="E50" s="150">
        <v>103.72464919203004</v>
      </c>
      <c r="F50" s="140">
        <f t="shared" si="16"/>
        <v>1.6005074916951647</v>
      </c>
      <c r="H50" s="150">
        <f t="shared" si="17"/>
        <v>-1.7176329840366975</v>
      </c>
      <c r="I50" s="140">
        <f t="shared" si="18"/>
        <v>-1.628979332189151</v>
      </c>
      <c r="K50" s="150">
        <f t="shared" si="19"/>
        <v>9.6494541599516506</v>
      </c>
      <c r="L50" s="140">
        <f t="shared" si="20"/>
        <v>9.1514086766815836</v>
      </c>
      <c r="N50" s="150">
        <f t="shared" si="21"/>
        <v>-12.655933517687735</v>
      </c>
      <c r="O50" s="140">
        <f t="shared" si="22"/>
        <v>-12.002712058673911</v>
      </c>
      <c r="Q50" s="150">
        <v>1.2888463736993867</v>
      </c>
      <c r="R50" s="140">
        <f t="shared" si="23"/>
        <v>1.2223240498031716</v>
      </c>
      <c r="T50" s="150"/>
    </row>
    <row r="51" spans="1:20" x14ac:dyDescent="0.2">
      <c r="A51" s="134" t="str">
        <f t="shared" si="14"/>
        <v>32 Health and social care associate professionals</v>
      </c>
      <c r="B51" s="150">
        <v>109.6581082081135</v>
      </c>
      <c r="C51" s="140">
        <f t="shared" si="15"/>
        <v>1.8469104173711453</v>
      </c>
      <c r="E51" s="150">
        <v>113.02119267279436</v>
      </c>
      <c r="F51" s="140">
        <f t="shared" si="16"/>
        <v>1.7439563980422628</v>
      </c>
      <c r="H51" s="150">
        <f t="shared" si="17"/>
        <v>3.3630844646808526</v>
      </c>
      <c r="I51" s="140">
        <f t="shared" si="18"/>
        <v>3.0668817104689161</v>
      </c>
      <c r="K51" s="150">
        <f t="shared" si="19"/>
        <v>10.035261629242179</v>
      </c>
      <c r="L51" s="140">
        <f t="shared" si="20"/>
        <v>9.1514086766815836</v>
      </c>
      <c r="N51" s="150">
        <f t="shared" si="21"/>
        <v>-3.5282133134735219</v>
      </c>
      <c r="O51" s="140">
        <f t="shared" si="22"/>
        <v>-3.2174668805862847</v>
      </c>
      <c r="Q51" s="150">
        <v>-3.1439638510878036</v>
      </c>
      <c r="R51" s="140">
        <f t="shared" si="23"/>
        <v>-2.8670600856263766</v>
      </c>
      <c r="T51" s="150"/>
    </row>
    <row r="52" spans="1:20" x14ac:dyDescent="0.2">
      <c r="A52" s="134" t="str">
        <f t="shared" si="14"/>
        <v>33 Protective service occupations</v>
      </c>
      <c r="B52" s="150">
        <v>75.80441572551301</v>
      </c>
      <c r="C52" s="140">
        <f t="shared" si="15"/>
        <v>1.2767315374479922</v>
      </c>
      <c r="E52" s="150">
        <v>101.60369334487039</v>
      </c>
      <c r="F52" s="140">
        <f t="shared" si="16"/>
        <v>1.5677804036849743</v>
      </c>
      <c r="H52" s="150">
        <f t="shared" si="17"/>
        <v>25.799277619357383</v>
      </c>
      <c r="I52" s="140">
        <f t="shared" si="18"/>
        <v>34.034003655903497</v>
      </c>
      <c r="K52" s="150">
        <f t="shared" si="19"/>
        <v>6.9371718780123759</v>
      </c>
      <c r="L52" s="140">
        <f t="shared" si="20"/>
        <v>9.1514086766815836</v>
      </c>
      <c r="N52" s="150">
        <f t="shared" si="21"/>
        <v>21.836773279104584</v>
      </c>
      <c r="O52" s="140">
        <f t="shared" si="22"/>
        <v>28.806729885202607</v>
      </c>
      <c r="Q52" s="150">
        <v>-2.9746675377595753</v>
      </c>
      <c r="R52" s="140">
        <f t="shared" si="23"/>
        <v>-3.9241349059806954</v>
      </c>
      <c r="T52" s="150"/>
    </row>
    <row r="53" spans="1:20" x14ac:dyDescent="0.2">
      <c r="A53" s="134" t="str">
        <f t="shared" si="14"/>
        <v>34 Culture, media and sports occupations</v>
      </c>
      <c r="B53" s="150">
        <v>244.51539437746447</v>
      </c>
      <c r="C53" s="140">
        <f t="shared" si="15"/>
        <v>4.1182365486945338</v>
      </c>
      <c r="E53" s="150">
        <v>278.61027449263656</v>
      </c>
      <c r="F53" s="140">
        <f t="shared" si="16"/>
        <v>4.299053648888834</v>
      </c>
      <c r="H53" s="150">
        <f t="shared" si="17"/>
        <v>34.094880115172089</v>
      </c>
      <c r="I53" s="140">
        <f t="shared" si="18"/>
        <v>13.943858300610291</v>
      </c>
      <c r="K53" s="150">
        <f t="shared" si="19"/>
        <v>22.376603016881475</v>
      </c>
      <c r="L53" s="140">
        <f t="shared" si="20"/>
        <v>9.1514086766815836</v>
      </c>
      <c r="N53" s="150">
        <f t="shared" si="21"/>
        <v>4.6226044269184641</v>
      </c>
      <c r="O53" s="140">
        <f t="shared" si="22"/>
        <v>1.8905167254142023</v>
      </c>
      <c r="Q53" s="150">
        <v>7.0956726713721485</v>
      </c>
      <c r="R53" s="140">
        <f t="shared" si="23"/>
        <v>2.9019328985145134</v>
      </c>
      <c r="T53" s="150"/>
    </row>
    <row r="54" spans="1:20" x14ac:dyDescent="0.2">
      <c r="A54" s="134" t="str">
        <f t="shared" si="14"/>
        <v>35 Business and public service associate professionals</v>
      </c>
      <c r="B54" s="150">
        <v>550.05772654184398</v>
      </c>
      <c r="C54" s="140">
        <f t="shared" si="15"/>
        <v>9.2643158076153469</v>
      </c>
      <c r="E54" s="150">
        <v>553.90888183733466</v>
      </c>
      <c r="F54" s="140">
        <f t="shared" si="16"/>
        <v>8.5470071193575574</v>
      </c>
      <c r="H54" s="150">
        <f t="shared" si="17"/>
        <v>3.8511552954906847</v>
      </c>
      <c r="I54" s="140">
        <f t="shared" si="18"/>
        <v>0.70013656924747814</v>
      </c>
      <c r="K54" s="150">
        <f t="shared" si="19"/>
        <v>50.338030513507761</v>
      </c>
      <c r="L54" s="140">
        <f t="shared" si="20"/>
        <v>9.1514086766815836</v>
      </c>
      <c r="N54" s="150">
        <f t="shared" si="21"/>
        <v>-36.806065688389907</v>
      </c>
      <c r="O54" s="140">
        <f t="shared" si="22"/>
        <v>-6.6913096412236275</v>
      </c>
      <c r="Q54" s="150">
        <v>-9.6808095296271706</v>
      </c>
      <c r="R54" s="140">
        <f t="shared" si="23"/>
        <v>-1.7599624662104865</v>
      </c>
      <c r="T54" s="150"/>
    </row>
    <row r="55" spans="1:20" x14ac:dyDescent="0.2">
      <c r="A55" s="134" t="str">
        <f t="shared" si="14"/>
        <v>41 Administrative occupations</v>
      </c>
      <c r="B55" s="150">
        <v>403.63982178925511</v>
      </c>
      <c r="C55" s="140">
        <f t="shared" si="15"/>
        <v>6.7982806188265963</v>
      </c>
      <c r="E55" s="150">
        <v>335.62418452466846</v>
      </c>
      <c r="F55" s="140">
        <f t="shared" si="16"/>
        <v>5.1787981536705647</v>
      </c>
      <c r="H55" s="150">
        <f t="shared" si="17"/>
        <v>-68.015637264586644</v>
      </c>
      <c r="I55" s="140">
        <f t="shared" si="18"/>
        <v>-16.850576576683352</v>
      </c>
      <c r="K55" s="150">
        <f t="shared" si="19"/>
        <v>36.938729673763973</v>
      </c>
      <c r="L55" s="140">
        <f t="shared" si="20"/>
        <v>9.1514086766815836</v>
      </c>
      <c r="N55" s="150">
        <f t="shared" si="21"/>
        <v>-98.780206568252481</v>
      </c>
      <c r="O55" s="140">
        <f t="shared" si="22"/>
        <v>-24.472364032463265</v>
      </c>
      <c r="Q55" s="150">
        <v>-6.1741603700981278</v>
      </c>
      <c r="R55" s="140">
        <f t="shared" si="23"/>
        <v>-1.5296212209016695</v>
      </c>
      <c r="T55" s="150"/>
    </row>
    <row r="56" spans="1:20" x14ac:dyDescent="0.2">
      <c r="A56" s="134" t="str">
        <f t="shared" si="14"/>
        <v>42 Secretarial and related occupations</v>
      </c>
      <c r="B56" s="150">
        <v>88.717808960952368</v>
      </c>
      <c r="C56" s="140">
        <f t="shared" si="15"/>
        <v>1.4942246246429651</v>
      </c>
      <c r="E56" s="150">
        <v>78.527613837520136</v>
      </c>
      <c r="F56" s="140">
        <f t="shared" si="16"/>
        <v>1.2117084533996487</v>
      </c>
      <c r="H56" s="150">
        <f t="shared" si="17"/>
        <v>-10.190195123432233</v>
      </c>
      <c r="I56" s="140">
        <f t="shared" si="18"/>
        <v>-11.486076181071237</v>
      </c>
      <c r="K56" s="150">
        <f t="shared" si="19"/>
        <v>8.1189292670143853</v>
      </c>
      <c r="L56" s="140">
        <f t="shared" si="20"/>
        <v>9.1514086766815836</v>
      </c>
      <c r="N56" s="150">
        <f t="shared" si="21"/>
        <v>-19.346761583405211</v>
      </c>
      <c r="O56" s="140">
        <f t="shared" si="22"/>
        <v>-21.807077755854362</v>
      </c>
      <c r="Q56" s="150">
        <v>1.0376371929585915</v>
      </c>
      <c r="R56" s="140">
        <f t="shared" si="23"/>
        <v>1.1695928981015411</v>
      </c>
      <c r="T56" s="150"/>
    </row>
    <row r="57" spans="1:20" x14ac:dyDescent="0.2">
      <c r="A57" s="134" t="str">
        <f t="shared" si="14"/>
        <v>51 Skilled agricultural and related trades</v>
      </c>
      <c r="B57" s="150">
        <v>25.224786294385733</v>
      </c>
      <c r="C57" s="140">
        <f t="shared" si="15"/>
        <v>0.42484702083903814</v>
      </c>
      <c r="E57" s="150">
        <v>32.47501086648176</v>
      </c>
      <c r="F57" s="140">
        <f t="shared" si="16"/>
        <v>0.50110073728434157</v>
      </c>
      <c r="H57" s="150">
        <f t="shared" si="17"/>
        <v>7.2502245720960268</v>
      </c>
      <c r="I57" s="140">
        <f t="shared" si="18"/>
        <v>28.742461828942044</v>
      </c>
      <c r="K57" s="150">
        <f t="shared" si="19"/>
        <v>2.3084232816188028</v>
      </c>
      <c r="L57" s="140">
        <f t="shared" si="20"/>
        <v>9.1514086766815836</v>
      </c>
      <c r="N57" s="150">
        <f t="shared" si="21"/>
        <v>4.0576515779792572</v>
      </c>
      <c r="O57" s="140">
        <f t="shared" si="22"/>
        <v>16.085970087613255</v>
      </c>
      <c r="Q57" s="150">
        <v>0.88414971249796703</v>
      </c>
      <c r="R57" s="140">
        <f t="shared" si="23"/>
        <v>3.5050830646472186</v>
      </c>
      <c r="T57" s="150"/>
    </row>
    <row r="58" spans="1:20" x14ac:dyDescent="0.2">
      <c r="A58" s="134" t="str">
        <f t="shared" si="14"/>
        <v>52 Skilled metal, electrical and electronic trades</v>
      </c>
      <c r="B58" s="150">
        <v>111.14071561048978</v>
      </c>
      <c r="C58" s="140">
        <f t="shared" si="15"/>
        <v>1.871881147771888</v>
      </c>
      <c r="E58" s="150">
        <v>111.9329693226548</v>
      </c>
      <c r="F58" s="140">
        <f t="shared" si="16"/>
        <v>1.7271647324342985</v>
      </c>
      <c r="H58" s="150">
        <f t="shared" si="17"/>
        <v>0.79225371216502083</v>
      </c>
      <c r="I58" s="140">
        <f t="shared" si="18"/>
        <v>0.71283841192961717</v>
      </c>
      <c r="K58" s="150">
        <f t="shared" si="19"/>
        <v>10.170941091704364</v>
      </c>
      <c r="L58" s="140">
        <f t="shared" si="20"/>
        <v>9.1514086766815836</v>
      </c>
      <c r="N58" s="150">
        <f t="shared" si="21"/>
        <v>-12.586826330698361</v>
      </c>
      <c r="O58" s="140">
        <f t="shared" si="22"/>
        <v>-11.325126225397797</v>
      </c>
      <c r="Q58" s="150">
        <v>3.208138951159019</v>
      </c>
      <c r="R58" s="140">
        <f t="shared" si="23"/>
        <v>2.8865559606458264</v>
      </c>
      <c r="T58" s="150"/>
    </row>
    <row r="59" spans="1:20" x14ac:dyDescent="0.2">
      <c r="A59" s="134" t="str">
        <f t="shared" si="14"/>
        <v>53 Skilled construction and building trades</v>
      </c>
      <c r="B59" s="150">
        <v>112.25935423674792</v>
      </c>
      <c r="C59" s="140">
        <f t="shared" si="15"/>
        <v>1.890721754872176</v>
      </c>
      <c r="E59" s="150">
        <v>137.47363645308153</v>
      </c>
      <c r="F59" s="140">
        <f t="shared" si="16"/>
        <v>2.1212661288098227</v>
      </c>
      <c r="H59" s="150">
        <f t="shared" si="17"/>
        <v>25.214282216333601</v>
      </c>
      <c r="I59" s="140">
        <f t="shared" si="18"/>
        <v>22.46074047705482</v>
      </c>
      <c r="K59" s="150">
        <f t="shared" si="19"/>
        <v>10.273312284008464</v>
      </c>
      <c r="L59" s="140">
        <f t="shared" si="20"/>
        <v>9.1514086766815836</v>
      </c>
      <c r="N59" s="150">
        <f t="shared" si="21"/>
        <v>0.28102101486747699</v>
      </c>
      <c r="O59" s="140">
        <f t="shared" si="22"/>
        <v>0.25033193605837184</v>
      </c>
      <c r="Q59" s="150">
        <v>14.65994891745766</v>
      </c>
      <c r="R59" s="140">
        <f t="shared" si="23"/>
        <v>13.058999864314869</v>
      </c>
      <c r="T59" s="150"/>
    </row>
    <row r="60" spans="1:20" x14ac:dyDescent="0.2">
      <c r="A60" s="134" t="str">
        <f t="shared" si="14"/>
        <v>54 Textiles, printing and other skilled trades</v>
      </c>
      <c r="B60" s="150">
        <v>113.17858727747519</v>
      </c>
      <c r="C60" s="140">
        <f t="shared" si="15"/>
        <v>1.906203884799941</v>
      </c>
      <c r="E60" s="150">
        <v>126.68335451496061</v>
      </c>
      <c r="F60" s="140">
        <f t="shared" si="16"/>
        <v>1.9547683174024979</v>
      </c>
      <c r="H60" s="150">
        <f t="shared" si="17"/>
        <v>13.504767237485424</v>
      </c>
      <c r="I60" s="140">
        <f t="shared" si="18"/>
        <v>11.932263480526007</v>
      </c>
      <c r="K60" s="150">
        <f t="shared" si="19"/>
        <v>10.357435056256502</v>
      </c>
      <c r="L60" s="140">
        <f t="shared" si="20"/>
        <v>9.1514086766815836</v>
      </c>
      <c r="N60" s="150">
        <f t="shared" si="21"/>
        <v>-5.2004025042435842</v>
      </c>
      <c r="O60" s="140">
        <f t="shared" si="22"/>
        <v>-4.5948643019319331</v>
      </c>
      <c r="Q60" s="150">
        <v>8.3477346854725081</v>
      </c>
      <c r="R60" s="140">
        <f t="shared" si="23"/>
        <v>7.3757191057763585</v>
      </c>
      <c r="T60" s="150"/>
    </row>
    <row r="61" spans="1:20" x14ac:dyDescent="0.2">
      <c r="A61" s="134" t="str">
        <f t="shared" si="14"/>
        <v>61 Caring personal service occupations</v>
      </c>
      <c r="B61" s="150">
        <v>252.16320992365189</v>
      </c>
      <c r="C61" s="140">
        <f t="shared" si="15"/>
        <v>4.2470444447379334</v>
      </c>
      <c r="E61" s="150">
        <v>288.67846948308761</v>
      </c>
      <c r="F61" s="140">
        <f t="shared" si="16"/>
        <v>4.4544094070002132</v>
      </c>
      <c r="H61" s="150">
        <f t="shared" si="17"/>
        <v>36.515259559435719</v>
      </c>
      <c r="I61" s="140">
        <f t="shared" si="18"/>
        <v>14.480803750274095</v>
      </c>
      <c r="K61" s="150">
        <f t="shared" si="19"/>
        <v>23.076485872351874</v>
      </c>
      <c r="L61" s="140">
        <f t="shared" si="20"/>
        <v>9.1514086766815836</v>
      </c>
      <c r="N61" s="150">
        <f t="shared" si="21"/>
        <v>20.232939180648941</v>
      </c>
      <c r="O61" s="140">
        <f t="shared" si="22"/>
        <v>8.0237474716374848</v>
      </c>
      <c r="Q61" s="150">
        <v>-6.7941654935650977</v>
      </c>
      <c r="R61" s="140">
        <f t="shared" si="23"/>
        <v>-2.6943523980449742</v>
      </c>
      <c r="T61" s="150"/>
    </row>
    <row r="62" spans="1:20" x14ac:dyDescent="0.2">
      <c r="A62" s="134" t="str">
        <f t="shared" si="14"/>
        <v>62 Leisure, travel and related personal service occupations</v>
      </c>
      <c r="B62" s="150">
        <v>99.491973158038263</v>
      </c>
      <c r="C62" s="140">
        <f t="shared" si="15"/>
        <v>1.6756878690781165</v>
      </c>
      <c r="E62" s="150">
        <v>113.77979691516451</v>
      </c>
      <c r="F62" s="140">
        <f t="shared" si="16"/>
        <v>1.7556619259240427</v>
      </c>
      <c r="H62" s="150">
        <f t="shared" si="17"/>
        <v>14.287823757126247</v>
      </c>
      <c r="I62" s="140">
        <f t="shared" si="18"/>
        <v>14.36078037615227</v>
      </c>
      <c r="K62" s="150">
        <f t="shared" si="19"/>
        <v>9.1049170641864254</v>
      </c>
      <c r="L62" s="140">
        <f t="shared" si="20"/>
        <v>9.1514086766815836</v>
      </c>
      <c r="N62" s="150">
        <f t="shared" si="21"/>
        <v>3.0573192811695353</v>
      </c>
      <c r="O62" s="140">
        <f t="shared" si="22"/>
        <v>3.0729305934189579</v>
      </c>
      <c r="Q62" s="150">
        <v>2.1255874117702866</v>
      </c>
      <c r="R62" s="140">
        <f t="shared" si="23"/>
        <v>2.1364411060517337</v>
      </c>
      <c r="T62" s="150"/>
    </row>
    <row r="63" spans="1:20" x14ac:dyDescent="0.2">
      <c r="A63" s="134" t="str">
        <f t="shared" si="14"/>
        <v>63 Community and civil enforcement occupations</v>
      </c>
      <c r="B63" s="150">
        <v>6.7390265142800718</v>
      </c>
      <c r="C63" s="140">
        <f t="shared" si="15"/>
        <v>0.11350166873700748</v>
      </c>
      <c r="E63" s="150">
        <v>5.9898441030475</v>
      </c>
      <c r="F63" s="140">
        <f t="shared" si="16"/>
        <v>9.2425382353091182E-2</v>
      </c>
      <c r="H63" s="150">
        <f t="shared" si="17"/>
        <v>-0.74918241123257179</v>
      </c>
      <c r="I63" s="140">
        <f t="shared" si="18"/>
        <v>-11.117071726087524</v>
      </c>
      <c r="K63" s="150">
        <f t="shared" si="19"/>
        <v>0.61671585715169897</v>
      </c>
      <c r="L63" s="140">
        <f t="shared" si="20"/>
        <v>9.1514086766815836</v>
      </c>
      <c r="N63" s="150">
        <f t="shared" si="21"/>
        <v>-1.400567515880955</v>
      </c>
      <c r="O63" s="140">
        <f t="shared" si="22"/>
        <v>-20.782935234238014</v>
      </c>
      <c r="Q63" s="150">
        <v>3.4669247496684312E-2</v>
      </c>
      <c r="R63" s="140">
        <f t="shared" si="23"/>
        <v>0.51445483146890414</v>
      </c>
      <c r="T63" s="150"/>
    </row>
    <row r="64" spans="1:20" x14ac:dyDescent="0.2">
      <c r="A64" s="134" t="str">
        <f t="shared" si="14"/>
        <v>71 Sales occupations</v>
      </c>
      <c r="B64" s="150">
        <v>277.11013700415418</v>
      </c>
      <c r="C64" s="140">
        <f t="shared" si="15"/>
        <v>4.6672116376548081</v>
      </c>
      <c r="E64" s="150">
        <v>243.68551158385674</v>
      </c>
      <c r="F64" s="140">
        <f t="shared" si="16"/>
        <v>3.7601523836968518</v>
      </c>
      <c r="H64" s="150">
        <f t="shared" si="17"/>
        <v>-33.424625420297446</v>
      </c>
      <c r="I64" s="140">
        <f t="shared" si="18"/>
        <v>-12.061855903812123</v>
      </c>
      <c r="K64" s="150">
        <f t="shared" si="19"/>
        <v>25.359481121762386</v>
      </c>
      <c r="L64" s="140">
        <f t="shared" si="20"/>
        <v>9.1514086766815836</v>
      </c>
      <c r="N64" s="150">
        <f t="shared" si="21"/>
        <v>-45.389889975148755</v>
      </c>
      <c r="O64" s="140">
        <f t="shared" si="22"/>
        <v>-16.379729181277952</v>
      </c>
      <c r="Q64" s="150">
        <v>-13.394216566911078</v>
      </c>
      <c r="R64" s="140">
        <f t="shared" si="23"/>
        <v>-4.8335353992157586</v>
      </c>
      <c r="T64" s="150"/>
    </row>
    <row r="65" spans="1:20" x14ac:dyDescent="0.2">
      <c r="A65" s="134" t="str">
        <f t="shared" si="14"/>
        <v>72 Customer service occupations</v>
      </c>
      <c r="B65" s="150">
        <v>84.914331249932388</v>
      </c>
      <c r="C65" s="140">
        <f t="shared" si="15"/>
        <v>1.4301647687735748</v>
      </c>
      <c r="E65" s="150">
        <v>117.74614770212519</v>
      </c>
      <c r="F65" s="140">
        <f t="shared" si="16"/>
        <v>1.8168641010933115</v>
      </c>
      <c r="H65" s="150">
        <f t="shared" si="17"/>
        <v>32.831816452192797</v>
      </c>
      <c r="I65" s="140">
        <f t="shared" si="18"/>
        <v>38.664635249328349</v>
      </c>
      <c r="K65" s="150">
        <f t="shared" si="19"/>
        <v>7.7708574777524531</v>
      </c>
      <c r="L65" s="140">
        <f t="shared" si="20"/>
        <v>9.1514086766815836</v>
      </c>
      <c r="N65" s="150">
        <f t="shared" si="21"/>
        <v>26.318780045276824</v>
      </c>
      <c r="O65" s="140">
        <f t="shared" si="22"/>
        <v>30.994509004388799</v>
      </c>
      <c r="Q65" s="150">
        <v>-1.2578210708364814</v>
      </c>
      <c r="R65" s="140">
        <f t="shared" si="23"/>
        <v>-1.4812824317420306</v>
      </c>
      <c r="T65" s="150"/>
    </row>
    <row r="66" spans="1:20" x14ac:dyDescent="0.2">
      <c r="A66" s="134" t="str">
        <f t="shared" si="14"/>
        <v>81 Process, plant and machine operatives</v>
      </c>
      <c r="B66" s="150">
        <v>31.105873118691047</v>
      </c>
      <c r="C66" s="140">
        <f t="shared" si="15"/>
        <v>0.52389888940364659</v>
      </c>
      <c r="E66" s="150">
        <v>40.998968578618566</v>
      </c>
      <c r="F66" s="140">
        <f t="shared" si="16"/>
        <v>0.63262837592605414</v>
      </c>
      <c r="H66" s="150">
        <f t="shared" si="17"/>
        <v>9.8930954599275189</v>
      </c>
      <c r="I66" s="140">
        <f t="shared" si="18"/>
        <v>31.804590156265089</v>
      </c>
      <c r="K66" s="150">
        <f t="shared" si="19"/>
        <v>2.8466255715414563</v>
      </c>
      <c r="L66" s="140">
        <f t="shared" si="20"/>
        <v>9.1514086766815836</v>
      </c>
      <c r="N66" s="150">
        <f t="shared" si="21"/>
        <v>7.2477014581498604</v>
      </c>
      <c r="O66" s="140">
        <f t="shared" si="22"/>
        <v>23.300106158392406</v>
      </c>
      <c r="Q66" s="150">
        <v>-0.20123156976379808</v>
      </c>
      <c r="R66" s="140">
        <f t="shared" si="23"/>
        <v>-0.64692467880890658</v>
      </c>
      <c r="T66" s="150"/>
    </row>
    <row r="67" spans="1:20" x14ac:dyDescent="0.2">
      <c r="A67" s="134" t="str">
        <f t="shared" si="14"/>
        <v>82 Transport and mobile machine drivers and operatives</v>
      </c>
      <c r="B67" s="150">
        <v>183.44574594007335</v>
      </c>
      <c r="C67" s="140">
        <f t="shared" si="15"/>
        <v>3.0896744867797548</v>
      </c>
      <c r="E67" s="150">
        <v>201.77357034406313</v>
      </c>
      <c r="F67" s="140">
        <f t="shared" si="16"/>
        <v>3.1134365213796098</v>
      </c>
      <c r="H67" s="150">
        <f t="shared" si="17"/>
        <v>18.32782440398978</v>
      </c>
      <c r="I67" s="140">
        <f t="shared" si="18"/>
        <v>9.9908691313981066</v>
      </c>
      <c r="K67" s="150">
        <f t="shared" si="19"/>
        <v>16.787869910963124</v>
      </c>
      <c r="L67" s="140">
        <f t="shared" si="20"/>
        <v>9.1514086766815836</v>
      </c>
      <c r="N67" s="150">
        <f t="shared" si="21"/>
        <v>-2.7191971209621286</v>
      </c>
      <c r="O67" s="140">
        <f t="shared" si="22"/>
        <v>-1.4822895494400916</v>
      </c>
      <c r="Q67" s="150">
        <v>4.2591516139887862</v>
      </c>
      <c r="R67" s="140">
        <f t="shared" si="23"/>
        <v>2.3217500041566148</v>
      </c>
      <c r="T67" s="150"/>
    </row>
    <row r="68" spans="1:20" x14ac:dyDescent="0.2">
      <c r="A68" s="134" t="str">
        <f t="shared" si="14"/>
        <v>91 Elementary trades and related occupations</v>
      </c>
      <c r="B68" s="150">
        <v>35.852641009177191</v>
      </c>
      <c r="C68" s="140">
        <f t="shared" si="15"/>
        <v>0.60384605618445253</v>
      </c>
      <c r="E68" s="150">
        <v>27.25894477799643</v>
      </c>
      <c r="F68" s="140">
        <f t="shared" si="16"/>
        <v>0.42061501940698154</v>
      </c>
      <c r="H68" s="150">
        <f t="shared" si="17"/>
        <v>-8.5936962311807612</v>
      </c>
      <c r="I68" s="140">
        <f t="shared" si="18"/>
        <v>-23.969492872173724</v>
      </c>
      <c r="K68" s="150">
        <f t="shared" si="19"/>
        <v>3.2810217001333406</v>
      </c>
      <c r="L68" s="140">
        <f t="shared" si="20"/>
        <v>9.1514086766815836</v>
      </c>
      <c r="N68" s="150">
        <f t="shared" si="21"/>
        <v>-11.895752543717517</v>
      </c>
      <c r="O68" s="140">
        <f t="shared" si="22"/>
        <v>-33.179571180467747</v>
      </c>
      <c r="Q68" s="150">
        <v>2.1034612403415212E-2</v>
      </c>
      <c r="R68" s="140">
        <f t="shared" si="23"/>
        <v>5.8669631612441014E-2</v>
      </c>
      <c r="T68" s="150"/>
    </row>
    <row r="69" spans="1:20" x14ac:dyDescent="0.2">
      <c r="A69" s="134" t="str">
        <f t="shared" si="14"/>
        <v>92 Elementary administration and service occupations</v>
      </c>
      <c r="B69" s="150">
        <v>487.63253962385613</v>
      </c>
      <c r="C69" s="140">
        <f t="shared" si="15"/>
        <v>8.2129231663492437</v>
      </c>
      <c r="E69" s="150">
        <v>499.44682814922436</v>
      </c>
      <c r="F69" s="140">
        <f t="shared" si="16"/>
        <v>7.7066386474473862</v>
      </c>
      <c r="H69" s="150">
        <f t="shared" ref="H69" si="24">E69-B69</f>
        <v>11.814288525368227</v>
      </c>
      <c r="I69" s="140">
        <f t="shared" ref="I69" si="25">IF(B69&gt;0,((E69/B69)-1)*100,0)</f>
        <v>2.4227851025859337</v>
      </c>
      <c r="K69" s="150">
        <f t="shared" ref="K69" si="26">(($E$71/$B$71)-1)*B69</f>
        <v>44.625246541460328</v>
      </c>
      <c r="L69" s="140">
        <f t="shared" ref="L69" si="27">IF(B69&gt;0,K69/B69*100,0)</f>
        <v>9.1514086766815836</v>
      </c>
      <c r="N69" s="150">
        <f t="shared" ref="N69" si="28">H69-(K69+Q69)</f>
        <v>-60.234253812494018</v>
      </c>
      <c r="O69" s="140">
        <f t="shared" ref="O69" si="29">IF(B69&gt;0,N69/B69*100,0)</f>
        <v>-12.352386052611822</v>
      </c>
      <c r="Q69" s="150">
        <v>27.42329579640192</v>
      </c>
      <c r="R69" s="140">
        <f t="shared" ref="R69" si="30">IF(B69&gt;0,Q69/B69*100,0)</f>
        <v>5.6237624785161708</v>
      </c>
      <c r="T69" s="150"/>
    </row>
    <row r="70" spans="1:20" x14ac:dyDescent="0.2">
      <c r="A70" s="134"/>
      <c r="B70" s="150"/>
      <c r="C70" s="140"/>
      <c r="E70" s="150"/>
      <c r="F70" s="140"/>
      <c r="H70" s="150"/>
      <c r="I70" s="140"/>
      <c r="K70" s="150"/>
      <c r="L70" s="140"/>
      <c r="N70" s="150"/>
      <c r="O70" s="140"/>
      <c r="Q70" s="150"/>
      <c r="R70" s="140"/>
      <c r="T70" s="150"/>
    </row>
    <row r="71" spans="1:20" x14ac:dyDescent="0.2">
      <c r="A71" s="148" t="str">
        <f>name!$D$3</f>
        <v>All occupations</v>
      </c>
      <c r="B71" s="151">
        <f>SUM(B44:B69)</f>
        <v>5937.38100000533</v>
      </c>
      <c r="C71" s="146">
        <f>B71/B$71*100</f>
        <v>100</v>
      </c>
      <c r="D71" s="144"/>
      <c r="E71" s="151">
        <f>SUM(E44:E69)</f>
        <v>6480.7350000074612</v>
      </c>
      <c r="F71" s="146">
        <f>E71/E$71*100</f>
        <v>100</v>
      </c>
      <c r="G71" s="144"/>
      <c r="H71" s="151">
        <f t="shared" si="17"/>
        <v>543.35400000213122</v>
      </c>
      <c r="I71" s="146">
        <f t="shared" si="18"/>
        <v>9.1514086766815836</v>
      </c>
      <c r="J71" s="144"/>
      <c r="K71" s="144"/>
      <c r="L71" s="144"/>
      <c r="M71" s="144"/>
      <c r="N71" s="144"/>
      <c r="O71" s="144"/>
      <c r="P71" s="144"/>
      <c r="Q71" s="144"/>
      <c r="R71" s="144"/>
    </row>
    <row r="78" spans="1:20" x14ac:dyDescent="0.2">
      <c r="T78" s="150"/>
    </row>
    <row r="79" spans="1:20" x14ac:dyDescent="0.2">
      <c r="T79" s="150"/>
    </row>
    <row r="80" spans="1:20" x14ac:dyDescent="0.2">
      <c r="T80" s="150"/>
    </row>
    <row r="81" spans="20:20" x14ac:dyDescent="0.2">
      <c r="T81" s="150"/>
    </row>
    <row r="82" spans="20:20" x14ac:dyDescent="0.2">
      <c r="T82" s="150"/>
    </row>
    <row r="83" spans="20:20" x14ac:dyDescent="0.2">
      <c r="T83" s="150"/>
    </row>
    <row r="84" spans="20:20" x14ac:dyDescent="0.2">
      <c r="T84" s="150"/>
    </row>
    <row r="85" spans="20:20" x14ac:dyDescent="0.2">
      <c r="T85" s="150"/>
    </row>
    <row r="86" spans="20:20" x14ac:dyDescent="0.2">
      <c r="T86" s="150"/>
    </row>
    <row r="87" spans="20:20" x14ac:dyDescent="0.2">
      <c r="T87" s="150"/>
    </row>
    <row r="88" spans="20:20" x14ac:dyDescent="0.2">
      <c r="T88" s="150"/>
    </row>
    <row r="89" spans="20:20" x14ac:dyDescent="0.2">
      <c r="T89" s="150"/>
    </row>
    <row r="90" spans="20:20" x14ac:dyDescent="0.2">
      <c r="T90" s="150"/>
    </row>
    <row r="91" spans="20:20" x14ac:dyDescent="0.2">
      <c r="T91" s="150"/>
    </row>
    <row r="92" spans="20:20" x14ac:dyDescent="0.2">
      <c r="T92" s="150"/>
    </row>
    <row r="93" spans="20:20" x14ac:dyDescent="0.2">
      <c r="T93" s="150"/>
    </row>
    <row r="94" spans="20:20" x14ac:dyDescent="0.2">
      <c r="T94" s="150"/>
    </row>
    <row r="95" spans="20:20" x14ac:dyDescent="0.2">
      <c r="T95" s="150"/>
    </row>
    <row r="96" spans="20:20" x14ac:dyDescent="0.2">
      <c r="T96" s="150"/>
    </row>
    <row r="97" spans="20:20" x14ac:dyDescent="0.2">
      <c r="T97" s="150"/>
    </row>
    <row r="98" spans="20:20" x14ac:dyDescent="0.2">
      <c r="T98" s="150"/>
    </row>
    <row r="99" spans="20:20" x14ac:dyDescent="0.2">
      <c r="T99" s="150"/>
    </row>
    <row r="100" spans="20:20" x14ac:dyDescent="0.2">
      <c r="T100" s="150"/>
    </row>
    <row r="101" spans="20:20" x14ac:dyDescent="0.2">
      <c r="T101" s="150"/>
    </row>
    <row r="102" spans="20:20" x14ac:dyDescent="0.2">
      <c r="T102" s="150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2" manualBreakCount="2">
    <brk id="71" max="16383" man="1"/>
    <brk id="144" max="16383" man="1"/>
  </rowBreaks>
  <colBreaks count="1" manualBreakCount="1">
    <brk id="1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7109375" customWidth="1"/>
    <col min="9" max="9" width="47" customWidth="1"/>
    <col min="10" max="14" width="11.7109375" customWidth="1"/>
    <col min="15" max="15" width="7.7109375" customWidth="1"/>
    <col min="16" max="16" width="53.5703125" customWidth="1"/>
    <col min="17" max="21" width="11.7109375" customWidth="1"/>
    <col min="22" max="22" width="11.85546875" customWidth="1"/>
    <col min="23" max="23" width="5.42578125" customWidth="1"/>
    <col min="24" max="24" width="32.28515625" customWidth="1"/>
    <col min="25" max="29" width="11.7109375" customWidth="1"/>
    <col min="30" max="30" width="11.85546875" customWidth="1"/>
  </cols>
  <sheetData>
    <row r="1" spans="1:30" ht="21" customHeight="1" x14ac:dyDescent="0.2">
      <c r="A1" s="378" t="str">
        <f>CONCATENATE("Replacement Demand Table 1  Replacement Demand by Occupation and Qualification, ",$B$6,"-",$C$6,", ",Info!B5)</f>
        <v>Replacement Demand Table 1  Replacement Demand by Occupation and Qualification, 2020-2035, London</v>
      </c>
      <c r="B1" s="378"/>
      <c r="C1" s="378"/>
      <c r="D1" s="378"/>
      <c r="E1" s="378"/>
      <c r="F1" s="378"/>
      <c r="G1" s="378"/>
      <c r="I1" s="378" t="str">
        <f>CONCATENATE("Replacement Demand Table 1.1  Replacement Demand by Occupation Group and Qualification, ",$B$6,"-",$C$6,", ",Info!B5)</f>
        <v>Replacement Demand Table 1.1  Replacement Demand by Occupation Group and Qualification, 2020-2035, London</v>
      </c>
      <c r="J1" s="378"/>
      <c r="K1" s="378"/>
      <c r="L1" s="378"/>
      <c r="M1" s="378"/>
      <c r="N1" s="378"/>
      <c r="P1" s="378" t="str">
        <f>CONCATENATE("Replacement Demand Table 1.2  Replacement Demand by Occupation and Gender, ",$B$6,"-",$C$6,", ",Info!B5)</f>
        <v>Replacement Demand Table 1.2  Replacement Demand by Occupation and Gender, 2020-2035, London</v>
      </c>
      <c r="Q1" s="378"/>
      <c r="R1" s="378"/>
      <c r="S1" s="378"/>
      <c r="T1" s="378"/>
      <c r="U1" s="378"/>
      <c r="V1" s="378"/>
      <c r="W1" s="89"/>
      <c r="X1" s="378" t="str">
        <f>CONCATENATE("Replacement Demand Table 1.3  Replacement Demand by Industry, ",$B$6,"-",$C$6,", ",Info!B5)</f>
        <v>Replacement Demand Table 1.3  Replacement Demand by Industry, 2020-2035, London</v>
      </c>
      <c r="Y1" s="378"/>
      <c r="Z1" s="378"/>
      <c r="AA1" s="378"/>
      <c r="AB1" s="378"/>
      <c r="AC1" s="378"/>
      <c r="AD1" s="378"/>
    </row>
    <row r="2" spans="1:30" ht="14.25" customHeight="1" x14ac:dyDescent="0.2">
      <c r="A2" s="378"/>
      <c r="B2" s="378"/>
      <c r="C2" s="378"/>
      <c r="D2" s="378"/>
      <c r="E2" s="378"/>
      <c r="F2" s="378"/>
      <c r="G2" s="378"/>
      <c r="I2" s="378"/>
      <c r="J2" s="378"/>
      <c r="K2" s="378"/>
      <c r="L2" s="378"/>
      <c r="M2" s="378"/>
      <c r="N2" s="378"/>
      <c r="P2" s="378"/>
      <c r="Q2" s="378"/>
      <c r="R2" s="378"/>
      <c r="S2" s="378"/>
      <c r="T2" s="378"/>
      <c r="U2" s="378"/>
      <c r="V2" s="378"/>
      <c r="X2" s="378"/>
      <c r="Y2" s="378"/>
      <c r="Z2" s="378"/>
      <c r="AA2" s="378"/>
      <c r="AB2" s="378"/>
      <c r="AC2" s="378"/>
      <c r="AD2" s="378"/>
    </row>
    <row r="3" spans="1:30" ht="15.75" x14ac:dyDescent="0.25">
      <c r="A3" s="1" t="s">
        <v>540</v>
      </c>
      <c r="B3" s="18"/>
      <c r="C3" s="18"/>
      <c r="D3" s="18"/>
      <c r="E3" s="18"/>
      <c r="F3" s="18"/>
      <c r="G3" s="18"/>
      <c r="I3" s="1" t="s">
        <v>541</v>
      </c>
      <c r="P3" s="181" t="s">
        <v>537</v>
      </c>
      <c r="S3" s="89"/>
      <c r="T3" s="89"/>
      <c r="U3" s="89"/>
      <c r="V3" s="89"/>
      <c r="W3" s="89"/>
      <c r="X3" s="1" t="s">
        <v>533</v>
      </c>
    </row>
    <row r="4" spans="1:30" ht="12.75" customHeight="1" x14ac:dyDescent="0.25">
      <c r="A4" s="18"/>
      <c r="B4" s="18"/>
      <c r="C4" s="18"/>
      <c r="D4" s="18"/>
      <c r="E4" s="18"/>
      <c r="F4" s="18"/>
      <c r="G4" s="18"/>
      <c r="I4" s="1"/>
      <c r="P4" s="1"/>
      <c r="S4" s="89"/>
      <c r="T4" s="89"/>
      <c r="U4" s="89"/>
      <c r="V4" s="89"/>
      <c r="W4" s="89"/>
    </row>
    <row r="5" spans="1:30" s="70" customFormat="1" x14ac:dyDescent="0.2">
      <c r="B5" s="15"/>
      <c r="F5" s="15" t="s">
        <v>35</v>
      </c>
      <c r="N5" s="15" t="s">
        <v>35</v>
      </c>
      <c r="Q5" s="15"/>
      <c r="S5" s="340"/>
      <c r="T5" s="340"/>
      <c r="U5" s="83" t="s">
        <v>35</v>
      </c>
      <c r="V5" s="340"/>
      <c r="W5" s="340"/>
      <c r="Y5" s="15"/>
      <c r="AA5" s="340"/>
      <c r="AB5" s="340"/>
      <c r="AC5" s="83" t="s">
        <v>35</v>
      </c>
      <c r="AD5" s="340"/>
    </row>
    <row r="6" spans="1:30" ht="24.95" customHeight="1" x14ac:dyDescent="0.2">
      <c r="A6" s="201" t="str">
        <f>CONCATENATE(name!F3," (Constrained)")</f>
        <v>All qualifications (Constrained)</v>
      </c>
      <c r="B6" s="74">
        <v>2020</v>
      </c>
      <c r="C6" s="74">
        <v>2035</v>
      </c>
      <c r="D6" s="87" t="s">
        <v>40</v>
      </c>
      <c r="E6" s="87" t="s">
        <v>139</v>
      </c>
      <c r="F6" s="87" t="s">
        <v>39</v>
      </c>
      <c r="G6" s="87" t="s">
        <v>138</v>
      </c>
      <c r="I6" s="202"/>
      <c r="J6" s="74">
        <f>B6</f>
        <v>2020</v>
      </c>
      <c r="K6" s="74">
        <f>C6</f>
        <v>2035</v>
      </c>
      <c r="L6" s="87" t="str">
        <f>D6</f>
        <v>Net Change</v>
      </c>
      <c r="M6" s="87" t="str">
        <f>E6</f>
        <v>Replacement Demand level</v>
      </c>
      <c r="N6" s="87" t="str">
        <f>F6</f>
        <v>Total Requirement</v>
      </c>
      <c r="P6" s="201" t="s">
        <v>98</v>
      </c>
      <c r="Q6" s="74">
        <f>B6</f>
        <v>2020</v>
      </c>
      <c r="R6" s="74">
        <f>C6</f>
        <v>2035</v>
      </c>
      <c r="S6" s="341" t="str">
        <f t="shared" ref="S6:V6" si="0">D6</f>
        <v>Net Change</v>
      </c>
      <c r="T6" s="341" t="str">
        <f t="shared" si="0"/>
        <v>Replacement Demand level</v>
      </c>
      <c r="U6" s="341" t="str">
        <f t="shared" si="0"/>
        <v>Total Requirement</v>
      </c>
      <c r="V6" s="341" t="str">
        <f t="shared" si="0"/>
        <v>Replacement Demand rate</v>
      </c>
      <c r="W6" s="345"/>
      <c r="X6" s="201"/>
      <c r="Y6" s="74">
        <f>J6</f>
        <v>2020</v>
      </c>
      <c r="Z6" s="74">
        <f>K6</f>
        <v>2035</v>
      </c>
      <c r="AA6" s="341" t="str">
        <f t="shared" ref="AA6" si="1">L6</f>
        <v>Net Change</v>
      </c>
      <c r="AB6" s="341" t="str">
        <f t="shared" ref="AB6" si="2">M6</f>
        <v>Replacement Demand level</v>
      </c>
      <c r="AC6" s="341" t="str">
        <f t="shared" ref="AC6" si="3">N6</f>
        <v>Total Requirement</v>
      </c>
      <c r="AD6" s="341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4">SUM(B36,B65,B94,B123,B152,B181,B210,B239,B268)</f>
        <v>526.87103828580337</v>
      </c>
      <c r="C7" s="11">
        <f t="shared" si="4"/>
        <v>543.51331220374709</v>
      </c>
      <c r="D7" s="11">
        <f t="shared" si="4"/>
        <v>16.642273917943722</v>
      </c>
      <c r="E7" s="11">
        <f t="shared" si="4"/>
        <v>268.66631386344022</v>
      </c>
      <c r="F7" s="11">
        <f t="shared" si="4"/>
        <v>285.30858778138395</v>
      </c>
      <c r="G7" s="200">
        <f>IF(B7&gt;0,(1+(E7/B7))^(1/($C$6-$B$6))-1,0)</f>
        <v>2.7851600821211075E-2</v>
      </c>
      <c r="H7" s="11"/>
      <c r="I7" s="233" t="str">
        <f>name!F3</f>
        <v>All qualifications</v>
      </c>
      <c r="J7" s="35"/>
      <c r="K7" s="35"/>
      <c r="L7" s="35"/>
      <c r="M7" s="35"/>
      <c r="N7" s="35"/>
      <c r="O7" s="11"/>
      <c r="P7" s="10" t="str">
        <f>name!D4</f>
        <v>11 Corporate managers and directors</v>
      </c>
      <c r="Q7" s="11">
        <v>333.65978022366335</v>
      </c>
      <c r="R7" s="11">
        <v>322.50349407045547</v>
      </c>
      <c r="S7" s="342">
        <f>R7-Q7</f>
        <v>-11.156286153207873</v>
      </c>
      <c r="T7" s="342">
        <v>149.91666496934022</v>
      </c>
      <c r="U7" s="342">
        <f>SUM(S7:T7)</f>
        <v>138.76037881613235</v>
      </c>
      <c r="V7" s="343">
        <f>IF(Q7&gt;0,(1+(T7/Q7))^(1/($C$6-$B$6))-1,0)</f>
        <v>2.5047723043478021E-2</v>
      </c>
      <c r="W7" s="343"/>
      <c r="X7" s="10" t="str">
        <f>name!A4</f>
        <v>Agriculture, etc</v>
      </c>
      <c r="Y7" s="10">
        <v>1.0350000000023996</v>
      </c>
      <c r="Z7" s="10">
        <v>1.1010000000043316</v>
      </c>
      <c r="AA7" s="342">
        <f>Z7-Y7</f>
        <v>6.6000000001932069E-2</v>
      </c>
      <c r="AB7" s="10">
        <v>0.49955437200529446</v>
      </c>
      <c r="AC7" s="342">
        <f>SUM(AA7:AB7)</f>
        <v>0.56555437200722647</v>
      </c>
      <c r="AD7" s="343">
        <f>IF(Y7&gt;0,(1+(AB7/Y7))^(1/($C$6-$B$6))-1,0)</f>
        <v>2.6603629626984038E-2</v>
      </c>
    </row>
    <row r="8" spans="1:30" x14ac:dyDescent="0.2">
      <c r="A8" s="10" t="str">
        <f>name!D5</f>
        <v>12 Other managers and proprietors</v>
      </c>
      <c r="B8" s="11">
        <f t="shared" si="4"/>
        <v>198.20219409915322</v>
      </c>
      <c r="C8" s="11">
        <f t="shared" si="4"/>
        <v>281.91344778289761</v>
      </c>
      <c r="D8" s="11">
        <f t="shared" si="4"/>
        <v>83.711253683744346</v>
      </c>
      <c r="E8" s="11">
        <f t="shared" si="4"/>
        <v>145.00819083321394</v>
      </c>
      <c r="F8" s="11">
        <f t="shared" si="4"/>
        <v>228.71944451695828</v>
      </c>
      <c r="G8" s="200">
        <f>IF(B8&gt;0,(1+(E8/B8))^(1/($C$6-$B$6))-1,0)</f>
        <v>3.7281894604244581E-2</v>
      </c>
      <c r="H8" s="11"/>
      <c r="I8" s="10" t="str">
        <f>name!E4</f>
        <v>Managers, directors and senior officials</v>
      </c>
      <c r="J8" s="11">
        <f t="array" ref="J8:J16">MMULT(aggregation!$B$38:$AA$46,B7:B32)</f>
        <v>725.07323238495655</v>
      </c>
      <c r="K8" s="11">
        <f t="array" ref="K8:K16">MMULT(aggregation!$B$38:$AA$46,C7:C32)</f>
        <v>825.4267599866447</v>
      </c>
      <c r="L8" s="11">
        <f t="array" ref="L8:L16">MMULT(aggregation!$B$38:$AA$46,D7:D32)</f>
        <v>100.35352760168807</v>
      </c>
      <c r="M8" s="11">
        <f t="array" ref="M8:M16">MMULT(aggregation!$B$38:$AA$46,E7:E32)</f>
        <v>413.67450469665414</v>
      </c>
      <c r="N8" s="11">
        <f t="array" ref="N8:N16">MMULT(aggregation!$B$38:$AA$46,F7:F32)</f>
        <v>514.02803229834217</v>
      </c>
      <c r="O8" s="11"/>
      <c r="P8" s="10" t="str">
        <f>name!D5</f>
        <v>12 Other managers and proprietors</v>
      </c>
      <c r="Q8" s="11">
        <v>122.29071568774309</v>
      </c>
      <c r="R8" s="11">
        <v>176.2733630917875</v>
      </c>
      <c r="S8" s="342">
        <f t="shared" ref="S8:S31" si="5">R8-Q8</f>
        <v>53.982647404044414</v>
      </c>
      <c r="T8" s="342">
        <v>83.374123602424831</v>
      </c>
      <c r="U8" s="342">
        <f t="shared" ref="U8:U31" si="6">SUM(S8:T8)</f>
        <v>137.35677100646924</v>
      </c>
      <c r="V8" s="343">
        <f t="shared" ref="V8:V33" si="7">IF(Q8&gt;0,(1+(T8/Q8))^(1/($C$6-$B$6))-1,0)</f>
        <v>3.5263980996719901E-2</v>
      </c>
      <c r="W8" s="343"/>
      <c r="X8" s="10" t="str">
        <f>name!A5</f>
        <v>Coal, oil &amp; gas; Mining &amp; related</v>
      </c>
      <c r="Y8" s="10">
        <v>2.7030000000111776</v>
      </c>
      <c r="Z8" s="10">
        <v>1.6440000000162167</v>
      </c>
      <c r="AA8" s="342">
        <f t="shared" ref="AA8:AA71" si="8">Z8-Y8</f>
        <v>-1.0589999999949609</v>
      </c>
      <c r="AB8" s="10">
        <v>0.89512831854912656</v>
      </c>
      <c r="AC8" s="342">
        <f t="shared" ref="AC8:AC71" si="9">SUM(AA8:AB8)</f>
        <v>-0.16387168144583431</v>
      </c>
      <c r="AD8" s="343">
        <f t="shared" ref="AD8:AD71" si="10">IF(Y8&gt;0,(1+(AB8/Y8))^(1/($C$6-$B$6))-1,0)</f>
        <v>1.9253097892321103E-2</v>
      </c>
    </row>
    <row r="9" spans="1:30" x14ac:dyDescent="0.2">
      <c r="A9" s="10" t="str">
        <f>name!D6</f>
        <v>21 Science, research, engineering and technology professionals</v>
      </c>
      <c r="B9" s="11">
        <f t="shared" si="4"/>
        <v>423.83885764393818</v>
      </c>
      <c r="C9" s="11">
        <f t="shared" si="4"/>
        <v>511.56986191940302</v>
      </c>
      <c r="D9" s="11">
        <f t="shared" si="4"/>
        <v>87.731004275464954</v>
      </c>
      <c r="E9" s="11">
        <f t="shared" si="4"/>
        <v>185.81458921263385</v>
      </c>
      <c r="F9" s="11">
        <f t="shared" si="4"/>
        <v>273.54559348809886</v>
      </c>
      <c r="G9" s="200">
        <f t="shared" ref="G9:G33" si="11">IF(B9&gt;0,(1+(E9/B9))^(1/($C$6-$B$6))-1,0)</f>
        <v>2.4531897627850352E-2</v>
      </c>
      <c r="H9" s="11"/>
      <c r="I9" s="10" t="str">
        <f>name!E5</f>
        <v>Professional occupations</v>
      </c>
      <c r="J9" s="11">
        <v>1814.2132888802103</v>
      </c>
      <c r="K9" s="11">
        <v>2142.3646973245991</v>
      </c>
      <c r="L9" s="11">
        <v>328.15140844438872</v>
      </c>
      <c r="M9" s="11">
        <v>952.02165729104331</v>
      </c>
      <c r="N9" s="11">
        <v>1280.1730657354324</v>
      </c>
      <c r="O9" s="11"/>
      <c r="P9" s="10" t="str">
        <f>name!D6</f>
        <v>21 Science, research, engineering and technology professionals</v>
      </c>
      <c r="Q9" s="11">
        <v>298.12697471901004</v>
      </c>
      <c r="R9" s="11">
        <v>340.13344152877369</v>
      </c>
      <c r="S9" s="342">
        <f t="shared" si="5"/>
        <v>42.006466809763651</v>
      </c>
      <c r="T9" s="342">
        <v>106.83000130797932</v>
      </c>
      <c r="U9" s="342">
        <f t="shared" si="6"/>
        <v>148.83646811774298</v>
      </c>
      <c r="V9" s="343">
        <f t="shared" si="7"/>
        <v>2.0627284357022546E-2</v>
      </c>
      <c r="W9" s="343"/>
      <c r="X9" s="10" t="str">
        <f>name!A6</f>
        <v>Food products</v>
      </c>
      <c r="Y9" s="10">
        <v>38.891999999378996</v>
      </c>
      <c r="Z9" s="10">
        <v>38.766999999331112</v>
      </c>
      <c r="AA9" s="342">
        <f t="shared" si="8"/>
        <v>-0.12500000004788347</v>
      </c>
      <c r="AB9" s="10">
        <v>18.160423432784576</v>
      </c>
      <c r="AC9" s="342">
        <f t="shared" si="9"/>
        <v>18.035423432736692</v>
      </c>
      <c r="AD9" s="343">
        <f t="shared" si="10"/>
        <v>2.5874546977101565E-2</v>
      </c>
    </row>
    <row r="10" spans="1:30" x14ac:dyDescent="0.2">
      <c r="A10" s="10" t="str">
        <f>name!D7</f>
        <v>22 Health professionals</v>
      </c>
      <c r="B10" s="11">
        <f t="shared" si="4"/>
        <v>289.86377178651514</v>
      </c>
      <c r="C10" s="11">
        <f t="shared" si="4"/>
        <v>314.63253825255475</v>
      </c>
      <c r="D10" s="11">
        <f t="shared" si="4"/>
        <v>24.768766466039615</v>
      </c>
      <c r="E10" s="11">
        <f t="shared" si="4"/>
        <v>161.88074780209197</v>
      </c>
      <c r="F10" s="11">
        <f t="shared" si="4"/>
        <v>186.64951426813161</v>
      </c>
      <c r="G10" s="200">
        <f t="shared" si="11"/>
        <v>3.0022227922043232E-2</v>
      </c>
      <c r="H10" s="11"/>
      <c r="I10" s="10" t="str">
        <f>name!E6</f>
        <v>Associate professional occupations</v>
      </c>
      <c r="J10" s="11">
        <v>1085.4779270290028</v>
      </c>
      <c r="K10" s="11">
        <v>1150.8686915396665</v>
      </c>
      <c r="L10" s="11">
        <v>65.390764510664056</v>
      </c>
      <c r="M10" s="11">
        <v>511.20917778603632</v>
      </c>
      <c r="N10" s="11">
        <v>576.59994229670031</v>
      </c>
      <c r="O10" s="11"/>
      <c r="P10" s="10" t="str">
        <f>name!D7</f>
        <v>22 Health professionals</v>
      </c>
      <c r="Q10" s="11">
        <v>80.940671499860514</v>
      </c>
      <c r="R10" s="11">
        <v>88.354003956826389</v>
      </c>
      <c r="S10" s="342">
        <f t="shared" si="5"/>
        <v>7.4133324569658754</v>
      </c>
      <c r="T10" s="342">
        <v>32.361394280594048</v>
      </c>
      <c r="U10" s="342">
        <f t="shared" si="6"/>
        <v>39.774726737559924</v>
      </c>
      <c r="V10" s="343">
        <f t="shared" si="7"/>
        <v>2.2676009960482801E-2</v>
      </c>
      <c r="W10" s="343"/>
      <c r="X10" s="10" t="str">
        <f>name!A7</f>
        <v>Beverages and tobacco</v>
      </c>
      <c r="Y10" s="10">
        <v>5.7329999999361343</v>
      </c>
      <c r="Z10" s="10">
        <v>5.6219999999124424</v>
      </c>
      <c r="AA10" s="342">
        <f t="shared" si="8"/>
        <v>-0.11100000002369192</v>
      </c>
      <c r="AB10" s="10">
        <v>2.4992475742341345</v>
      </c>
      <c r="AC10" s="342">
        <f t="shared" si="9"/>
        <v>2.3882475742104425</v>
      </c>
      <c r="AD10" s="343">
        <f t="shared" si="10"/>
        <v>2.4414614100640941E-2</v>
      </c>
    </row>
    <row r="11" spans="1:30" x14ac:dyDescent="0.2">
      <c r="A11" s="10" t="str">
        <f>name!D8</f>
        <v>23 Teaching and other educational professionals</v>
      </c>
      <c r="B11" s="11">
        <f t="shared" si="4"/>
        <v>370.65753423648937</v>
      </c>
      <c r="C11" s="11">
        <f t="shared" si="4"/>
        <v>405.31749165504829</v>
      </c>
      <c r="D11" s="11">
        <f t="shared" si="4"/>
        <v>34.659957418558982</v>
      </c>
      <c r="E11" s="11">
        <f t="shared" si="4"/>
        <v>198.32586236624979</v>
      </c>
      <c r="F11" s="11">
        <f t="shared" si="4"/>
        <v>232.9858197848088</v>
      </c>
      <c r="G11" s="200">
        <f t="shared" si="11"/>
        <v>2.8983594644804045E-2</v>
      </c>
      <c r="H11" s="11"/>
      <c r="I11" s="10" t="str">
        <f>name!E7</f>
        <v>Administrative and secretarial occupations</v>
      </c>
      <c r="J11" s="11">
        <v>492.35763075020822</v>
      </c>
      <c r="K11" s="11">
        <v>414.15179836218846</v>
      </c>
      <c r="L11" s="11">
        <v>-78.205832388019616</v>
      </c>
      <c r="M11" s="11">
        <v>230.24306610459652</v>
      </c>
      <c r="N11" s="11">
        <v>152.03723371657691</v>
      </c>
      <c r="O11" s="11"/>
      <c r="P11" s="10" t="str">
        <f>name!D8</f>
        <v>23 Teaching and other educational professionals</v>
      </c>
      <c r="Q11" s="11">
        <v>122.13950125489181</v>
      </c>
      <c r="R11" s="11">
        <v>141.5460582348768</v>
      </c>
      <c r="S11" s="342">
        <f t="shared" si="5"/>
        <v>19.406556979984984</v>
      </c>
      <c r="T11" s="342">
        <v>57.250733653280506</v>
      </c>
      <c r="U11" s="342">
        <f t="shared" si="6"/>
        <v>76.65729063326549</v>
      </c>
      <c r="V11" s="343">
        <f t="shared" si="7"/>
        <v>2.595783025339915E-2</v>
      </c>
      <c r="W11" s="343"/>
      <c r="X11" s="10" t="str">
        <f>name!A8</f>
        <v>Textiles</v>
      </c>
      <c r="Y11" s="10">
        <v>4.5029999999427446</v>
      </c>
      <c r="Z11" s="10">
        <v>3.3859999999857697</v>
      </c>
      <c r="AA11" s="342">
        <f t="shared" si="8"/>
        <v>-1.1169999999569749</v>
      </c>
      <c r="AB11" s="10">
        <v>1.8545447459251878</v>
      </c>
      <c r="AC11" s="342">
        <f t="shared" si="9"/>
        <v>0.73754474596821296</v>
      </c>
      <c r="AD11" s="343">
        <f t="shared" si="10"/>
        <v>2.3259609686536287E-2</v>
      </c>
    </row>
    <row r="12" spans="1:30" x14ac:dyDescent="0.2">
      <c r="A12" s="10" t="str">
        <f>name!D9</f>
        <v>24 Business, media and public service professionals</v>
      </c>
      <c r="B12" s="11">
        <f t="shared" si="4"/>
        <v>729.85312521326762</v>
      </c>
      <c r="C12" s="11">
        <f t="shared" si="4"/>
        <v>910.8448054975928</v>
      </c>
      <c r="D12" s="11">
        <f t="shared" si="4"/>
        <v>180.99168028432518</v>
      </c>
      <c r="E12" s="11">
        <f t="shared" si="4"/>
        <v>406.00045791006767</v>
      </c>
      <c r="F12" s="11">
        <f t="shared" si="4"/>
        <v>586.99213819439296</v>
      </c>
      <c r="G12" s="200">
        <f t="shared" si="11"/>
        <v>2.9925454984681243E-2</v>
      </c>
      <c r="H12" s="11"/>
      <c r="I12" s="10" t="str">
        <f>name!E8</f>
        <v>Skilled trades occupations</v>
      </c>
      <c r="J12" s="11">
        <v>361.80344341909841</v>
      </c>
      <c r="K12" s="11">
        <v>408.56497115717895</v>
      </c>
      <c r="L12" s="11">
        <v>46.761527738080545</v>
      </c>
      <c r="M12" s="11">
        <v>171.57386493680997</v>
      </c>
      <c r="N12" s="11">
        <v>218.3353926748905</v>
      </c>
      <c r="O12" s="11"/>
      <c r="P12" s="10" t="str">
        <f>name!D9</f>
        <v>24 Business, media and public service professionals</v>
      </c>
      <c r="Q12" s="11">
        <v>402.21555271141125</v>
      </c>
      <c r="R12" s="11">
        <v>497.4584241383788</v>
      </c>
      <c r="S12" s="342">
        <f t="shared" si="5"/>
        <v>95.242871426967554</v>
      </c>
      <c r="T12" s="342">
        <v>198.22668961617123</v>
      </c>
      <c r="U12" s="342">
        <f t="shared" si="6"/>
        <v>293.46956104313881</v>
      </c>
      <c r="V12" s="343">
        <f t="shared" si="7"/>
        <v>2.7071847624492662E-2</v>
      </c>
      <c r="W12" s="343"/>
      <c r="X12" s="10" t="str">
        <f>name!A9</f>
        <v>Wearing apparel; Leather, etc</v>
      </c>
      <c r="Y12" s="10">
        <v>6.8729999999198874</v>
      </c>
      <c r="Z12" s="10">
        <v>5.2499999999760449</v>
      </c>
      <c r="AA12" s="342">
        <f t="shared" si="8"/>
        <v>-1.6229999999438425</v>
      </c>
      <c r="AB12" s="10">
        <v>2.9527387008477235</v>
      </c>
      <c r="AC12" s="342">
        <f t="shared" si="9"/>
        <v>1.329738700903881</v>
      </c>
      <c r="AD12" s="343">
        <f t="shared" si="10"/>
        <v>2.411310700322411E-2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4"/>
        <v>105.44228217606673</v>
      </c>
      <c r="C13" s="11">
        <f t="shared" si="4"/>
        <v>103.72464919203006</v>
      </c>
      <c r="D13" s="11">
        <f t="shared" si="4"/>
        <v>-1.7176329840366402</v>
      </c>
      <c r="E13" s="11">
        <f t="shared" si="4"/>
        <v>42.247311577116719</v>
      </c>
      <c r="F13" s="11">
        <f t="shared" si="4"/>
        <v>40.529678593080078</v>
      </c>
      <c r="G13" s="200">
        <f t="shared" si="11"/>
        <v>2.2717466807300912E-2</v>
      </c>
      <c r="H13" s="11"/>
      <c r="I13" s="10" t="str">
        <f>name!E9</f>
        <v>Caring, leisure and other service occupations</v>
      </c>
      <c r="J13" s="11">
        <v>358.39420959597038</v>
      </c>
      <c r="K13" s="11">
        <v>408.44811050129942</v>
      </c>
      <c r="L13" s="11">
        <v>50.053900905328994</v>
      </c>
      <c r="M13" s="11">
        <v>208.79971001300675</v>
      </c>
      <c r="N13" s="11">
        <v>258.85361091833585</v>
      </c>
      <c r="O13" s="11"/>
      <c r="P13" s="10" t="str">
        <f>name!D10</f>
        <v>31 Science, engineering and technology associate professionals</v>
      </c>
      <c r="Q13" s="11">
        <v>68.964557167788442</v>
      </c>
      <c r="R13" s="11">
        <v>59.048593336498342</v>
      </c>
      <c r="S13" s="342">
        <f t="shared" si="5"/>
        <v>-9.9159638312900995</v>
      </c>
      <c r="T13" s="342">
        <v>21.760613362567778</v>
      </c>
      <c r="U13" s="342">
        <f t="shared" si="6"/>
        <v>11.844649531277678</v>
      </c>
      <c r="V13" s="343">
        <f t="shared" si="7"/>
        <v>1.8450962040255758E-2</v>
      </c>
      <c r="W13" s="343"/>
      <c r="X13" s="10" t="str">
        <f>name!A10</f>
        <v xml:space="preserve">Wood and cork </v>
      </c>
      <c r="Y13" s="10">
        <v>4.6339999999164414</v>
      </c>
      <c r="Z13" s="10">
        <v>5.3099999998638037</v>
      </c>
      <c r="AA13" s="342">
        <f t="shared" si="8"/>
        <v>0.67599999994736226</v>
      </c>
      <c r="AB13" s="10">
        <v>2.2541121514929867</v>
      </c>
      <c r="AC13" s="342">
        <f t="shared" si="9"/>
        <v>2.930112151440349</v>
      </c>
      <c r="AD13" s="343">
        <f t="shared" si="10"/>
        <v>2.6777347188317924E-2</v>
      </c>
    </row>
    <row r="14" spans="1:30" x14ac:dyDescent="0.2">
      <c r="A14" s="10" t="str">
        <f>name!D11</f>
        <v>32 Health and social care associate professionals</v>
      </c>
      <c r="B14" s="11">
        <f t="shared" si="4"/>
        <v>109.65810820811352</v>
      </c>
      <c r="C14" s="11">
        <f t="shared" si="4"/>
        <v>113.02119267279478</v>
      </c>
      <c r="D14" s="11">
        <f t="shared" si="4"/>
        <v>3.3630844646812412</v>
      </c>
      <c r="E14" s="11">
        <f t="shared" si="4"/>
        <v>62.342375222123572</v>
      </c>
      <c r="F14" s="11">
        <f t="shared" si="4"/>
        <v>65.705459686804801</v>
      </c>
      <c r="G14" s="200">
        <f t="shared" si="11"/>
        <v>3.0463455602504963E-2</v>
      </c>
      <c r="H14" s="11"/>
      <c r="I14" s="10" t="str">
        <f>name!E10</f>
        <v>Sales and customer service occupations</v>
      </c>
      <c r="J14" s="11">
        <v>362.0244682540864</v>
      </c>
      <c r="K14" s="11">
        <v>361.43165928598228</v>
      </c>
      <c r="L14" s="11">
        <v>-0.59280896810415129</v>
      </c>
      <c r="M14" s="11">
        <v>165.06691001600782</v>
      </c>
      <c r="N14" s="11">
        <v>164.47410104790367</v>
      </c>
      <c r="O14" s="11"/>
      <c r="P14" s="10" t="str">
        <f>name!D11</f>
        <v>32 Health and social care associate professionals</v>
      </c>
      <c r="Q14" s="11">
        <v>30.002280110064834</v>
      </c>
      <c r="R14" s="11">
        <v>27.377706367130934</v>
      </c>
      <c r="S14" s="342">
        <f t="shared" si="5"/>
        <v>-2.6245737429339009</v>
      </c>
      <c r="T14" s="342">
        <v>12.94672887003232</v>
      </c>
      <c r="U14" s="342">
        <f t="shared" si="6"/>
        <v>10.322155127098419</v>
      </c>
      <c r="V14" s="343">
        <f t="shared" si="7"/>
        <v>2.4204294221642275E-2</v>
      </c>
      <c r="W14" s="343"/>
      <c r="X14" s="10" t="str">
        <f>name!A11</f>
        <v>Paper, etc</v>
      </c>
      <c r="Y14" s="10">
        <v>0.30500000000051947</v>
      </c>
      <c r="Z14" s="10">
        <v>0.3660000000030787</v>
      </c>
      <c r="AA14" s="342">
        <f t="shared" si="8"/>
        <v>6.1000000002559229E-2</v>
      </c>
      <c r="AB14" s="10">
        <v>0.15685604486637769</v>
      </c>
      <c r="AC14" s="342">
        <f t="shared" si="9"/>
        <v>0.21785604486893692</v>
      </c>
      <c r="AD14" s="343">
        <f t="shared" si="10"/>
        <v>2.8048931855488179E-2</v>
      </c>
    </row>
    <row r="15" spans="1:30" x14ac:dyDescent="0.2">
      <c r="A15" s="10" t="str">
        <f>name!D12</f>
        <v>33 Protective service occupations</v>
      </c>
      <c r="B15" s="11">
        <f t="shared" si="4"/>
        <v>75.804415725512797</v>
      </c>
      <c r="C15" s="11">
        <f t="shared" si="4"/>
        <v>101.60369334487034</v>
      </c>
      <c r="D15" s="11">
        <f t="shared" si="4"/>
        <v>25.799277619357536</v>
      </c>
      <c r="E15" s="11">
        <f t="shared" si="4"/>
        <v>32.26822999840379</v>
      </c>
      <c r="F15" s="11">
        <f t="shared" si="4"/>
        <v>58.067507617761329</v>
      </c>
      <c r="G15" s="200">
        <f t="shared" si="11"/>
        <v>2.3924854908041304E-2</v>
      </c>
      <c r="H15" s="11"/>
      <c r="I15" s="10" t="str">
        <f>name!E11</f>
        <v>Process, plant and machine operatives</v>
      </c>
      <c r="J15" s="11">
        <v>214.55161905876435</v>
      </c>
      <c r="K15" s="11">
        <v>242.77253892268203</v>
      </c>
      <c r="L15" s="11">
        <v>28.220919863917686</v>
      </c>
      <c r="M15" s="11">
        <v>123.34920584545915</v>
      </c>
      <c r="N15" s="11">
        <v>151.57012570937684</v>
      </c>
      <c r="O15" s="11"/>
      <c r="P15" s="10" t="str">
        <f>name!D12</f>
        <v>33 Protective service occupations</v>
      </c>
      <c r="Q15" s="11">
        <v>55.580806419607413</v>
      </c>
      <c r="R15" s="11">
        <v>66.699556927755125</v>
      </c>
      <c r="S15" s="342">
        <f t="shared" si="5"/>
        <v>11.118750508147713</v>
      </c>
      <c r="T15" s="342">
        <v>18.335595162526136</v>
      </c>
      <c r="U15" s="342">
        <f t="shared" si="6"/>
        <v>29.454345670673849</v>
      </c>
      <c r="V15" s="343">
        <f t="shared" si="7"/>
        <v>1.9188226632349092E-2</v>
      </c>
      <c r="W15" s="343"/>
      <c r="X15" s="10" t="str">
        <f>name!A12</f>
        <v>Printing and recording</v>
      </c>
      <c r="Y15" s="10">
        <v>11.383000000047332</v>
      </c>
      <c r="Z15" s="10">
        <v>8.3960000001050119</v>
      </c>
      <c r="AA15" s="342">
        <f t="shared" si="8"/>
        <v>-2.98699999994232</v>
      </c>
      <c r="AB15" s="10">
        <v>4.5463310329203601</v>
      </c>
      <c r="AC15" s="342">
        <f t="shared" si="9"/>
        <v>1.5593310329780401</v>
      </c>
      <c r="AD15" s="343">
        <f t="shared" si="10"/>
        <v>2.2655566837586738E-2</v>
      </c>
    </row>
    <row r="16" spans="1:30" x14ac:dyDescent="0.2">
      <c r="A16" s="10" t="str">
        <f>name!D13</f>
        <v>34 Culture, media and sports occupations</v>
      </c>
      <c r="B16" s="11">
        <f t="shared" si="4"/>
        <v>244.51539437746482</v>
      </c>
      <c r="C16" s="11">
        <f t="shared" si="4"/>
        <v>278.61027449263679</v>
      </c>
      <c r="D16" s="11">
        <f t="shared" si="4"/>
        <v>34.094880115172074</v>
      </c>
      <c r="E16" s="11">
        <f t="shared" si="4"/>
        <v>121.81049802991046</v>
      </c>
      <c r="F16" s="11">
        <f t="shared" si="4"/>
        <v>155.90537814508252</v>
      </c>
      <c r="G16" s="200">
        <f t="shared" si="11"/>
        <v>2.7316098972272052E-2</v>
      </c>
      <c r="H16" s="11"/>
      <c r="I16" s="10" t="str">
        <f>name!E12</f>
        <v>Elementary occupations</v>
      </c>
      <c r="J16" s="11">
        <v>523.48518063303413</v>
      </c>
      <c r="K16" s="11">
        <v>526.70577292722078</v>
      </c>
      <c r="L16" s="11">
        <v>3.2205922941867033</v>
      </c>
      <c r="M16" s="11">
        <v>265.96636553878017</v>
      </c>
      <c r="N16" s="11">
        <v>269.18695783296687</v>
      </c>
      <c r="O16" s="11"/>
      <c r="P16" s="10" t="str">
        <f>name!D13</f>
        <v>34 Culture, media and sports occupations</v>
      </c>
      <c r="Q16" s="11">
        <v>130.61780057528276</v>
      </c>
      <c r="R16" s="11">
        <v>150.97562132658246</v>
      </c>
      <c r="S16" s="342">
        <f t="shared" si="5"/>
        <v>20.357820751299698</v>
      </c>
      <c r="T16" s="342">
        <v>57.073561371852968</v>
      </c>
      <c r="U16" s="342">
        <f t="shared" si="6"/>
        <v>77.431382123152673</v>
      </c>
      <c r="V16" s="343">
        <f t="shared" si="7"/>
        <v>2.4462646425236656E-2</v>
      </c>
      <c r="W16" s="343"/>
      <c r="X16" s="10" t="str">
        <f>name!A13</f>
        <v>Coke and petroleum; Chemicals, etc</v>
      </c>
      <c r="Y16" s="10">
        <v>2.9199999999887547</v>
      </c>
      <c r="Z16" s="10">
        <v>2.0039999999964526</v>
      </c>
      <c r="AA16" s="342">
        <f t="shared" si="8"/>
        <v>-0.91599999999230208</v>
      </c>
      <c r="AB16" s="10">
        <v>1.0656688717020979</v>
      </c>
      <c r="AC16" s="342">
        <f t="shared" si="9"/>
        <v>0.14966887170979581</v>
      </c>
      <c r="AD16" s="343">
        <f t="shared" si="10"/>
        <v>2.095803378014427E-2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2">SUM(B46,B75,B104,B133,B162,B191,B220,B249,B278)</f>
        <v>550.05772654184477</v>
      </c>
      <c r="C17" s="11">
        <f t="shared" si="12"/>
        <v>553.90888183733466</v>
      </c>
      <c r="D17" s="11">
        <f t="shared" si="12"/>
        <v>3.8511552954898431</v>
      </c>
      <c r="E17" s="11">
        <f t="shared" si="12"/>
        <v>252.54076295848176</v>
      </c>
      <c r="F17" s="11">
        <f t="shared" si="12"/>
        <v>256.39191825397154</v>
      </c>
      <c r="G17" s="200">
        <f t="shared" si="11"/>
        <v>2.5508673565329154E-2</v>
      </c>
      <c r="H17" s="11"/>
      <c r="O17" s="11"/>
      <c r="P17" s="10" t="str">
        <f>name!D14</f>
        <v>35 Business and public service associate professionals</v>
      </c>
      <c r="Q17" s="11">
        <v>293.50924945781031</v>
      </c>
      <c r="R17" s="11">
        <v>281.61475364127654</v>
      </c>
      <c r="S17" s="342">
        <f t="shared" si="5"/>
        <v>-11.894495816533777</v>
      </c>
      <c r="T17" s="342">
        <v>111.60983627670167</v>
      </c>
      <c r="U17" s="342">
        <f t="shared" si="6"/>
        <v>99.715340460167894</v>
      </c>
      <c r="V17" s="343">
        <f t="shared" si="7"/>
        <v>2.1717253961355931E-2</v>
      </c>
      <c r="W17" s="343"/>
      <c r="X17" s="10" t="str">
        <f>name!A14</f>
        <v>Pharmaceuticals</v>
      </c>
      <c r="Y17" s="10">
        <v>2.1760000000096502</v>
      </c>
      <c r="Z17" s="10">
        <v>1.728000000014094</v>
      </c>
      <c r="AA17" s="342">
        <f t="shared" si="8"/>
        <v>-0.44799999999555618</v>
      </c>
      <c r="AB17" s="10">
        <v>0.92716844943069998</v>
      </c>
      <c r="AC17" s="342">
        <f t="shared" si="9"/>
        <v>0.47916844943514381</v>
      </c>
      <c r="AD17" s="343">
        <f t="shared" si="10"/>
        <v>2.3944530857794133E-2</v>
      </c>
    </row>
    <row r="18" spans="1:30" x14ac:dyDescent="0.2">
      <c r="A18" s="10" t="str">
        <f>name!D15</f>
        <v>41 Administrative occupations</v>
      </c>
      <c r="B18" s="11">
        <f t="shared" si="12"/>
        <v>403.63982178925579</v>
      </c>
      <c r="C18" s="11">
        <f t="shared" si="12"/>
        <v>335.62418452466835</v>
      </c>
      <c r="D18" s="11">
        <f t="shared" si="12"/>
        <v>-68.015637264587326</v>
      </c>
      <c r="E18" s="11">
        <f t="shared" si="12"/>
        <v>182.78137512645262</v>
      </c>
      <c r="F18" s="11">
        <f t="shared" si="12"/>
        <v>114.7657378618653</v>
      </c>
      <c r="G18" s="200">
        <f t="shared" si="11"/>
        <v>2.5213643093720428E-2</v>
      </c>
      <c r="H18" s="11"/>
      <c r="I18" s="86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118.68398253897189</v>
      </c>
      <c r="R18" s="11">
        <v>110.2056502923174</v>
      </c>
      <c r="S18" s="342">
        <f t="shared" si="5"/>
        <v>-8.4783322466544888</v>
      </c>
      <c r="T18" s="342">
        <v>41.107247842523435</v>
      </c>
      <c r="U18" s="342">
        <f t="shared" si="6"/>
        <v>32.628915595868946</v>
      </c>
      <c r="V18" s="343">
        <f t="shared" si="7"/>
        <v>2.0024778947365984E-2</v>
      </c>
      <c r="W18" s="343"/>
      <c r="X18" s="10" t="str">
        <f>name!A15</f>
        <v>Rubber and plastic</v>
      </c>
      <c r="Y18" s="10">
        <v>7.2239999999352973</v>
      </c>
      <c r="Z18" s="10">
        <v>6.9019999999515083</v>
      </c>
      <c r="AA18" s="342">
        <f t="shared" si="8"/>
        <v>-0.32199999998378903</v>
      </c>
      <c r="AB18" s="10">
        <v>3.3069068464933307</v>
      </c>
      <c r="AC18" s="342">
        <f t="shared" si="9"/>
        <v>2.9849068465095416</v>
      </c>
      <c r="AD18" s="343">
        <f t="shared" si="10"/>
        <v>2.5445386650054358E-2</v>
      </c>
    </row>
    <row r="19" spans="1:30" x14ac:dyDescent="0.2">
      <c r="A19" s="10" t="str">
        <f>name!D16</f>
        <v>42 Secretarial and related occupations</v>
      </c>
      <c r="B19" s="11">
        <f t="shared" si="12"/>
        <v>88.717808960952411</v>
      </c>
      <c r="C19" s="11">
        <f t="shared" si="12"/>
        <v>78.527613837520121</v>
      </c>
      <c r="D19" s="11">
        <f t="shared" si="12"/>
        <v>-10.190195123432295</v>
      </c>
      <c r="E19" s="11">
        <f t="shared" si="12"/>
        <v>47.461690978143906</v>
      </c>
      <c r="F19" s="11">
        <f t="shared" si="12"/>
        <v>37.271495854711617</v>
      </c>
      <c r="G19" s="200">
        <f t="shared" si="11"/>
        <v>2.8979514088911085E-2</v>
      </c>
      <c r="H19" s="11"/>
      <c r="I19" s="11" t="str">
        <f t="shared" ref="I19:I27" si="13">I8</f>
        <v>Managers, directors and senior officials</v>
      </c>
      <c r="J19" s="11">
        <f t="array" ref="J19:J27">MMULT(aggregation!$B$38:$AA$46,B36:B61)</f>
        <v>19.039531050327057</v>
      </c>
      <c r="K19" s="11">
        <f t="array" ref="K19:K27">MMULT(aggregation!$B$38:$AA$46,C36:C61)</f>
        <v>46.206364034096339</v>
      </c>
      <c r="L19" s="11">
        <f t="array" ref="L19:L27">MMULT(aggregation!$B$38:$AA$46,D36:D61)</f>
        <v>27.166832983769282</v>
      </c>
      <c r="M19" s="11">
        <f t="array" ref="M19:M27">MMULT(aggregation!$B$38:$AA$46,E36:E61)</f>
        <v>18.059353301708313</v>
      </c>
      <c r="N19" s="11">
        <f t="array" ref="N19:N27">MMULT(aggregation!$B$38:$AA$46,F36:F61)</f>
        <v>45.226186285477596</v>
      </c>
      <c r="O19" s="11"/>
      <c r="P19" s="10" t="str">
        <f>name!D16</f>
        <v>42 Secretarial and related occupations</v>
      </c>
      <c r="Q19" s="11">
        <v>4.026794647486736</v>
      </c>
      <c r="R19" s="11">
        <v>5.6265027235204599</v>
      </c>
      <c r="S19" s="342">
        <f t="shared" si="5"/>
        <v>1.5997080760337239</v>
      </c>
      <c r="T19" s="342">
        <v>1.6476333486691246</v>
      </c>
      <c r="U19" s="342">
        <f t="shared" si="6"/>
        <v>3.2473414247028485</v>
      </c>
      <c r="V19" s="343">
        <f t="shared" si="7"/>
        <v>2.3130050216114251E-2</v>
      </c>
      <c r="W19" s="343"/>
      <c r="X19" s="10" t="str">
        <f>name!A16</f>
        <v>Other non-metallic</v>
      </c>
      <c r="Y19" s="10">
        <v>4.9199999999665751</v>
      </c>
      <c r="Z19" s="10">
        <v>4.8439999999723389</v>
      </c>
      <c r="AA19" s="342">
        <f t="shared" si="8"/>
        <v>-7.5999999994236234E-2</v>
      </c>
      <c r="AB19" s="10">
        <v>2.3262533091672983</v>
      </c>
      <c r="AC19" s="342">
        <f t="shared" si="9"/>
        <v>2.2502533091730621</v>
      </c>
      <c r="AD19" s="343">
        <f t="shared" si="10"/>
        <v>2.6147742229494897E-2</v>
      </c>
    </row>
    <row r="20" spans="1:30" x14ac:dyDescent="0.2">
      <c r="A20" s="10" t="str">
        <f>name!D17</f>
        <v>51 Skilled agricultural and related trades</v>
      </c>
      <c r="B20" s="11">
        <f t="shared" si="12"/>
        <v>25.224786294385652</v>
      </c>
      <c r="C20" s="11">
        <f t="shared" si="12"/>
        <v>32.475010866481746</v>
      </c>
      <c r="D20" s="11">
        <f t="shared" si="12"/>
        <v>7.2502245720960898</v>
      </c>
      <c r="E20" s="11">
        <f t="shared" si="12"/>
        <v>18.75687115385314</v>
      </c>
      <c r="F20" s="11">
        <f t="shared" si="12"/>
        <v>26.007095725949227</v>
      </c>
      <c r="G20" s="200">
        <f t="shared" si="11"/>
        <v>3.7758437449098903E-2</v>
      </c>
      <c r="H20" s="11"/>
      <c r="I20" s="11" t="str">
        <f t="shared" si="13"/>
        <v>Professional occupations</v>
      </c>
      <c r="J20" s="11">
        <v>110.62262760164677</v>
      </c>
      <c r="K20" s="11">
        <v>205.3197982010586</v>
      </c>
      <c r="L20" s="11">
        <v>94.69717059941182</v>
      </c>
      <c r="M20" s="11">
        <v>75.90773963655387</v>
      </c>
      <c r="N20" s="11">
        <v>170.60491023596569</v>
      </c>
      <c r="O20" s="11"/>
      <c r="P20" s="10" t="str">
        <f>name!D17</f>
        <v>51 Skilled agricultural and related trades</v>
      </c>
      <c r="Q20" s="11">
        <v>19.621410132068203</v>
      </c>
      <c r="R20" s="11">
        <v>22.633046040719844</v>
      </c>
      <c r="S20" s="342">
        <f t="shared" si="5"/>
        <v>3.0116359086516411</v>
      </c>
      <c r="T20" s="342">
        <v>12.877619679042169</v>
      </c>
      <c r="U20" s="342">
        <f t="shared" si="6"/>
        <v>15.88925558769381</v>
      </c>
      <c r="V20" s="343">
        <f t="shared" si="7"/>
        <v>3.4211458895734292E-2</v>
      </c>
      <c r="W20" s="343"/>
      <c r="X20" s="10" t="str">
        <f>name!A17</f>
        <v>Basic metals</v>
      </c>
      <c r="Y20" s="10">
        <v>0.70599999999146457</v>
      </c>
      <c r="Z20" s="10">
        <v>0.61099999999293331</v>
      </c>
      <c r="AA20" s="342">
        <f t="shared" si="8"/>
        <v>-9.4999999998531259E-2</v>
      </c>
      <c r="AB20" s="10">
        <v>0.28720430376930234</v>
      </c>
      <c r="AC20" s="342">
        <f t="shared" si="9"/>
        <v>0.19220430377077108</v>
      </c>
      <c r="AD20" s="343">
        <f t="shared" si="10"/>
        <v>2.3015607336313471E-2</v>
      </c>
    </row>
    <row r="21" spans="1:30" x14ac:dyDescent="0.2">
      <c r="A21" s="10" t="str">
        <f>name!D18</f>
        <v>52 Skilled metal, electrical and electronic trades</v>
      </c>
      <c r="B21" s="11">
        <f t="shared" si="12"/>
        <v>111.14071561048958</v>
      </c>
      <c r="C21" s="11">
        <f t="shared" si="12"/>
        <v>111.93296932265483</v>
      </c>
      <c r="D21" s="11">
        <f t="shared" si="12"/>
        <v>0.7922537121652562</v>
      </c>
      <c r="E21" s="11">
        <f t="shared" si="12"/>
        <v>45.327988436555081</v>
      </c>
      <c r="F21" s="11">
        <f t="shared" si="12"/>
        <v>46.120242148720337</v>
      </c>
      <c r="G21" s="200">
        <f t="shared" si="11"/>
        <v>2.3065924561119777E-2</v>
      </c>
      <c r="H21" s="11"/>
      <c r="I21" s="11" t="str">
        <f t="shared" si="13"/>
        <v>Associate professional occupations</v>
      </c>
      <c r="J21" s="11">
        <v>20.768355444681248</v>
      </c>
      <c r="K21" s="11">
        <v>46.833212320279181</v>
      </c>
      <c r="L21" s="11">
        <v>26.064856875597933</v>
      </c>
      <c r="M21" s="11">
        <v>16.160517255334998</v>
      </c>
      <c r="N21" s="11">
        <v>42.225374130932927</v>
      </c>
      <c r="O21" s="11"/>
      <c r="P21" s="10" t="str">
        <f>name!D18</f>
        <v>52 Skilled metal, electrical and electronic trades</v>
      </c>
      <c r="Q21" s="11">
        <v>107.20776660792261</v>
      </c>
      <c r="R21" s="11">
        <v>101.91120735305469</v>
      </c>
      <c r="S21" s="342">
        <f t="shared" si="5"/>
        <v>-5.2965592548679155</v>
      </c>
      <c r="T21" s="342">
        <v>40.155241464413763</v>
      </c>
      <c r="U21" s="342">
        <f t="shared" si="6"/>
        <v>34.858682209545847</v>
      </c>
      <c r="V21" s="343">
        <f t="shared" si="7"/>
        <v>2.143518859880067E-2</v>
      </c>
      <c r="W21" s="343"/>
      <c r="X21" s="10" t="str">
        <f>name!A18</f>
        <v>Metal products</v>
      </c>
      <c r="Y21" s="10">
        <v>9.681999999916366</v>
      </c>
      <c r="Z21" s="10">
        <v>8.1889999999710845</v>
      </c>
      <c r="AA21" s="342">
        <f t="shared" si="8"/>
        <v>-1.4929999999452814</v>
      </c>
      <c r="AB21" s="10">
        <v>3.8395939059472655</v>
      </c>
      <c r="AC21" s="342">
        <f t="shared" si="9"/>
        <v>2.346593906001984</v>
      </c>
      <c r="AD21" s="343">
        <f t="shared" si="10"/>
        <v>2.2517746021892826E-2</v>
      </c>
    </row>
    <row r="22" spans="1:30" x14ac:dyDescent="0.2">
      <c r="A22" s="10" t="str">
        <f>name!D19</f>
        <v>53 Skilled construction and building trades</v>
      </c>
      <c r="B22" s="11">
        <f t="shared" si="12"/>
        <v>112.25935423674782</v>
      </c>
      <c r="C22" s="11">
        <f t="shared" si="12"/>
        <v>137.47363645308164</v>
      </c>
      <c r="D22" s="11">
        <f t="shared" si="12"/>
        <v>25.214282216333828</v>
      </c>
      <c r="E22" s="11">
        <f t="shared" si="12"/>
        <v>56.327656659657791</v>
      </c>
      <c r="F22" s="11">
        <f t="shared" si="12"/>
        <v>81.541938875991605</v>
      </c>
      <c r="G22" s="200">
        <f t="shared" si="11"/>
        <v>2.7480144351781588E-2</v>
      </c>
      <c r="H22" s="11"/>
      <c r="I22" s="11" t="str">
        <f t="shared" si="13"/>
        <v>Administrative and secretarial occupations</v>
      </c>
      <c r="J22" s="11">
        <v>4.6605121639564739</v>
      </c>
      <c r="K22" s="11">
        <v>12.270736301288965</v>
      </c>
      <c r="L22" s="11">
        <v>7.6102241373324908</v>
      </c>
      <c r="M22" s="11">
        <v>4.6214141692314534</v>
      </c>
      <c r="N22" s="11">
        <v>12.231638306563944</v>
      </c>
      <c r="O22" s="11"/>
      <c r="P22" s="10" t="str">
        <f>name!D19</f>
        <v>53 Skilled construction and building trades</v>
      </c>
      <c r="Q22" s="11">
        <v>106.85939606771495</v>
      </c>
      <c r="R22" s="11">
        <v>128.84409482063219</v>
      </c>
      <c r="S22" s="342">
        <f t="shared" si="5"/>
        <v>21.98469875291724</v>
      </c>
      <c r="T22" s="342">
        <v>52.295543122800325</v>
      </c>
      <c r="U22" s="342">
        <f t="shared" si="6"/>
        <v>74.280241875717564</v>
      </c>
      <c r="V22" s="343">
        <f t="shared" si="7"/>
        <v>2.6913414471086528E-2</v>
      </c>
      <c r="W22" s="343"/>
      <c r="X22" s="10" t="str">
        <f>name!A19</f>
        <v>Computer, etc</v>
      </c>
      <c r="Y22" s="10">
        <v>8.2319999999891174</v>
      </c>
      <c r="Z22" s="10">
        <v>12.83299999999689</v>
      </c>
      <c r="AA22" s="342">
        <f t="shared" si="8"/>
        <v>4.6010000000077724</v>
      </c>
      <c r="AB22" s="10">
        <v>4.9977968045758665</v>
      </c>
      <c r="AC22" s="342">
        <f t="shared" si="9"/>
        <v>9.5987968045836389</v>
      </c>
      <c r="AD22" s="343">
        <f t="shared" si="10"/>
        <v>3.2135036739130429E-2</v>
      </c>
    </row>
    <row r="23" spans="1:30" x14ac:dyDescent="0.2">
      <c r="A23" s="10" t="str">
        <f>name!D20</f>
        <v>54 Textiles, printing and other skilled trades</v>
      </c>
      <c r="B23" s="11">
        <f t="shared" si="12"/>
        <v>113.17858727747536</v>
      </c>
      <c r="C23" s="11">
        <f t="shared" si="12"/>
        <v>126.68335451496073</v>
      </c>
      <c r="D23" s="11">
        <f t="shared" si="12"/>
        <v>13.504767237485369</v>
      </c>
      <c r="E23" s="11">
        <f t="shared" si="12"/>
        <v>51.161348686743963</v>
      </c>
      <c r="F23" s="11">
        <f t="shared" si="12"/>
        <v>64.666115924229331</v>
      </c>
      <c r="G23" s="200">
        <f t="shared" si="11"/>
        <v>2.5176375610000967E-2</v>
      </c>
      <c r="H23" s="11"/>
      <c r="I23" s="11" t="str">
        <f t="shared" si="13"/>
        <v>Skilled trades occupations</v>
      </c>
      <c r="J23" s="11">
        <v>1.3256026793043869</v>
      </c>
      <c r="K23" s="11">
        <v>3.5902274210779304</v>
      </c>
      <c r="L23" s="11">
        <v>2.2646247417735434</v>
      </c>
      <c r="M23" s="11">
        <v>1.2633627565576626</v>
      </c>
      <c r="N23" s="11">
        <v>3.5279874983312061</v>
      </c>
      <c r="O23" s="11"/>
      <c r="P23" s="10" t="str">
        <f>name!D20</f>
        <v>54 Textiles, printing and other skilled trades</v>
      </c>
      <c r="Q23" s="11">
        <v>76.255766185162841</v>
      </c>
      <c r="R23" s="11">
        <v>87.919138383207695</v>
      </c>
      <c r="S23" s="342">
        <f t="shared" si="5"/>
        <v>11.663372198044854</v>
      </c>
      <c r="T23" s="342">
        <v>28.736586782318483</v>
      </c>
      <c r="U23" s="342">
        <f t="shared" si="6"/>
        <v>40.399958980363337</v>
      </c>
      <c r="V23" s="343">
        <f t="shared" si="7"/>
        <v>2.1548519321566761E-2</v>
      </c>
      <c r="W23" s="343"/>
      <c r="X23" s="10" t="str">
        <f>name!A20</f>
        <v>Electrical equipment</v>
      </c>
      <c r="Y23" s="10">
        <v>2.997999999992639</v>
      </c>
      <c r="Z23" s="10">
        <v>2.9549999999886807</v>
      </c>
      <c r="AA23" s="342">
        <f t="shared" si="8"/>
        <v>-4.3000000003958316E-2</v>
      </c>
      <c r="AB23" s="10">
        <v>1.3973729844686638</v>
      </c>
      <c r="AC23" s="342">
        <f t="shared" si="9"/>
        <v>1.3543729844647054</v>
      </c>
      <c r="AD23" s="343">
        <f t="shared" si="10"/>
        <v>2.5835223423885223E-2</v>
      </c>
    </row>
    <row r="24" spans="1:30" x14ac:dyDescent="0.2">
      <c r="A24" s="10" t="str">
        <f>name!D21</f>
        <v>61 Caring personal service occupations</v>
      </c>
      <c r="B24" s="11">
        <f t="shared" si="12"/>
        <v>252.16320992365192</v>
      </c>
      <c r="C24" s="11">
        <f t="shared" si="12"/>
        <v>288.67846948308727</v>
      </c>
      <c r="D24" s="11">
        <f t="shared" si="12"/>
        <v>36.51525955943535</v>
      </c>
      <c r="E24" s="11">
        <f t="shared" si="12"/>
        <v>150.10370821833649</v>
      </c>
      <c r="F24" s="11">
        <f t="shared" si="12"/>
        <v>186.61896777777193</v>
      </c>
      <c r="G24" s="200">
        <f t="shared" si="11"/>
        <v>3.1625747825463124E-2</v>
      </c>
      <c r="H24" s="11"/>
      <c r="I24" s="11" t="str">
        <f t="shared" si="13"/>
        <v>Caring, leisure and other service occupations</v>
      </c>
      <c r="J24" s="11">
        <v>0.83160517535274003</v>
      </c>
      <c r="K24" s="11">
        <v>2.8060181633408683</v>
      </c>
      <c r="L24" s="11">
        <v>1.974412987988128</v>
      </c>
      <c r="M24" s="11">
        <v>0.96643386748206817</v>
      </c>
      <c r="N24" s="11">
        <v>2.9408468554701961</v>
      </c>
      <c r="O24" s="11"/>
      <c r="P24" s="10" t="str">
        <f>name!D21</f>
        <v>61 Caring personal service occupations</v>
      </c>
      <c r="Q24" s="11">
        <v>62.045678665137338</v>
      </c>
      <c r="R24" s="11">
        <v>85.695145616288457</v>
      </c>
      <c r="S24" s="342">
        <f t="shared" si="5"/>
        <v>23.649466951151119</v>
      </c>
      <c r="T24" s="342">
        <v>36.103934336270157</v>
      </c>
      <c r="U24" s="342">
        <f t="shared" si="6"/>
        <v>59.753401287421276</v>
      </c>
      <c r="V24" s="343">
        <f t="shared" si="7"/>
        <v>3.1047017134247845E-2</v>
      </c>
      <c r="W24" s="343"/>
      <c r="X24" s="10" t="str">
        <f>name!A21</f>
        <v>Machinery n.e.c.</v>
      </c>
      <c r="Y24" s="10">
        <v>2.4929999999850829</v>
      </c>
      <c r="Z24" s="10">
        <v>2.7069999999887262</v>
      </c>
      <c r="AA24" s="342">
        <f t="shared" si="8"/>
        <v>0.21400000000364328</v>
      </c>
      <c r="AB24" s="10">
        <v>1.2131095235829119</v>
      </c>
      <c r="AC24" s="342">
        <f t="shared" si="9"/>
        <v>1.4271095235865552</v>
      </c>
      <c r="AD24" s="343">
        <f t="shared" si="10"/>
        <v>2.6785510291423176E-2</v>
      </c>
    </row>
    <row r="25" spans="1:30" x14ac:dyDescent="0.2">
      <c r="A25" s="10" t="str">
        <f>name!D22</f>
        <v>62 Leisure, travel and related personal service occupations</v>
      </c>
      <c r="B25" s="11">
        <f t="shared" si="12"/>
        <v>99.491973158038405</v>
      </c>
      <c r="C25" s="11">
        <f t="shared" si="12"/>
        <v>113.77979691516462</v>
      </c>
      <c r="D25" s="11">
        <f t="shared" si="12"/>
        <v>14.287823757126208</v>
      </c>
      <c r="E25" s="11">
        <f t="shared" si="12"/>
        <v>55.612097611531183</v>
      </c>
      <c r="F25" s="11">
        <f t="shared" si="12"/>
        <v>69.899921368657388</v>
      </c>
      <c r="G25" s="200">
        <f t="shared" si="11"/>
        <v>3.0043763101347487E-2</v>
      </c>
      <c r="H25" s="11"/>
      <c r="I25" s="11" t="str">
        <f t="shared" si="13"/>
        <v>Sales and customer service occupations</v>
      </c>
      <c r="J25" s="11">
        <v>2.1468851850902486</v>
      </c>
      <c r="K25" s="11">
        <v>5.9812631326984995</v>
      </c>
      <c r="L25" s="11">
        <v>3.8343779476082509</v>
      </c>
      <c r="M25" s="11">
        <v>1.9067762395432473</v>
      </c>
      <c r="N25" s="11">
        <v>5.7411541871514977</v>
      </c>
      <c r="O25" s="11"/>
      <c r="P25" s="10" t="str">
        <f>name!D22</f>
        <v>62 Leisure, travel and related personal service occupations</v>
      </c>
      <c r="Q25" s="11">
        <v>37.611078628047764</v>
      </c>
      <c r="R25" s="11">
        <v>44.288517087656423</v>
      </c>
      <c r="S25" s="342">
        <f t="shared" si="5"/>
        <v>6.6774384596086591</v>
      </c>
      <c r="T25" s="342">
        <v>18.207262653577317</v>
      </c>
      <c r="U25" s="342">
        <f t="shared" si="6"/>
        <v>24.884701113185976</v>
      </c>
      <c r="V25" s="343">
        <f t="shared" si="7"/>
        <v>2.6669694383772979E-2</v>
      </c>
      <c r="W25" s="343"/>
      <c r="X25" s="10" t="str">
        <f>name!A22</f>
        <v>Motor vehicles, etc</v>
      </c>
      <c r="Y25" s="10">
        <v>3.5269999999626425</v>
      </c>
      <c r="Z25" s="10">
        <v>2.1409999999773257</v>
      </c>
      <c r="AA25" s="342">
        <f t="shared" si="8"/>
        <v>-1.3859999999853168</v>
      </c>
      <c r="AB25" s="10">
        <v>1.1409485527184626</v>
      </c>
      <c r="AC25" s="342">
        <f t="shared" si="9"/>
        <v>-0.24505144726685413</v>
      </c>
      <c r="AD25" s="343">
        <f t="shared" si="10"/>
        <v>1.8860456027016692E-2</v>
      </c>
    </row>
    <row r="26" spans="1:30" x14ac:dyDescent="0.2">
      <c r="A26" s="10" t="str">
        <f>name!D23</f>
        <v>63 Community and civil enforcement occupations</v>
      </c>
      <c r="B26" s="11">
        <f t="shared" si="12"/>
        <v>6.7390265142800638</v>
      </c>
      <c r="C26" s="11">
        <f t="shared" si="12"/>
        <v>5.989844103047508</v>
      </c>
      <c r="D26" s="11">
        <f t="shared" si="12"/>
        <v>-0.74918241123255813</v>
      </c>
      <c r="E26" s="11">
        <f t="shared" si="12"/>
        <v>3.0839041831390457</v>
      </c>
      <c r="F26" s="11">
        <f t="shared" si="12"/>
        <v>2.3347217719064877</v>
      </c>
      <c r="G26" s="200">
        <f t="shared" si="11"/>
        <v>2.5438441846310944E-2</v>
      </c>
      <c r="H26" s="11"/>
      <c r="I26" s="11" t="str">
        <f t="shared" si="13"/>
        <v>Process, plant and machine operatives</v>
      </c>
      <c r="J26" s="11">
        <v>1.5099246070958519</v>
      </c>
      <c r="K26" s="11">
        <v>6.2245291218486383</v>
      </c>
      <c r="L26" s="11">
        <v>4.7146045147527866</v>
      </c>
      <c r="M26" s="11">
        <v>2.4406054887058861</v>
      </c>
      <c r="N26" s="11">
        <v>7.1552100034586736</v>
      </c>
      <c r="O26" s="11"/>
      <c r="P26" s="10" t="str">
        <f>name!D23</f>
        <v>63 Community and civil enforcement occupations</v>
      </c>
      <c r="Q26" s="11">
        <v>5.1158248933133859</v>
      </c>
      <c r="R26" s="11">
        <v>3.8232909092169653</v>
      </c>
      <c r="S26" s="342">
        <f t="shared" si="5"/>
        <v>-1.2925339840964205</v>
      </c>
      <c r="T26" s="342">
        <v>1.6367804951991669</v>
      </c>
      <c r="U26" s="342">
        <f t="shared" si="6"/>
        <v>0.3442465111027464</v>
      </c>
      <c r="V26" s="343">
        <f t="shared" si="7"/>
        <v>1.8678280788333446E-2</v>
      </c>
      <c r="W26" s="343"/>
      <c r="X26" s="10" t="str">
        <f>name!A23</f>
        <v>Other transport equipment</v>
      </c>
      <c r="Y26" s="10">
        <v>2.0139999999732834</v>
      </c>
      <c r="Z26" s="10">
        <v>1.2329999999841277</v>
      </c>
      <c r="AA26" s="342">
        <f t="shared" si="8"/>
        <v>-0.7809999999891557</v>
      </c>
      <c r="AB26" s="10">
        <v>0.64665493500804061</v>
      </c>
      <c r="AC26" s="342">
        <f t="shared" si="9"/>
        <v>-0.13434506498111509</v>
      </c>
      <c r="AD26" s="343">
        <f t="shared" si="10"/>
        <v>1.8736670135245159E-2</v>
      </c>
    </row>
    <row r="27" spans="1:30" x14ac:dyDescent="0.2">
      <c r="A27" s="10" t="str">
        <f>name!D24</f>
        <v>71 Sales occupations</v>
      </c>
      <c r="B27" s="11">
        <f t="shared" ref="B27:F33" si="14">SUM(B56,B85,B114,B143,B172,B201,B230,B259,B288)</f>
        <v>277.11013700415413</v>
      </c>
      <c r="C27" s="11">
        <f t="shared" si="14"/>
        <v>243.68551158385696</v>
      </c>
      <c r="D27" s="11">
        <f t="shared" si="14"/>
        <v>-33.42462542029719</v>
      </c>
      <c r="E27" s="11">
        <f t="shared" si="14"/>
        <v>114.9713135468898</v>
      </c>
      <c r="F27" s="11">
        <f t="shared" si="14"/>
        <v>81.546688126592613</v>
      </c>
      <c r="G27" s="200">
        <f t="shared" si="11"/>
        <v>2.3406707093289292E-2</v>
      </c>
      <c r="H27" s="11"/>
      <c r="I27" s="11" t="str">
        <f t="shared" si="13"/>
        <v>Elementary occupations</v>
      </c>
      <c r="J27" s="11">
        <v>0.74567761247679709</v>
      </c>
      <c r="K27" s="11">
        <v>2.0746951642636979</v>
      </c>
      <c r="L27" s="11">
        <v>1.329017551786901</v>
      </c>
      <c r="M27" s="11">
        <v>0.82451306573457939</v>
      </c>
      <c r="N27" s="11">
        <v>2.1535306175214801</v>
      </c>
      <c r="O27" s="11"/>
      <c r="P27" s="10" t="str">
        <f>name!D24</f>
        <v>71 Sales occupations</v>
      </c>
      <c r="Q27" s="11">
        <v>138.50049352932692</v>
      </c>
      <c r="R27" s="11">
        <v>128.92592396575583</v>
      </c>
      <c r="S27" s="342">
        <f t="shared" si="5"/>
        <v>-9.5745695635710888</v>
      </c>
      <c r="T27" s="342">
        <v>46.640052177624248</v>
      </c>
      <c r="U27" s="342">
        <f t="shared" si="6"/>
        <v>37.06548261405316</v>
      </c>
      <c r="V27" s="343">
        <f t="shared" si="7"/>
        <v>1.953783697580036E-2</v>
      </c>
      <c r="W27" s="343"/>
      <c r="X27" s="10" t="str">
        <f>name!A24</f>
        <v>Furniture</v>
      </c>
      <c r="Y27" s="10">
        <v>3.949999999972992</v>
      </c>
      <c r="Z27" s="10">
        <v>2.7759999999801832</v>
      </c>
      <c r="AA27" s="342">
        <f t="shared" si="8"/>
        <v>-1.1739999999928088</v>
      </c>
      <c r="AB27" s="10">
        <v>1.4356408412124522</v>
      </c>
      <c r="AC27" s="342">
        <f t="shared" si="9"/>
        <v>0.26164084121964337</v>
      </c>
      <c r="AD27" s="343">
        <f t="shared" si="10"/>
        <v>2.088311183962599E-2</v>
      </c>
    </row>
    <row r="28" spans="1:30" x14ac:dyDescent="0.2">
      <c r="A28" s="10" t="str">
        <f>name!D25</f>
        <v>72 Customer service occupations</v>
      </c>
      <c r="B28" s="11">
        <f t="shared" si="14"/>
        <v>84.914331249932275</v>
      </c>
      <c r="C28" s="11">
        <f t="shared" si="14"/>
        <v>117.7461477021253</v>
      </c>
      <c r="D28" s="11">
        <f t="shared" si="14"/>
        <v>32.831816452193038</v>
      </c>
      <c r="E28" s="11">
        <f t="shared" si="14"/>
        <v>50.095596469118021</v>
      </c>
      <c r="F28" s="11">
        <f t="shared" si="14"/>
        <v>82.92741292131106</v>
      </c>
      <c r="G28" s="200">
        <f t="shared" si="11"/>
        <v>3.1396485976064481E-2</v>
      </c>
      <c r="H28" s="11"/>
      <c r="O28" s="11"/>
      <c r="P28" s="10" t="str">
        <f>name!D25</f>
        <v>72 Customer service occupations</v>
      </c>
      <c r="Q28" s="11">
        <v>31.270953409660962</v>
      </c>
      <c r="R28" s="11">
        <v>46.796495642558007</v>
      </c>
      <c r="S28" s="342">
        <f t="shared" si="5"/>
        <v>15.525542232897045</v>
      </c>
      <c r="T28" s="342">
        <v>14.645258464142723</v>
      </c>
      <c r="U28" s="342">
        <f t="shared" si="6"/>
        <v>30.170800697039766</v>
      </c>
      <c r="V28" s="343">
        <f t="shared" si="7"/>
        <v>2.5939289459786297E-2</v>
      </c>
      <c r="W28" s="343"/>
      <c r="X28" s="10" t="str">
        <f>name!A25</f>
        <v>Other manufacturing</v>
      </c>
      <c r="Y28" s="10">
        <v>9.7369999999585541</v>
      </c>
      <c r="Z28" s="10">
        <v>6.7179999999971365</v>
      </c>
      <c r="AA28" s="342">
        <f t="shared" si="8"/>
        <v>-3.0189999999614177</v>
      </c>
      <c r="AB28" s="10">
        <v>3.7926043271038954</v>
      </c>
      <c r="AC28" s="342">
        <f t="shared" si="9"/>
        <v>0.77360432714247773</v>
      </c>
      <c r="AD28" s="343">
        <f t="shared" si="10"/>
        <v>2.2172034718915157E-2</v>
      </c>
    </row>
    <row r="29" spans="1:30" x14ac:dyDescent="0.2">
      <c r="A29" s="10" t="str">
        <f>name!D26</f>
        <v>81 Process, plant and machine operatives</v>
      </c>
      <c r="B29" s="11">
        <f t="shared" si="14"/>
        <v>31.105873118691189</v>
      </c>
      <c r="C29" s="11">
        <f t="shared" si="14"/>
        <v>40.998968578618531</v>
      </c>
      <c r="D29" s="11">
        <f t="shared" si="14"/>
        <v>9.8930954599273395</v>
      </c>
      <c r="E29" s="11">
        <f t="shared" si="14"/>
        <v>15.85732839159877</v>
      </c>
      <c r="F29" s="11">
        <f t="shared" si="14"/>
        <v>25.750423851526108</v>
      </c>
      <c r="G29" s="200">
        <f t="shared" si="11"/>
        <v>2.7845139719872014E-2</v>
      </c>
      <c r="H29" s="11"/>
      <c r="I29" s="86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22.838175173839751</v>
      </c>
      <c r="R29" s="11">
        <v>28.3007677417176</v>
      </c>
      <c r="S29" s="342">
        <f t="shared" si="5"/>
        <v>5.4625925678778486</v>
      </c>
      <c r="T29" s="342">
        <v>10.13191680363018</v>
      </c>
      <c r="U29" s="342">
        <f t="shared" si="6"/>
        <v>15.594509371508028</v>
      </c>
      <c r="V29" s="343">
        <f t="shared" si="7"/>
        <v>2.4779865424543912E-2</v>
      </c>
      <c r="W29" s="343"/>
      <c r="X29" s="10" t="str">
        <f>name!A26</f>
        <v>Repair and installation</v>
      </c>
      <c r="Y29" s="10">
        <v>13.398999999936516</v>
      </c>
      <c r="Z29" s="10">
        <v>10.012999999993093</v>
      </c>
      <c r="AA29" s="342">
        <f t="shared" si="8"/>
        <v>-3.3859999999434223</v>
      </c>
      <c r="AB29" s="10">
        <v>4.7301973859031143</v>
      </c>
      <c r="AC29" s="342">
        <f t="shared" si="9"/>
        <v>1.3441973859596921</v>
      </c>
      <c r="AD29" s="343">
        <f t="shared" si="10"/>
        <v>2.0360753943156507E-2</v>
      </c>
    </row>
    <row r="30" spans="1:30" x14ac:dyDescent="0.2">
      <c r="A30" s="10" t="str">
        <f>name!D27</f>
        <v>82 Transport and mobile machine drivers and operatives</v>
      </c>
      <c r="B30" s="11">
        <f t="shared" si="14"/>
        <v>183.44574594007315</v>
      </c>
      <c r="C30" s="11">
        <f t="shared" si="14"/>
        <v>201.7735703440635</v>
      </c>
      <c r="D30" s="11">
        <f t="shared" si="14"/>
        <v>18.327824403990348</v>
      </c>
      <c r="E30" s="11">
        <f t="shared" si="14"/>
        <v>107.49187745386038</v>
      </c>
      <c r="F30" s="11">
        <f t="shared" si="14"/>
        <v>125.81970185785073</v>
      </c>
      <c r="G30" s="200">
        <f t="shared" si="11"/>
        <v>3.1223535045603157E-2</v>
      </c>
      <c r="H30" s="11"/>
      <c r="I30" s="11" t="str">
        <f>I19</f>
        <v>Managers, directors and senior officials</v>
      </c>
      <c r="J30" s="11">
        <f t="array" ref="J30:J38">MMULT(aggregation!$B$38:$AA$46,B65:B90)</f>
        <v>164.33045569004884</v>
      </c>
      <c r="K30" s="11">
        <f t="array" ref="K30:K38">MMULT(aggregation!$B$38:$AA$46,C65:C90)</f>
        <v>361.94305015299847</v>
      </c>
      <c r="L30" s="11">
        <f t="array" ref="L30:L38">MMULT(aggregation!$B$38:$AA$46,D65:D90)</f>
        <v>197.61259446294963</v>
      </c>
      <c r="M30" s="11">
        <f t="array" ref="M30:M38">MMULT(aggregation!$B$38:$AA$46,E65:E90)</f>
        <v>143.47899153072649</v>
      </c>
      <c r="N30" s="11">
        <f t="array" ref="N30:N38">MMULT(aggregation!$B$38:$AA$46,F65:F90)</f>
        <v>341.09158599367612</v>
      </c>
      <c r="O30" s="11"/>
      <c r="P30" s="10" t="str">
        <f>name!D27</f>
        <v>82 Transport and mobile machine drivers and operatives</v>
      </c>
      <c r="Q30" s="11">
        <v>171.91671297046491</v>
      </c>
      <c r="R30" s="11">
        <v>182.82181913043752</v>
      </c>
      <c r="S30" s="342">
        <f t="shared" si="5"/>
        <v>10.905106159972604</v>
      </c>
      <c r="T30" s="342">
        <v>97.237564073131651</v>
      </c>
      <c r="U30" s="342">
        <f t="shared" si="6"/>
        <v>108.14267023310425</v>
      </c>
      <c r="V30" s="343">
        <f t="shared" si="7"/>
        <v>3.0336011239090466E-2</v>
      </c>
      <c r="W30" s="343"/>
      <c r="X30" s="10" t="str">
        <f>name!A27</f>
        <v>Electricity, gas, etc</v>
      </c>
      <c r="Y30" s="10">
        <v>12.42299999999452</v>
      </c>
      <c r="Z30" s="10">
        <v>12.449000000055946</v>
      </c>
      <c r="AA30" s="342">
        <f t="shared" si="8"/>
        <v>2.6000000061426221E-2</v>
      </c>
      <c r="AB30" s="10">
        <v>5.3462573188907232</v>
      </c>
      <c r="AC30" s="342">
        <f t="shared" si="9"/>
        <v>5.3722573189521494</v>
      </c>
      <c r="AD30" s="343">
        <f t="shared" si="10"/>
        <v>2.4148310153657038E-2</v>
      </c>
    </row>
    <row r="31" spans="1:30" x14ac:dyDescent="0.2">
      <c r="A31" s="10" t="str">
        <f>name!D28</f>
        <v>91 Elementary trades and related occupations</v>
      </c>
      <c r="B31" s="11">
        <f t="shared" si="14"/>
        <v>35.852641009177162</v>
      </c>
      <c r="C31" s="11">
        <f t="shared" si="14"/>
        <v>27.258944777996422</v>
      </c>
      <c r="D31" s="11">
        <f t="shared" si="14"/>
        <v>-8.5936962311807417</v>
      </c>
      <c r="E31" s="11">
        <f t="shared" si="14"/>
        <v>11.424926508535295</v>
      </c>
      <c r="F31" s="11">
        <f t="shared" si="14"/>
        <v>2.8312302773545523</v>
      </c>
      <c r="G31" s="200">
        <f t="shared" si="11"/>
        <v>1.8612335908651856E-2</v>
      </c>
      <c r="H31" s="11"/>
      <c r="I31" s="11" t="str">
        <f>I20</f>
        <v>Professional occupations</v>
      </c>
      <c r="J31" s="11">
        <v>682.89862208667228</v>
      </c>
      <c r="K31" s="11">
        <v>1229.1172384292686</v>
      </c>
      <c r="L31" s="11">
        <v>546.21861634259631</v>
      </c>
      <c r="M31" s="11">
        <v>475.13171366870637</v>
      </c>
      <c r="N31" s="11">
        <v>1021.3503300113027</v>
      </c>
      <c r="O31" s="11"/>
      <c r="P31" s="10" t="str">
        <f>name!D28</f>
        <v>91 Elementary trades and related occupations</v>
      </c>
      <c r="Q31" s="11">
        <v>29.578737470920093</v>
      </c>
      <c r="R31" s="11">
        <v>21.438359168958346</v>
      </c>
      <c r="S31" s="342">
        <f t="shared" si="5"/>
        <v>-8.1403783019617464</v>
      </c>
      <c r="T31" s="342">
        <v>7.8280435728063802</v>
      </c>
      <c r="U31" s="342">
        <f t="shared" si="6"/>
        <v>-0.3123347291553662</v>
      </c>
      <c r="V31" s="343">
        <f t="shared" si="7"/>
        <v>1.5776232861669293E-2</v>
      </c>
      <c r="W31" s="343"/>
      <c r="X31" s="10" t="str">
        <f>name!A28</f>
        <v>Water</v>
      </c>
      <c r="Y31" s="10">
        <v>0.613999999999153</v>
      </c>
      <c r="Z31" s="10">
        <v>0.75700000000020651</v>
      </c>
      <c r="AA31" s="342">
        <f t="shared" si="8"/>
        <v>0.14300000000105351</v>
      </c>
      <c r="AB31" s="10">
        <v>0.28754998815151211</v>
      </c>
      <c r="AC31" s="342">
        <f t="shared" si="9"/>
        <v>0.43054998815256562</v>
      </c>
      <c r="AD31" s="343">
        <f t="shared" si="10"/>
        <v>2.5938740169505037E-2</v>
      </c>
    </row>
    <row r="32" spans="1:30" x14ac:dyDescent="0.2">
      <c r="A32" s="10" t="str">
        <f>name!D29</f>
        <v>92 Elementary administration and service occupations</v>
      </c>
      <c r="B32" s="11">
        <f t="shared" si="14"/>
        <v>487.63253962385699</v>
      </c>
      <c r="C32" s="11">
        <f t="shared" si="14"/>
        <v>499.44682814922436</v>
      </c>
      <c r="D32" s="11">
        <f t="shared" si="14"/>
        <v>11.814288525367445</v>
      </c>
      <c r="E32" s="11">
        <f t="shared" si="14"/>
        <v>254.54143903024485</v>
      </c>
      <c r="F32" s="11">
        <f t="shared" si="14"/>
        <v>266.3557275556123</v>
      </c>
      <c r="G32" s="200">
        <f t="shared" ref="G32" si="15">IF(B32&gt;0,(1+(E32/B32))^(1/($C$6-$B$6))-1,0)</f>
        <v>2.8397162475604532E-2</v>
      </c>
      <c r="H32" s="11"/>
      <c r="I32" s="11" t="str">
        <f>I21</f>
        <v>Associate professional occupations</v>
      </c>
      <c r="J32" s="11">
        <v>258.69143813164817</v>
      </c>
      <c r="K32" s="11">
        <v>514.9814824355883</v>
      </c>
      <c r="L32" s="11">
        <v>256.29004430394025</v>
      </c>
      <c r="M32" s="11">
        <v>188.45779173548743</v>
      </c>
      <c r="N32" s="11">
        <v>444.74783603942763</v>
      </c>
      <c r="O32" s="11"/>
      <c r="P32" s="10" t="str">
        <f>name!D29</f>
        <v>92 Elementary administration and service occupations</v>
      </c>
      <c r="Q32" s="11">
        <v>243.6493392608335</v>
      </c>
      <c r="R32" s="11">
        <v>255.39302451210574</v>
      </c>
      <c r="S32" s="342">
        <f t="shared" ref="S32" si="16">R32-Q32</f>
        <v>11.74368525127224</v>
      </c>
      <c r="T32" s="342">
        <v>109.10448363798034</v>
      </c>
      <c r="U32" s="342">
        <f>SUM(S32:T32)</f>
        <v>120.84816888925258</v>
      </c>
      <c r="V32" s="343">
        <f>IF(Q32&gt;0,(1+(T32/Q32))^(1/($C$6-$B$6))-1,0)</f>
        <v>2.4976164365924758E-2</v>
      </c>
      <c r="W32" s="343"/>
      <c r="X32" s="10" t="str">
        <f>name!A29</f>
        <v>Sewerage</v>
      </c>
      <c r="Y32" s="10">
        <v>1.6949999999799696</v>
      </c>
      <c r="Z32" s="10">
        <v>2.1359999999494441</v>
      </c>
      <c r="AA32" s="342">
        <f t="shared" si="8"/>
        <v>0.44099999996947448</v>
      </c>
      <c r="AB32" s="10">
        <v>0.83791675547152844</v>
      </c>
      <c r="AC32" s="342">
        <f t="shared" si="9"/>
        <v>1.2789167554410028</v>
      </c>
      <c r="AD32" s="343">
        <f t="shared" si="10"/>
        <v>2.7141037422566683E-2</v>
      </c>
    </row>
    <row r="33" spans="1:30" x14ac:dyDescent="0.2">
      <c r="A33" t="str">
        <f>name!D3</f>
        <v>All occupations</v>
      </c>
      <c r="B33" s="11">
        <f t="shared" si="14"/>
        <v>5937.3810000053309</v>
      </c>
      <c r="C33" s="11">
        <f t="shared" si="14"/>
        <v>6480.7350000074621</v>
      </c>
      <c r="D33" s="11">
        <f t="shared" si="14"/>
        <v>543.35400000213099</v>
      </c>
      <c r="E33" s="11">
        <f t="shared" si="14"/>
        <v>3041.9044622283941</v>
      </c>
      <c r="F33" s="11">
        <f t="shared" si="14"/>
        <v>3585.2584622305249</v>
      </c>
      <c r="G33" s="200">
        <f t="shared" si="11"/>
        <v>2.7960571932020839E-2</v>
      </c>
      <c r="H33" s="11"/>
      <c r="I33" s="11" t="str">
        <f>I22</f>
        <v>Administrative and secretarial occupations</v>
      </c>
      <c r="J33" s="11">
        <v>60.661880113508133</v>
      </c>
      <c r="K33" s="11">
        <v>134.33810160294553</v>
      </c>
      <c r="L33" s="11">
        <v>73.67622148943741</v>
      </c>
      <c r="M33" s="11">
        <v>54.098472828771733</v>
      </c>
      <c r="N33" s="11">
        <v>127.77469431820913</v>
      </c>
      <c r="O33" s="11"/>
      <c r="P33" s="10" t="str">
        <f>name!D3</f>
        <v>All occupations</v>
      </c>
      <c r="Q33" s="11">
        <f>SUM(Q7:Q32)</f>
        <v>3113.2300000080063</v>
      </c>
      <c r="R33" s="11">
        <f>SUM(R7:R32)</f>
        <v>3406.6080000084894</v>
      </c>
      <c r="S33" s="342">
        <f>R33-Q33</f>
        <v>293.3780000004831</v>
      </c>
      <c r="T33" s="11">
        <f>SUM(T7:T32)</f>
        <v>1368.0411109276006</v>
      </c>
      <c r="U33" s="342">
        <f>SUM(S33:T33)</f>
        <v>1661.4191109280837</v>
      </c>
      <c r="V33" s="343">
        <f t="shared" si="7"/>
        <v>2.4580298908200016E-2</v>
      </c>
      <c r="W33" s="11"/>
      <c r="X33" s="10" t="str">
        <f>name!A30</f>
        <v>Waste management</v>
      </c>
      <c r="Y33" s="10">
        <v>14.407999999826506</v>
      </c>
      <c r="Z33" s="10">
        <v>18.004999999682251</v>
      </c>
      <c r="AA33" s="342">
        <f t="shared" si="8"/>
        <v>3.5969999998557451</v>
      </c>
      <c r="AB33" s="10">
        <v>7.2181477477455918</v>
      </c>
      <c r="AC33" s="342">
        <f t="shared" si="9"/>
        <v>10.815147747601337</v>
      </c>
      <c r="AD33" s="343">
        <f t="shared" si="10"/>
        <v>2.7444482781199042E-2</v>
      </c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17.884354283188351</v>
      </c>
      <c r="K34" s="11">
        <v>62.651239598177654</v>
      </c>
      <c r="L34" s="11">
        <v>44.766885314989295</v>
      </c>
      <c r="M34" s="11">
        <v>20.561445324079713</v>
      </c>
      <c r="N34" s="11">
        <v>65.328330639069009</v>
      </c>
      <c r="O34" s="11"/>
      <c r="P34" s="23"/>
      <c r="Q34" s="33"/>
      <c r="R34" s="33"/>
      <c r="S34" s="33"/>
      <c r="T34" s="33"/>
      <c r="U34" s="33"/>
      <c r="V34" s="33"/>
      <c r="W34" s="345"/>
      <c r="X34" s="10" t="str">
        <f>name!A31</f>
        <v>Construction</v>
      </c>
      <c r="Y34" s="10">
        <v>131.77499999614869</v>
      </c>
      <c r="Z34" s="10">
        <v>168.08799999226872</v>
      </c>
      <c r="AA34" s="342">
        <f t="shared" si="8"/>
        <v>36.312999996120027</v>
      </c>
      <c r="AB34" s="10">
        <v>66.05168104872115</v>
      </c>
      <c r="AC34" s="342">
        <f t="shared" si="9"/>
        <v>102.36468104484118</v>
      </c>
      <c r="AD34" s="343">
        <f t="shared" si="10"/>
        <v>2.7456528460447549E-2</v>
      </c>
    </row>
    <row r="35" spans="1:30" ht="38.25" x14ac:dyDescent="0.2">
      <c r="A35" s="201" t="str">
        <f>CONCATENATE(name!F4," (Constrained)")</f>
        <v>RQF8 Doctorate (Constrained)</v>
      </c>
      <c r="B35" s="74">
        <f t="shared" ref="B35:G35" si="17">B6</f>
        <v>2020</v>
      </c>
      <c r="C35" s="74">
        <f t="shared" si="17"/>
        <v>2035</v>
      </c>
      <c r="D35" s="87" t="str">
        <f t="shared" si="17"/>
        <v>Net Change</v>
      </c>
      <c r="E35" s="87" t="str">
        <f t="shared" si="17"/>
        <v>Replacement Demand level</v>
      </c>
      <c r="F35" s="87" t="str">
        <f t="shared" si="17"/>
        <v>Total Requirement</v>
      </c>
      <c r="G35" s="87" t="str">
        <f t="shared" si="17"/>
        <v>Replacement Demand rate</v>
      </c>
      <c r="H35" s="11"/>
      <c r="I35" s="11" t="str">
        <f t="shared" ref="I35:I38" si="18">I24</f>
        <v>Caring, leisure and other service occupations</v>
      </c>
      <c r="J35" s="11">
        <v>29.621638006918324</v>
      </c>
      <c r="K35" s="11">
        <v>86.859864987433298</v>
      </c>
      <c r="L35" s="11">
        <v>57.238226980514966</v>
      </c>
      <c r="M35" s="11">
        <v>34.178841473483494</v>
      </c>
      <c r="N35" s="11">
        <v>91.417068453998468</v>
      </c>
      <c r="O35" s="11"/>
      <c r="P35" s="201" t="s">
        <v>99</v>
      </c>
      <c r="Q35" s="74">
        <f t="shared" ref="Q35:V35" si="19">B35</f>
        <v>2020</v>
      </c>
      <c r="R35" s="74">
        <f t="shared" si="19"/>
        <v>2035</v>
      </c>
      <c r="S35" s="341" t="str">
        <f t="shared" si="19"/>
        <v>Net Change</v>
      </c>
      <c r="T35" s="341" t="str">
        <f t="shared" si="19"/>
        <v>Replacement Demand level</v>
      </c>
      <c r="U35" s="341" t="str">
        <f t="shared" si="19"/>
        <v>Total Requirement</v>
      </c>
      <c r="V35" s="341" t="str">
        <f t="shared" si="19"/>
        <v>Replacement Demand rate</v>
      </c>
      <c r="W35" s="343"/>
      <c r="X35" s="10" t="str">
        <f>name!A32</f>
        <v>Civil engineering</v>
      </c>
      <c r="Y35" s="10">
        <v>34.008999998851792</v>
      </c>
      <c r="Z35" s="10">
        <v>43.184999997603001</v>
      </c>
      <c r="AA35" s="342">
        <f t="shared" si="8"/>
        <v>9.1759999987512089</v>
      </c>
      <c r="AB35" s="10">
        <v>16.189216026042896</v>
      </c>
      <c r="AC35" s="342">
        <f t="shared" si="9"/>
        <v>25.365216024794105</v>
      </c>
      <c r="AD35" s="343">
        <f t="shared" si="10"/>
        <v>2.6296768407672699E-2</v>
      </c>
    </row>
    <row r="36" spans="1:30" ht="12.75" customHeight="1" x14ac:dyDescent="0.2">
      <c r="A36" t="str">
        <f t="shared" ref="A36:A62" si="20">A7</f>
        <v>11 Corporate managers and directors</v>
      </c>
      <c r="B36" s="11">
        <v>14.461940910585088</v>
      </c>
      <c r="C36" s="11">
        <v>30.703903063863486</v>
      </c>
      <c r="D36" s="11">
        <f>C36-B36</f>
        <v>16.241962153278397</v>
      </c>
      <c r="E36" s="11">
        <v>11.970349848330507</v>
      </c>
      <c r="F36" s="11">
        <f>SUM(D36:E36)</f>
        <v>28.212312001608904</v>
      </c>
      <c r="G36" s="200">
        <f>IF(B36&gt;0,(1+(E36/B36))^(1/($C$6-$B$6))-1,0)</f>
        <v>4.1023535134535383E-2</v>
      </c>
      <c r="I36" s="11" t="str">
        <f t="shared" si="18"/>
        <v>Sales and customer service occupations</v>
      </c>
      <c r="J36" s="11">
        <v>31.400179155808363</v>
      </c>
      <c r="K36" s="11">
        <v>93.382029665787286</v>
      </c>
      <c r="L36" s="11">
        <v>61.981850509978926</v>
      </c>
      <c r="M36" s="11">
        <v>29.564075309575266</v>
      </c>
      <c r="N36" s="11">
        <v>91.545925819554199</v>
      </c>
      <c r="P36" s="10" t="str">
        <f>name!D4</f>
        <v>11 Corporate managers and directors</v>
      </c>
      <c r="Q36" s="11">
        <v>193.2112580621386</v>
      </c>
      <c r="R36" s="11">
        <v>221.00981813329261</v>
      </c>
      <c r="S36" s="342">
        <f>R36-Q36</f>
        <v>27.798560071154014</v>
      </c>
      <c r="T36" s="342">
        <v>118.74964889410003</v>
      </c>
      <c r="U36" s="342">
        <f>SUM(S36:T36)</f>
        <v>146.54820896525405</v>
      </c>
      <c r="V36" s="343">
        <f>IF(Q36&gt;0,(1+(T36/Q36))^(1/($C$6-$B$6))-1,0)</f>
        <v>3.2455121801868048E-2</v>
      </c>
      <c r="W36" s="343"/>
      <c r="X36" s="10" t="str">
        <f>name!A33</f>
        <v>Specialised construction</v>
      </c>
      <c r="Y36" s="10">
        <v>132.01899999575218</v>
      </c>
      <c r="Z36" s="10">
        <v>168.36899999111733</v>
      </c>
      <c r="AA36" s="342">
        <f t="shared" si="8"/>
        <v>36.349999995365152</v>
      </c>
      <c r="AB36" s="10">
        <v>64.527471157099015</v>
      </c>
      <c r="AC36" s="342">
        <f t="shared" si="9"/>
        <v>100.87747115246417</v>
      </c>
      <c r="AD36" s="343">
        <f t="shared" si="10"/>
        <v>2.6885261889357137E-2</v>
      </c>
    </row>
    <row r="37" spans="1:30" x14ac:dyDescent="0.2">
      <c r="A37" t="str">
        <f t="shared" si="20"/>
        <v>12 Other managers and proprietors</v>
      </c>
      <c r="B37" s="11">
        <v>4.5775901397419698</v>
      </c>
      <c r="C37" s="11">
        <v>15.502460970232857</v>
      </c>
      <c r="D37" s="11">
        <f t="shared" ref="D37:D60" si="21">C37-B37</f>
        <v>10.924870830490887</v>
      </c>
      <c r="E37" s="11">
        <v>6.0890034533778064</v>
      </c>
      <c r="F37" s="11">
        <f t="shared" ref="F37:F57" si="22">SUM(D37:E37)</f>
        <v>17.013874283868695</v>
      </c>
      <c r="G37" s="200">
        <f t="shared" ref="G37:G62" si="23">IF(B37&gt;0,(1+(E37/B37))^(1/($C$6-$B$6))-1,0)</f>
        <v>5.8016862724139528E-2</v>
      </c>
      <c r="I37" s="11" t="str">
        <f t="shared" si="18"/>
        <v>Process, plant and machine operatives</v>
      </c>
      <c r="J37" s="11">
        <v>10.240076625703356</v>
      </c>
      <c r="K37" s="11">
        <v>37.733202734595899</v>
      </c>
      <c r="L37" s="11">
        <v>27.49312610889254</v>
      </c>
      <c r="M37" s="11">
        <v>14.947638720332652</v>
      </c>
      <c r="N37" s="11">
        <v>42.440764829225195</v>
      </c>
      <c r="P37" s="10" t="str">
        <f>name!D5</f>
        <v>12 Other managers and proprietors</v>
      </c>
      <c r="Q37" s="11">
        <v>75.911478411410002</v>
      </c>
      <c r="R37" s="11">
        <v>105.64008469111016</v>
      </c>
      <c r="S37" s="342">
        <f t="shared" ref="S37:S60" si="24">R37-Q37</f>
        <v>29.728606279700159</v>
      </c>
      <c r="T37" s="342">
        <v>61.634067230789107</v>
      </c>
      <c r="U37" s="342">
        <f t="shared" ref="U37:U60" si="25">SUM(S37:T37)</f>
        <v>91.362673510489259</v>
      </c>
      <c r="V37" s="343">
        <f t="shared" ref="V37:V60" si="26">IF(Q37&gt;0,(1+(T37/Q37))^(1/($C$6-$B$6))-1,0)</f>
        <v>4.0421389506815064E-2</v>
      </c>
      <c r="W37" s="343"/>
      <c r="X37" s="10" t="str">
        <f>name!A34</f>
        <v>Motor vehicle trade</v>
      </c>
      <c r="Y37" s="10">
        <v>50.624999999186606</v>
      </c>
      <c r="Z37" s="10">
        <v>49.57299999930143</v>
      </c>
      <c r="AA37" s="342">
        <f t="shared" si="8"/>
        <v>-1.0519999998851759</v>
      </c>
      <c r="AB37" s="10">
        <v>20.826692680070575</v>
      </c>
      <c r="AC37" s="342">
        <f t="shared" si="9"/>
        <v>19.774692680185399</v>
      </c>
      <c r="AD37" s="343">
        <f t="shared" si="10"/>
        <v>2.3237620334661369E-2</v>
      </c>
    </row>
    <row r="38" spans="1:30" x14ac:dyDescent="0.2">
      <c r="A38" t="str">
        <f t="shared" si="20"/>
        <v>21 Science, research, engineering and technology professionals</v>
      </c>
      <c r="B38" s="11">
        <v>26.755776053019293</v>
      </c>
      <c r="C38" s="11">
        <v>50.106336427552094</v>
      </c>
      <c r="D38" s="11">
        <f t="shared" si="21"/>
        <v>23.350560374532801</v>
      </c>
      <c r="E38" s="11">
        <v>15.324373764383882</v>
      </c>
      <c r="F38" s="11">
        <f t="shared" si="22"/>
        <v>38.674934138916683</v>
      </c>
      <c r="G38" s="200">
        <f t="shared" si="23"/>
        <v>3.0648672800418053E-2</v>
      </c>
      <c r="I38" s="11" t="str">
        <f t="shared" si="18"/>
        <v>Elementary occupations</v>
      </c>
      <c r="J38" s="11">
        <v>31.09720520861628</v>
      </c>
      <c r="K38" s="11">
        <v>113.58447410974206</v>
      </c>
      <c r="L38" s="11">
        <v>82.487268901125788</v>
      </c>
      <c r="M38" s="11">
        <v>41.730198883404903</v>
      </c>
      <c r="N38" s="11">
        <v>124.21746778453068</v>
      </c>
      <c r="P38" s="10" t="str">
        <f>name!D6</f>
        <v>21 Science, research, engineering and technology professionals</v>
      </c>
      <c r="Q38" s="11">
        <v>125.71188292492882</v>
      </c>
      <c r="R38" s="11">
        <v>171.43642039063005</v>
      </c>
      <c r="S38" s="342">
        <f t="shared" si="24"/>
        <v>45.724537465701232</v>
      </c>
      <c r="T38" s="342">
        <v>78.984587904654518</v>
      </c>
      <c r="U38" s="342">
        <f t="shared" si="25"/>
        <v>124.70912537035575</v>
      </c>
      <c r="V38" s="343">
        <f t="shared" si="26"/>
        <v>3.3036345341097562E-2</v>
      </c>
      <c r="W38" s="343"/>
      <c r="X38" s="10" t="str">
        <f>name!A35</f>
        <v>Wholesale trade</v>
      </c>
      <c r="Y38" s="10">
        <v>169.38999999742003</v>
      </c>
      <c r="Z38" s="10">
        <v>166.14999999817456</v>
      </c>
      <c r="AA38" s="342">
        <f t="shared" si="8"/>
        <v>-3.2399999992454696</v>
      </c>
      <c r="AB38" s="10">
        <v>76.24031857830731</v>
      </c>
      <c r="AC38" s="342">
        <f t="shared" si="9"/>
        <v>73.00031857906184</v>
      </c>
      <c r="AD38" s="343">
        <f t="shared" si="10"/>
        <v>2.5084374515161212E-2</v>
      </c>
    </row>
    <row r="39" spans="1:30" x14ac:dyDescent="0.2">
      <c r="A39" t="str">
        <f t="shared" si="20"/>
        <v>22 Health professionals</v>
      </c>
      <c r="B39" s="11">
        <v>25.466440555518659</v>
      </c>
      <c r="C39" s="11">
        <v>49.188215925115223</v>
      </c>
      <c r="D39" s="11">
        <f t="shared" si="21"/>
        <v>23.721775369596564</v>
      </c>
      <c r="E39" s="11">
        <v>19.101951231016091</v>
      </c>
      <c r="F39" s="11">
        <f t="shared" si="22"/>
        <v>42.823726600612659</v>
      </c>
      <c r="G39" s="200">
        <f t="shared" si="23"/>
        <v>3.8015681082597119E-2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208.92310028665494</v>
      </c>
      <c r="R39" s="11">
        <v>226.27853429572789</v>
      </c>
      <c r="S39" s="342">
        <f t="shared" si="24"/>
        <v>17.355434009072951</v>
      </c>
      <c r="T39" s="342">
        <v>129.51935352149795</v>
      </c>
      <c r="U39" s="342">
        <f t="shared" si="25"/>
        <v>146.8747875305709</v>
      </c>
      <c r="V39" s="343">
        <f t="shared" si="26"/>
        <v>3.2681883565124803E-2</v>
      </c>
      <c r="W39" s="343"/>
      <c r="X39" s="10" t="str">
        <f>name!A36</f>
        <v>Retail trade</v>
      </c>
      <c r="Y39" s="10">
        <v>418.67599999699428</v>
      </c>
      <c r="Z39" s="10">
        <v>416.30199999531919</v>
      </c>
      <c r="AA39" s="342">
        <f t="shared" si="8"/>
        <v>-2.3740000016750855</v>
      </c>
      <c r="AB39" s="10">
        <v>196.16547297827572</v>
      </c>
      <c r="AC39" s="342">
        <f t="shared" si="9"/>
        <v>193.79147297660063</v>
      </c>
      <c r="AD39" s="343">
        <f t="shared" si="10"/>
        <v>2.5948763847035261E-2</v>
      </c>
    </row>
    <row r="40" spans="1:30" x14ac:dyDescent="0.2">
      <c r="A40" t="str">
        <f t="shared" si="20"/>
        <v>23 Teaching and other educational professionals</v>
      </c>
      <c r="B40" s="11">
        <v>37.39001180991859</v>
      </c>
      <c r="C40" s="11">
        <v>54.224061837804179</v>
      </c>
      <c r="D40" s="11">
        <f>C40-B40</f>
        <v>16.834050027885588</v>
      </c>
      <c r="E40" s="11">
        <v>23.346130401980403</v>
      </c>
      <c r="F40" s="11">
        <f>SUM(D40:E40)</f>
        <v>40.180180429865992</v>
      </c>
      <c r="G40" s="200">
        <f>IF(B40&gt;0,(1+(E40/B40))^(1/($C$6-$B$6))-1,0)</f>
        <v>3.2871054357975771E-2</v>
      </c>
      <c r="I40" s="86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248.51803298159714</v>
      </c>
      <c r="R40" s="11">
        <v>263.77143342017195</v>
      </c>
      <c r="S40" s="342">
        <f t="shared" si="24"/>
        <v>15.253400438574801</v>
      </c>
      <c r="T40" s="342">
        <v>141.07512871296933</v>
      </c>
      <c r="U40" s="342">
        <f t="shared" si="25"/>
        <v>156.32852915154413</v>
      </c>
      <c r="V40" s="343">
        <f t="shared" si="26"/>
        <v>3.0426204349197405E-2</v>
      </c>
      <c r="W40" s="343"/>
      <c r="X40" s="10" t="str">
        <f>name!A37</f>
        <v>Land transport, etc</v>
      </c>
      <c r="Y40" s="10">
        <v>153.94899999770013</v>
      </c>
      <c r="Z40" s="10">
        <v>185.2499999988251</v>
      </c>
      <c r="AA40" s="342">
        <f t="shared" si="8"/>
        <v>31.301000001124976</v>
      </c>
      <c r="AB40" s="10">
        <v>87.128139487072914</v>
      </c>
      <c r="AC40" s="342">
        <f t="shared" si="9"/>
        <v>118.42913948819789</v>
      </c>
      <c r="AD40" s="343">
        <f t="shared" si="10"/>
        <v>3.0351190344701351E-2</v>
      </c>
    </row>
    <row r="41" spans="1:30" x14ac:dyDescent="0.2">
      <c r="A41" t="str">
        <f t="shared" si="20"/>
        <v>24 Business, media and public service professionals</v>
      </c>
      <c r="B41" s="11">
        <v>21.010399183190227</v>
      </c>
      <c r="C41" s="11">
        <v>51.8011840105871</v>
      </c>
      <c r="D41" s="11">
        <f t="shared" si="21"/>
        <v>30.790784827396873</v>
      </c>
      <c r="E41" s="11">
        <v>18.135284239173497</v>
      </c>
      <c r="F41" s="11">
        <f t="shared" si="22"/>
        <v>48.926069066570371</v>
      </c>
      <c r="G41" s="200">
        <f t="shared" si="23"/>
        <v>4.2357362693038025E-2</v>
      </c>
      <c r="I41" s="11" t="str">
        <f>I30</f>
        <v>Managers, directors and senior officials</v>
      </c>
      <c r="J41" s="11">
        <f t="array" ref="J41:J49">MMULT(aggregation!$B$38:$AA$46,B94:B119)</f>
        <v>238.6750645630276</v>
      </c>
      <c r="K41" s="11">
        <f t="array" ref="K41:K49">MMULT(aggregation!$B$38:$AA$46,C94:C119)</f>
        <v>217.49568474878782</v>
      </c>
      <c r="L41" s="11">
        <f t="array" ref="L41:L49">MMULT(aggregation!$B$38:$AA$46,D94:D119)</f>
        <v>-21.179379814239752</v>
      </c>
      <c r="M41" s="11">
        <f t="array" ref="M41:M49">MMULT(aggregation!$B$38:$AA$46,E94:E119)</f>
        <v>135.03518820374777</v>
      </c>
      <c r="N41" s="11">
        <f t="array" ref="N41:N49">MMULT(aggregation!$B$38:$AA$46,F94:F119)</f>
        <v>113.85580838950801</v>
      </c>
      <c r="P41" s="10" t="str">
        <f>name!D9</f>
        <v>24 Business, media and public service professionals</v>
      </c>
      <c r="Q41" s="11">
        <v>327.6375725018558</v>
      </c>
      <c r="R41" s="11">
        <v>413.38638135921474</v>
      </c>
      <c r="S41" s="342">
        <f t="shared" si="24"/>
        <v>85.748808857358938</v>
      </c>
      <c r="T41" s="342">
        <v>207.77376829389652</v>
      </c>
      <c r="U41" s="342">
        <f t="shared" si="25"/>
        <v>293.52257715125546</v>
      </c>
      <c r="V41" s="343">
        <f t="shared" si="26"/>
        <v>3.3283730035823966E-2</v>
      </c>
      <c r="W41" s="343"/>
      <c r="X41" s="10" t="str">
        <f>name!A38</f>
        <v>Water transport</v>
      </c>
      <c r="Y41" s="10">
        <v>4.8099999999827387</v>
      </c>
      <c r="Z41" s="10">
        <v>3.8100000000094756</v>
      </c>
      <c r="AA41" s="342">
        <f t="shared" si="8"/>
        <v>-0.99999999997326317</v>
      </c>
      <c r="AB41" s="10">
        <v>1.8018208096810169</v>
      </c>
      <c r="AC41" s="342">
        <f t="shared" si="9"/>
        <v>0.80182080970775371</v>
      </c>
      <c r="AD41" s="343">
        <f t="shared" si="10"/>
        <v>2.1437347576583443E-2</v>
      </c>
    </row>
    <row r="42" spans="1:30" x14ac:dyDescent="0.2">
      <c r="A42" t="str">
        <f t="shared" si="20"/>
        <v>31 Science, engineering and technology associate professionals</v>
      </c>
      <c r="B42" s="11">
        <v>3.6950790862172043</v>
      </c>
      <c r="C42" s="11">
        <v>7.8403200145283529</v>
      </c>
      <c r="D42" s="11">
        <f t="shared" si="21"/>
        <v>4.1452409283111482</v>
      </c>
      <c r="E42" s="11">
        <v>2.6176445166250457</v>
      </c>
      <c r="F42" s="11">
        <f t="shared" si="22"/>
        <v>6.7628854449361935</v>
      </c>
      <c r="G42" s="200">
        <f t="shared" si="23"/>
        <v>3.6349405076319785E-2</v>
      </c>
      <c r="I42" s="11" t="str">
        <f>I31</f>
        <v>Professional occupations</v>
      </c>
      <c r="J42" s="11">
        <v>625.642746528624</v>
      </c>
      <c r="K42" s="11">
        <v>461.89037829610459</v>
      </c>
      <c r="L42" s="11">
        <v>-163.75236823251947</v>
      </c>
      <c r="M42" s="11">
        <v>274.67424618279216</v>
      </c>
      <c r="N42" s="11">
        <v>110.92187795027269</v>
      </c>
      <c r="P42" s="10" t="str">
        <f>name!D10</f>
        <v>31 Science, engineering and technology associate professionals</v>
      </c>
      <c r="Q42" s="11">
        <v>36.477725008278355</v>
      </c>
      <c r="R42" s="11">
        <v>44.6760558555317</v>
      </c>
      <c r="S42" s="342">
        <f t="shared" si="24"/>
        <v>8.1983308472533452</v>
      </c>
      <c r="T42" s="342">
        <v>20.486698214548937</v>
      </c>
      <c r="U42" s="342">
        <f t="shared" si="25"/>
        <v>28.685029061802283</v>
      </c>
      <c r="V42" s="343">
        <f t="shared" si="26"/>
        <v>3.0160904390441168E-2</v>
      </c>
      <c r="W42" s="343"/>
      <c r="X42" s="10" t="str">
        <f>name!A39</f>
        <v>Air transport</v>
      </c>
      <c r="Y42" s="10">
        <v>37.883999999737668</v>
      </c>
      <c r="Z42" s="10">
        <v>33.136999999791435</v>
      </c>
      <c r="AA42" s="342">
        <f t="shared" si="8"/>
        <v>-4.7469999999462331</v>
      </c>
      <c r="AB42" s="10">
        <v>16.61840510866385</v>
      </c>
      <c r="AC42" s="342">
        <f t="shared" si="9"/>
        <v>11.871405108717617</v>
      </c>
      <c r="AD42" s="343">
        <f t="shared" si="10"/>
        <v>2.4544098250908863E-2</v>
      </c>
    </row>
    <row r="43" spans="1:30" x14ac:dyDescent="0.2">
      <c r="A43" t="str">
        <f t="shared" si="20"/>
        <v>32 Health and social care associate professionals</v>
      </c>
      <c r="B43" s="11">
        <v>0.86486135976137557</v>
      </c>
      <c r="C43" s="11">
        <v>2.2636642336550059</v>
      </c>
      <c r="D43" s="11">
        <f t="shared" si="21"/>
        <v>1.3988028738936302</v>
      </c>
      <c r="E43" s="11">
        <v>0.94191378569876694</v>
      </c>
      <c r="F43" s="11">
        <f t="shared" si="22"/>
        <v>2.3407166595923972</v>
      </c>
      <c r="G43" s="200">
        <f t="shared" si="23"/>
        <v>5.0341457316135818E-2</v>
      </c>
      <c r="I43" s="11" t="str">
        <f>I32</f>
        <v>Associate professional occupations</v>
      </c>
      <c r="J43" s="11">
        <v>373.59252672518994</v>
      </c>
      <c r="K43" s="11">
        <v>313.98342761125525</v>
      </c>
      <c r="L43" s="11">
        <v>-59.609099113934661</v>
      </c>
      <c r="M43" s="11">
        <v>169.44398740999071</v>
      </c>
      <c r="N43" s="11">
        <v>109.83488829605605</v>
      </c>
      <c r="P43" s="10" t="str">
        <f>name!D11</f>
        <v>32 Health and social care associate professionals</v>
      </c>
      <c r="Q43" s="11">
        <v>79.65582809804873</v>
      </c>
      <c r="R43" s="11">
        <v>85.643486305663671</v>
      </c>
      <c r="S43" s="342">
        <f t="shared" si="24"/>
        <v>5.9876582076149418</v>
      </c>
      <c r="T43" s="342">
        <v>49.395646352091241</v>
      </c>
      <c r="U43" s="342">
        <f t="shared" si="25"/>
        <v>55.383304559706183</v>
      </c>
      <c r="V43" s="343">
        <f t="shared" si="26"/>
        <v>3.2689340598534899E-2</v>
      </c>
      <c r="W43" s="343"/>
      <c r="X43" s="10" t="str">
        <f>name!A40</f>
        <v>Warehousing, etc</v>
      </c>
      <c r="Y43" s="10">
        <v>73.268999998928024</v>
      </c>
      <c r="Z43" s="10">
        <v>72.964999998955761</v>
      </c>
      <c r="AA43" s="342">
        <f t="shared" si="8"/>
        <v>-0.30399999997226246</v>
      </c>
      <c r="AB43" s="10">
        <v>32.725416163815517</v>
      </c>
      <c r="AC43" s="342">
        <f t="shared" si="9"/>
        <v>32.421416163843254</v>
      </c>
      <c r="AD43" s="343">
        <f t="shared" si="10"/>
        <v>2.4922077422180777E-2</v>
      </c>
    </row>
    <row r="44" spans="1:30" x14ac:dyDescent="0.2">
      <c r="A44" t="str">
        <f t="shared" si="20"/>
        <v>33 Protective service occupations</v>
      </c>
      <c r="B44" s="11">
        <v>0.42680778965538979</v>
      </c>
      <c r="C44" s="11">
        <v>1.4713354006232302</v>
      </c>
      <c r="D44" s="11">
        <f t="shared" si="21"/>
        <v>1.0445276109678403</v>
      </c>
      <c r="E44" s="11">
        <v>0.32744813736725864</v>
      </c>
      <c r="F44" s="11">
        <f t="shared" si="22"/>
        <v>1.3719757483350989</v>
      </c>
      <c r="G44" s="200">
        <f t="shared" si="23"/>
        <v>3.8689543587061337E-2</v>
      </c>
      <c r="I44" s="11" t="str">
        <f>I33</f>
        <v>Administrative and secretarial occupations</v>
      </c>
      <c r="J44" s="11">
        <v>130.14531767189064</v>
      </c>
      <c r="K44" s="11">
        <v>132.69943620556265</v>
      </c>
      <c r="L44" s="11">
        <v>2.5541185336719998</v>
      </c>
      <c r="M44" s="11">
        <v>76.75378379020141</v>
      </c>
      <c r="N44" s="11">
        <v>79.307902323873407</v>
      </c>
      <c r="P44" s="10" t="str">
        <f>name!D12</f>
        <v>33 Protective service occupations</v>
      </c>
      <c r="Q44" s="11">
        <v>20.223609305905573</v>
      </c>
      <c r="R44" s="11">
        <v>34.904136417115133</v>
      </c>
      <c r="S44" s="342">
        <f t="shared" si="24"/>
        <v>14.68052711120956</v>
      </c>
      <c r="T44" s="342">
        <v>13.932634835877648</v>
      </c>
      <c r="U44" s="342">
        <f t="shared" si="25"/>
        <v>28.613161947087207</v>
      </c>
      <c r="V44" s="343">
        <f t="shared" si="26"/>
        <v>3.5557208580157207E-2</v>
      </c>
      <c r="W44" s="343"/>
      <c r="X44" s="10" t="str">
        <f>name!A41</f>
        <v>Postal and courier</v>
      </c>
      <c r="Y44" s="10">
        <v>49.892999998914703</v>
      </c>
      <c r="Z44" s="10">
        <v>50.228999998553519</v>
      </c>
      <c r="AA44" s="342">
        <f t="shared" si="8"/>
        <v>0.33599999963881544</v>
      </c>
      <c r="AB44" s="10">
        <v>22.697883725531867</v>
      </c>
      <c r="AC44" s="342">
        <f t="shared" si="9"/>
        <v>23.033883725170682</v>
      </c>
      <c r="AD44" s="343">
        <f t="shared" si="10"/>
        <v>2.5312292919634327E-2</v>
      </c>
    </row>
    <row r="45" spans="1:30" x14ac:dyDescent="0.2">
      <c r="A45" t="str">
        <f t="shared" si="20"/>
        <v>34 Culture, media and sports occupations</v>
      </c>
      <c r="B45" s="11">
        <v>2.9018364050871486</v>
      </c>
      <c r="C45" s="11">
        <v>5.4216182468313212</v>
      </c>
      <c r="D45" s="11">
        <f t="shared" ref="D45:D46" si="27">C45-B45</f>
        <v>2.5197818417441726</v>
      </c>
      <c r="E45" s="11">
        <v>2.2018332599582018</v>
      </c>
      <c r="F45" s="11">
        <f t="shared" ref="F45:F46" si="28">SUM(D45:E45)</f>
        <v>4.7216151017023744</v>
      </c>
      <c r="G45" s="200">
        <f t="shared" si="23"/>
        <v>3.8358467525059226E-2</v>
      </c>
      <c r="I45" s="11" t="str">
        <f t="shared" ref="I45:I49" si="29">I34</f>
        <v>Skilled trades occupations</v>
      </c>
      <c r="J45" s="11">
        <v>38.696390905581865</v>
      </c>
      <c r="K45" s="11">
        <v>59.375000164070812</v>
      </c>
      <c r="L45" s="11">
        <v>20.678609258488947</v>
      </c>
      <c r="M45" s="11">
        <v>29.063679659549848</v>
      </c>
      <c r="N45" s="11">
        <v>49.742288918038795</v>
      </c>
      <c r="P45" s="10" t="str">
        <f>name!D13</f>
        <v>34 Culture, media and sports occupations</v>
      </c>
      <c r="Q45" s="11">
        <v>113.8975938021821</v>
      </c>
      <c r="R45" s="11">
        <v>127.63465316605442</v>
      </c>
      <c r="S45" s="342">
        <f t="shared" si="24"/>
        <v>13.737059363872319</v>
      </c>
      <c r="T45" s="342">
        <v>64.736936658057473</v>
      </c>
      <c r="U45" s="342">
        <f t="shared" si="25"/>
        <v>78.473996021929793</v>
      </c>
      <c r="V45" s="343">
        <f t="shared" si="26"/>
        <v>3.0457436040259855E-2</v>
      </c>
      <c r="W45" s="343"/>
      <c r="X45" s="10" t="str">
        <f>name!A42</f>
        <v>Accommodation</v>
      </c>
      <c r="Y45" s="10">
        <v>77.297999998829226</v>
      </c>
      <c r="Z45" s="10">
        <v>97.244999999173373</v>
      </c>
      <c r="AA45" s="342">
        <f t="shared" si="8"/>
        <v>19.947000000344147</v>
      </c>
      <c r="AB45" s="10">
        <v>46.115575635319125</v>
      </c>
      <c r="AC45" s="342">
        <f t="shared" si="9"/>
        <v>66.062575635663279</v>
      </c>
      <c r="AD45" s="343">
        <f t="shared" si="10"/>
        <v>3.1683089184711077E-2</v>
      </c>
    </row>
    <row r="46" spans="1:30" x14ac:dyDescent="0.2">
      <c r="A46" t="str">
        <f t="shared" si="20"/>
        <v>35 Business and public service associate professionals</v>
      </c>
      <c r="B46" s="11">
        <v>12.879770803960131</v>
      </c>
      <c r="C46" s="11">
        <v>29.836274424641271</v>
      </c>
      <c r="D46" s="11">
        <f t="shared" si="27"/>
        <v>16.95650362068114</v>
      </c>
      <c r="E46" s="11">
        <v>10.071677555685724</v>
      </c>
      <c r="F46" s="11">
        <f t="shared" si="28"/>
        <v>27.028181176366864</v>
      </c>
      <c r="G46" s="200">
        <f t="shared" si="23"/>
        <v>3.92661868476607E-2</v>
      </c>
      <c r="I46" s="11" t="str">
        <f t="shared" si="29"/>
        <v>Caring, leisure and other service occupations</v>
      </c>
      <c r="J46" s="11">
        <v>61.381332082216218</v>
      </c>
      <c r="K46" s="11">
        <v>76.357741527601689</v>
      </c>
      <c r="L46" s="11">
        <v>14.976409445385475</v>
      </c>
      <c r="M46" s="11">
        <v>44.54778507722115</v>
      </c>
      <c r="N46" s="11">
        <v>59.524194522606621</v>
      </c>
      <c r="P46" s="10" t="str">
        <f>name!D14</f>
        <v>35 Business and public service associate professionals</v>
      </c>
      <c r="Q46" s="11">
        <v>256.54847708403497</v>
      </c>
      <c r="R46" s="11">
        <v>272.29412819605756</v>
      </c>
      <c r="S46" s="342">
        <f t="shared" si="24"/>
        <v>15.745651112022585</v>
      </c>
      <c r="T46" s="342">
        <v>140.93092668178008</v>
      </c>
      <c r="U46" s="342">
        <f t="shared" si="25"/>
        <v>156.67657779380266</v>
      </c>
      <c r="V46" s="343">
        <f t="shared" si="26"/>
        <v>2.9618520446385466E-2</v>
      </c>
      <c r="W46" s="343"/>
      <c r="X46" s="10" t="str">
        <f>name!A43</f>
        <v>Food and beverage services</v>
      </c>
      <c r="Y46" s="10">
        <v>350.69099999576019</v>
      </c>
      <c r="Z46" s="10">
        <v>436.10799999671366</v>
      </c>
      <c r="AA46" s="342">
        <f t="shared" si="8"/>
        <v>85.417000000953465</v>
      </c>
      <c r="AB46" s="10">
        <v>197.71495363583512</v>
      </c>
      <c r="AC46" s="342">
        <f t="shared" si="9"/>
        <v>283.13195363678858</v>
      </c>
      <c r="AD46" s="343">
        <f t="shared" si="10"/>
        <v>3.0256040139885476E-2</v>
      </c>
    </row>
    <row r="47" spans="1:30" x14ac:dyDescent="0.2">
      <c r="A47" t="str">
        <f t="shared" si="20"/>
        <v>41 Administrative occupations</v>
      </c>
      <c r="B47" s="11">
        <v>4.2159814385508305</v>
      </c>
      <c r="C47" s="11">
        <v>10.53345376102877</v>
      </c>
      <c r="D47" s="11">
        <f t="shared" si="21"/>
        <v>6.3174723224779399</v>
      </c>
      <c r="E47" s="11">
        <v>3.8715602242246647</v>
      </c>
      <c r="F47" s="11">
        <f t="shared" si="22"/>
        <v>10.189032546702604</v>
      </c>
      <c r="G47" s="200">
        <f t="shared" si="23"/>
        <v>4.4386355703917912E-2</v>
      </c>
      <c r="I47" s="11" t="str">
        <f t="shared" si="29"/>
        <v>Sales and customer service occupations</v>
      </c>
      <c r="J47" s="11">
        <v>75.665978917889248</v>
      </c>
      <c r="K47" s="11">
        <v>91.192952312462836</v>
      </c>
      <c r="L47" s="11">
        <v>15.526973394573602</v>
      </c>
      <c r="M47" s="11">
        <v>45.570660371363054</v>
      </c>
      <c r="N47" s="11">
        <v>61.097633765936656</v>
      </c>
      <c r="P47" s="10" t="str">
        <f>name!D15</f>
        <v>41 Administrative occupations</v>
      </c>
      <c r="Q47" s="11">
        <v>284.95583925028347</v>
      </c>
      <c r="R47" s="11">
        <v>225.41853423235102</v>
      </c>
      <c r="S47" s="342">
        <f t="shared" si="24"/>
        <v>-59.537305017932454</v>
      </c>
      <c r="T47" s="342">
        <v>141.67412728392915</v>
      </c>
      <c r="U47" s="342">
        <f t="shared" si="25"/>
        <v>82.136822265996699</v>
      </c>
      <c r="V47" s="343">
        <f t="shared" si="26"/>
        <v>2.7270743717021206E-2</v>
      </c>
      <c r="W47" s="343"/>
      <c r="X47" s="10" t="str">
        <f>name!A44</f>
        <v>Publishing activities</v>
      </c>
      <c r="Y47" s="10">
        <v>67.945000000420762</v>
      </c>
      <c r="Z47" s="10">
        <v>72.559000001043998</v>
      </c>
      <c r="AA47" s="342">
        <f t="shared" si="8"/>
        <v>4.6140000006232356</v>
      </c>
      <c r="AB47" s="10">
        <v>33.898660466247577</v>
      </c>
      <c r="AC47" s="342">
        <f t="shared" si="9"/>
        <v>38.512660466870813</v>
      </c>
      <c r="AD47" s="343">
        <f t="shared" si="10"/>
        <v>2.7350018669417553E-2</v>
      </c>
    </row>
    <row r="48" spans="1:30" x14ac:dyDescent="0.2">
      <c r="A48" t="str">
        <f t="shared" si="20"/>
        <v>42 Secretarial and related occupations</v>
      </c>
      <c r="B48" s="11">
        <v>0.44453072540564342</v>
      </c>
      <c r="C48" s="11">
        <v>1.7372825402601948</v>
      </c>
      <c r="D48" s="11">
        <f t="shared" si="21"/>
        <v>1.2927518148545514</v>
      </c>
      <c r="E48" s="11">
        <v>0.74985394500678892</v>
      </c>
      <c r="F48" s="11">
        <f t="shared" si="22"/>
        <v>2.0426057598613401</v>
      </c>
      <c r="G48" s="200">
        <f t="shared" si="23"/>
        <v>6.8110445983757151E-2</v>
      </c>
      <c r="I48" s="11" t="str">
        <f t="shared" si="29"/>
        <v>Process, plant and machine operatives</v>
      </c>
      <c r="J48" s="11">
        <v>18.715624664305182</v>
      </c>
      <c r="K48" s="11">
        <v>29.71967096382545</v>
      </c>
      <c r="L48" s="11">
        <v>11.004046299520267</v>
      </c>
      <c r="M48" s="11">
        <v>17.32502219448714</v>
      </c>
      <c r="N48" s="11">
        <v>28.329068494007409</v>
      </c>
      <c r="P48" s="10" t="str">
        <f>name!D16</f>
        <v>42 Secretarial and related occupations</v>
      </c>
      <c r="Q48" s="11">
        <v>84.691014313465615</v>
      </c>
      <c r="R48" s="11">
        <v>72.901111113999704</v>
      </c>
      <c r="S48" s="342">
        <f t="shared" si="24"/>
        <v>-11.789903199465911</v>
      </c>
      <c r="T48" s="342">
        <v>45.814057629474789</v>
      </c>
      <c r="U48" s="342">
        <f t="shared" si="25"/>
        <v>34.024154430008878</v>
      </c>
      <c r="V48" s="343">
        <f t="shared" si="26"/>
        <v>2.9246353635213662E-2</v>
      </c>
      <c r="W48" s="343"/>
      <c r="X48" s="10" t="str">
        <f>name!A45</f>
        <v>Film and music</v>
      </c>
      <c r="Y48" s="10">
        <v>81.494000000554337</v>
      </c>
      <c r="Z48" s="10">
        <v>87.877000001053318</v>
      </c>
      <c r="AA48" s="342">
        <f t="shared" si="8"/>
        <v>6.3830000004989813</v>
      </c>
      <c r="AB48" s="10">
        <v>41.971920906623616</v>
      </c>
      <c r="AC48" s="342">
        <f t="shared" si="9"/>
        <v>48.354920907122597</v>
      </c>
      <c r="AD48" s="343">
        <f t="shared" si="10"/>
        <v>2.8082810140861447E-2</v>
      </c>
    </row>
    <row r="49" spans="1:30" x14ac:dyDescent="0.2">
      <c r="A49" t="str">
        <f t="shared" si="20"/>
        <v>51 Skilled agricultural and related trades</v>
      </c>
      <c r="B49" s="11">
        <v>0.12205349398198176</v>
      </c>
      <c r="C49" s="11">
        <v>0.30981897852320545</v>
      </c>
      <c r="D49" s="11">
        <f t="shared" si="21"/>
        <v>0.18776548454122369</v>
      </c>
      <c r="E49" s="11">
        <v>0.16264056711011368</v>
      </c>
      <c r="F49" s="11">
        <f t="shared" si="22"/>
        <v>0.35040605165133737</v>
      </c>
      <c r="G49" s="200">
        <f t="shared" si="23"/>
        <v>5.8088220310365202E-2</v>
      </c>
      <c r="I49" s="11" t="str">
        <f t="shared" si="29"/>
        <v>Elementary occupations</v>
      </c>
      <c r="J49" s="11">
        <v>69.477617954830237</v>
      </c>
      <c r="K49" s="11">
        <v>94.831935121358214</v>
      </c>
      <c r="L49" s="11">
        <v>25.354317166527984</v>
      </c>
      <c r="M49" s="11">
        <v>55.768482128506385</v>
      </c>
      <c r="N49" s="11">
        <v>81.122799295034383</v>
      </c>
      <c r="P49" s="10" t="str">
        <f>name!D17</f>
        <v>51 Skilled agricultural and related trades</v>
      </c>
      <c r="Q49" s="11">
        <v>5.6033761623175016</v>
      </c>
      <c r="R49" s="11">
        <v>9.8419648257619183</v>
      </c>
      <c r="S49" s="342">
        <f t="shared" si="24"/>
        <v>4.2385886634444168</v>
      </c>
      <c r="T49" s="342">
        <v>5.8792514748109701</v>
      </c>
      <c r="U49" s="342">
        <f t="shared" si="25"/>
        <v>10.117840138255387</v>
      </c>
      <c r="V49" s="343">
        <f>IF(Q49&gt;0,(1+(T49/Q49))^(1/($C$6-$B$6))-1,0)</f>
        <v>4.8993426953956254E-2</v>
      </c>
      <c r="W49" s="343"/>
      <c r="X49" s="10" t="str">
        <f>name!A46</f>
        <v>Broadcasting</v>
      </c>
      <c r="Y49" s="10">
        <v>28.211000000239803</v>
      </c>
      <c r="Z49" s="10">
        <v>29.959000000501529</v>
      </c>
      <c r="AA49" s="342">
        <f t="shared" si="8"/>
        <v>1.748000000261726</v>
      </c>
      <c r="AB49" s="10">
        <v>13.98221474537378</v>
      </c>
      <c r="AC49" s="342">
        <f t="shared" si="9"/>
        <v>15.730214745635505</v>
      </c>
      <c r="AD49" s="343">
        <f t="shared" si="10"/>
        <v>2.7199838248574082E-2</v>
      </c>
    </row>
    <row r="50" spans="1:30" x14ac:dyDescent="0.2">
      <c r="A50" t="str">
        <f t="shared" si="20"/>
        <v>52 Skilled metal, electrical and electronic trades</v>
      </c>
      <c r="B50" s="11">
        <v>0.49798199905233664</v>
      </c>
      <c r="C50" s="11">
        <v>1.3706826552262674</v>
      </c>
      <c r="D50" s="11">
        <f t="shared" si="21"/>
        <v>0.87270065617393078</v>
      </c>
      <c r="E50" s="11">
        <v>0.42875253069609665</v>
      </c>
      <c r="F50" s="11">
        <f>SUM(D50:E50)</f>
        <v>1.3014531868700274</v>
      </c>
      <c r="G50" s="200">
        <f t="shared" si="23"/>
        <v>4.2276101901163043E-2</v>
      </c>
      <c r="O50" s="70"/>
      <c r="P50" s="10" t="str">
        <f>name!D18</f>
        <v>52 Skilled metal, electrical and electronic trades</v>
      </c>
      <c r="Q50" s="11">
        <v>3.9329490025669611</v>
      </c>
      <c r="R50" s="11">
        <v>10.021761969600169</v>
      </c>
      <c r="S50" s="342">
        <f t="shared" si="24"/>
        <v>6.0888129670332081</v>
      </c>
      <c r="T50" s="342">
        <v>5.1727469721413204</v>
      </c>
      <c r="U50" s="342">
        <f t="shared" si="25"/>
        <v>11.261559939174528</v>
      </c>
      <c r="V50" s="343">
        <f t="shared" si="26"/>
        <v>5.7563179976092504E-2</v>
      </c>
      <c r="W50" s="343"/>
      <c r="X50" s="10" t="str">
        <f>name!A47</f>
        <v>Telecommunications</v>
      </c>
      <c r="Y50" s="10">
        <v>37.027000000171292</v>
      </c>
      <c r="Z50" s="10">
        <v>43.321000000408723</v>
      </c>
      <c r="AA50" s="342">
        <f t="shared" si="8"/>
        <v>6.2940000002374319</v>
      </c>
      <c r="AB50" s="10">
        <v>17.544012263708499</v>
      </c>
      <c r="AC50" s="342">
        <f t="shared" si="9"/>
        <v>23.838012263945931</v>
      </c>
      <c r="AD50" s="343">
        <f t="shared" si="10"/>
        <v>2.6194223311283071E-2</v>
      </c>
    </row>
    <row r="51" spans="1:30" x14ac:dyDescent="0.2">
      <c r="A51" t="str">
        <f t="shared" si="20"/>
        <v>53 Skilled construction and building trades</v>
      </c>
      <c r="B51" s="11">
        <v>0.10173336356650668</v>
      </c>
      <c r="C51" s="11">
        <v>0.35457828196227709</v>
      </c>
      <c r="D51" s="11">
        <f t="shared" ref="D51" si="30">C51-B51</f>
        <v>0.25284491839577039</v>
      </c>
      <c r="E51" s="11">
        <v>0.11364054625109256</v>
      </c>
      <c r="F51" s="11">
        <f>SUM(D51:E51)</f>
        <v>0.36648546464686294</v>
      </c>
      <c r="G51" s="200">
        <f t="shared" si="23"/>
        <v>5.1272520858114179E-2</v>
      </c>
      <c r="I51" s="86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5.3999581690327689</v>
      </c>
      <c r="R51" s="11">
        <v>8.629541632449321</v>
      </c>
      <c r="S51" s="342">
        <f t="shared" si="24"/>
        <v>3.2295834634165521</v>
      </c>
      <c r="T51" s="342">
        <v>4.0321135368574534</v>
      </c>
      <c r="U51" s="342">
        <f t="shared" si="25"/>
        <v>7.2616970002740056</v>
      </c>
      <c r="V51" s="343">
        <f t="shared" si="26"/>
        <v>3.7881521649629546E-2</v>
      </c>
      <c r="W51" s="343"/>
      <c r="X51" s="10" t="str">
        <f>name!A48</f>
        <v>Computing services</v>
      </c>
      <c r="Y51" s="10">
        <v>246.7330000020784</v>
      </c>
      <c r="Z51" s="10">
        <v>291.15400000363286</v>
      </c>
      <c r="AA51" s="342">
        <f t="shared" si="8"/>
        <v>44.421000001554461</v>
      </c>
      <c r="AB51" s="10">
        <v>120.47264702277388</v>
      </c>
      <c r="AC51" s="342">
        <f t="shared" si="9"/>
        <v>164.89364702432835</v>
      </c>
      <c r="AD51" s="343">
        <f t="shared" si="10"/>
        <v>2.6862137429925603E-2</v>
      </c>
    </row>
    <row r="52" spans="1:30" x14ac:dyDescent="0.2">
      <c r="A52" t="str">
        <f t="shared" si="20"/>
        <v>54 Textiles, printing and other skilled trades</v>
      </c>
      <c r="B52" s="11">
        <v>0.60383382270356178</v>
      </c>
      <c r="C52" s="11">
        <v>1.5551475053661803</v>
      </c>
      <c r="D52" s="11">
        <f t="shared" si="21"/>
        <v>0.95131368266261851</v>
      </c>
      <c r="E52" s="11">
        <v>0.55832911250035977</v>
      </c>
      <c r="F52" s="11">
        <f t="shared" si="22"/>
        <v>1.5096427951629783</v>
      </c>
      <c r="G52" s="200">
        <f t="shared" si="23"/>
        <v>4.4615917025728757E-2</v>
      </c>
      <c r="I52" s="11" t="str">
        <f>I41</f>
        <v>Managers, directors and senior officials</v>
      </c>
      <c r="J52" s="11">
        <f t="array" ref="J52:J60">MMULT(aggregation!$B$38:$AA$46,B123:B148)</f>
        <v>42.115625848022852</v>
      </c>
      <c r="K52" s="11">
        <f t="array" ref="K52:K60">MMULT(aggregation!$B$38:$AA$46,C123:C148)</f>
        <v>37.864508319459759</v>
      </c>
      <c r="L52" s="11">
        <f t="array" ref="L52:L60">MMULT(aggregation!$B$38:$AA$46,D123:D148)</f>
        <v>-4.2511175285630873</v>
      </c>
      <c r="M52" s="11">
        <f t="array" ref="M52:M60">MMULT(aggregation!$B$38:$AA$46,E123:E148)</f>
        <v>22.307775954028124</v>
      </c>
      <c r="N52" s="11">
        <f t="array" ref="N52:N60">MMULT(aggregation!$B$38:$AA$46,F123:F148)</f>
        <v>18.056658425465038</v>
      </c>
      <c r="P52" s="10" t="str">
        <f>name!D20</f>
        <v>54 Textiles, printing and other skilled trades</v>
      </c>
      <c r="Q52" s="11">
        <v>36.922821092312574</v>
      </c>
      <c r="R52" s="11">
        <v>38.764216131752939</v>
      </c>
      <c r="S52" s="342">
        <f t="shared" si="24"/>
        <v>1.8413950394403642</v>
      </c>
      <c r="T52" s="342">
        <v>22.424761904425488</v>
      </c>
      <c r="U52" s="342">
        <f t="shared" si="25"/>
        <v>24.266156943865852</v>
      </c>
      <c r="V52" s="343">
        <f t="shared" si="26"/>
        <v>3.2144598289616466E-2</v>
      </c>
      <c r="W52" s="343"/>
      <c r="X52" s="10" t="str">
        <f>name!A49</f>
        <v>Information services</v>
      </c>
      <c r="Y52" s="10">
        <v>48.977000000132996</v>
      </c>
      <c r="Z52" s="10">
        <v>58.77000000032811</v>
      </c>
      <c r="AA52" s="342">
        <f t="shared" si="8"/>
        <v>9.7930000001951143</v>
      </c>
      <c r="AB52" s="10">
        <v>25.721553916351127</v>
      </c>
      <c r="AC52" s="342">
        <f t="shared" si="9"/>
        <v>35.514553916546241</v>
      </c>
      <c r="AD52" s="343">
        <f t="shared" si="10"/>
        <v>2.8540351011803633E-2</v>
      </c>
    </row>
    <row r="53" spans="1:30" x14ac:dyDescent="0.2">
      <c r="A53" t="str">
        <f t="shared" si="20"/>
        <v>61 Caring personal service occupations</v>
      </c>
      <c r="B53" s="11">
        <v>0.55682983834151001</v>
      </c>
      <c r="C53" s="11">
        <v>1.9461590799294148</v>
      </c>
      <c r="D53" s="11">
        <f t="shared" si="21"/>
        <v>1.3893292415879048</v>
      </c>
      <c r="E53" s="11">
        <v>0.67094194267920459</v>
      </c>
      <c r="F53" s="11">
        <f t="shared" si="22"/>
        <v>2.0602711842671093</v>
      </c>
      <c r="G53" s="200">
        <f t="shared" si="23"/>
        <v>5.41271760754507E-2</v>
      </c>
      <c r="I53" s="11" t="str">
        <f>I42</f>
        <v>Professional occupations</v>
      </c>
      <c r="J53" s="11">
        <v>80.113506729351428</v>
      </c>
      <c r="K53" s="11">
        <v>46.322477717052067</v>
      </c>
      <c r="L53" s="11">
        <v>-33.791029012299362</v>
      </c>
      <c r="M53" s="11">
        <v>23.001538944431278</v>
      </c>
      <c r="N53" s="11">
        <v>-10.789490067868087</v>
      </c>
      <c r="P53" s="10" t="str">
        <f>name!D21</f>
        <v>61 Caring personal service occupations</v>
      </c>
      <c r="Q53" s="11">
        <v>190.1175312585149</v>
      </c>
      <c r="R53" s="11">
        <v>202.98332386679903</v>
      </c>
      <c r="S53" s="342">
        <f t="shared" si="24"/>
        <v>12.865792608284124</v>
      </c>
      <c r="T53" s="342">
        <v>113.99977388206639</v>
      </c>
      <c r="U53" s="342">
        <f t="shared" si="25"/>
        <v>126.86556649035052</v>
      </c>
      <c r="V53" s="343">
        <f t="shared" si="26"/>
        <v>3.1813639470656074E-2</v>
      </c>
      <c r="W53" s="343"/>
      <c r="X53" s="10" t="str">
        <f>name!A50</f>
        <v>Financial services</v>
      </c>
      <c r="Y53" s="10">
        <v>186.80000000071288</v>
      </c>
      <c r="Z53" s="10">
        <v>190.87100000226951</v>
      </c>
      <c r="AA53" s="342">
        <f t="shared" si="8"/>
        <v>4.0710000015566266</v>
      </c>
      <c r="AB53" s="10">
        <v>90.675040163198247</v>
      </c>
      <c r="AC53" s="342">
        <f t="shared" si="9"/>
        <v>94.746040164754874</v>
      </c>
      <c r="AD53" s="343">
        <f t="shared" si="10"/>
        <v>2.6730515903965246E-2</v>
      </c>
    </row>
    <row r="54" spans="1:30" x14ac:dyDescent="0.2">
      <c r="A54" t="str">
        <f t="shared" si="20"/>
        <v>62 Leisure, travel and related personal service occupations</v>
      </c>
      <c r="B54" s="11">
        <v>0.24865534597130201</v>
      </c>
      <c r="C54" s="11">
        <v>0.795256240447339</v>
      </c>
      <c r="D54" s="11">
        <f t="shared" ref="D54:D55" si="31">C54-B54</f>
        <v>0.54660089447603699</v>
      </c>
      <c r="E54" s="11">
        <v>0.27059208140044677</v>
      </c>
      <c r="F54" s="11">
        <f t="shared" ref="F54:F55" si="32">SUM(D54:E54)</f>
        <v>0.81719297587648376</v>
      </c>
      <c r="G54" s="200">
        <f t="shared" si="23"/>
        <v>5.0312264678346263E-2</v>
      </c>
      <c r="I54" s="11" t="str">
        <f>I43</f>
        <v>Associate professional occupations</v>
      </c>
      <c r="J54" s="11">
        <v>90.644068977774566</v>
      </c>
      <c r="K54" s="11">
        <v>76.961029343149164</v>
      </c>
      <c r="L54" s="11">
        <v>-13.683039634625418</v>
      </c>
      <c r="M54" s="11">
        <v>38.52389697563823</v>
      </c>
      <c r="N54" s="11">
        <v>24.840857341012814</v>
      </c>
      <c r="P54" s="10" t="str">
        <f>name!D22</f>
        <v>62 Leisure, travel and related personal service occupations</v>
      </c>
      <c r="Q54" s="11">
        <v>61.880894529990613</v>
      </c>
      <c r="R54" s="11">
        <v>69.491279827508109</v>
      </c>
      <c r="S54" s="342">
        <f t="shared" si="24"/>
        <v>7.6103852975174959</v>
      </c>
      <c r="T54" s="342">
        <v>37.404834957953859</v>
      </c>
      <c r="U54" s="342">
        <f t="shared" si="25"/>
        <v>45.015220255471355</v>
      </c>
      <c r="V54" s="343">
        <f t="shared" si="26"/>
        <v>3.2021353143865117E-2</v>
      </c>
      <c r="W54" s="343"/>
      <c r="X54" s="10" t="str">
        <f>name!A51</f>
        <v>Insurance and pensions</v>
      </c>
      <c r="Y54" s="10">
        <v>35.417000000017786</v>
      </c>
      <c r="Z54" s="10">
        <v>36.01200000024847</v>
      </c>
      <c r="AA54" s="342">
        <f t="shared" si="8"/>
        <v>0.59500000023068367</v>
      </c>
      <c r="AB54" s="10">
        <v>18.441787125279163</v>
      </c>
      <c r="AC54" s="342">
        <f t="shared" si="9"/>
        <v>19.036787125509846</v>
      </c>
      <c r="AD54" s="343">
        <f t="shared" si="10"/>
        <v>2.833903078940847E-2</v>
      </c>
    </row>
    <row r="55" spans="1:30" x14ac:dyDescent="0.2">
      <c r="A55" t="str">
        <f t="shared" si="20"/>
        <v>63 Community and civil enforcement occupations</v>
      </c>
      <c r="B55" s="11">
        <v>2.6119991039928053E-2</v>
      </c>
      <c r="C55" s="11">
        <v>6.4602842964114171E-2</v>
      </c>
      <c r="D55" s="11">
        <f t="shared" si="31"/>
        <v>3.8482851924186115E-2</v>
      </c>
      <c r="E55" s="11">
        <v>2.4899843402416792E-2</v>
      </c>
      <c r="F55" s="11">
        <f t="shared" si="32"/>
        <v>6.33826953266029E-2</v>
      </c>
      <c r="G55" s="200">
        <f t="shared" si="23"/>
        <v>4.5645328192867041E-2</v>
      </c>
      <c r="I55" s="11" t="str">
        <f>I44</f>
        <v>Administrative and secretarial occupations</v>
      </c>
      <c r="J55" s="11">
        <v>43.53943943259663</v>
      </c>
      <c r="K55" s="11">
        <v>41.540282179394254</v>
      </c>
      <c r="L55" s="11">
        <v>-1.9991572532023802</v>
      </c>
      <c r="M55" s="11">
        <v>25.418180647428475</v>
      </c>
      <c r="N55" s="11">
        <v>23.419023394226095</v>
      </c>
      <c r="P55" s="10" t="str">
        <f>name!D23</f>
        <v>63 Community and civil enforcement occupations</v>
      </c>
      <c r="Q55" s="11">
        <v>1.6232016209666802</v>
      </c>
      <c r="R55" s="11">
        <v>2.1665531938305342</v>
      </c>
      <c r="S55" s="342">
        <f t="shared" si="24"/>
        <v>0.54335157286385405</v>
      </c>
      <c r="T55" s="342">
        <v>1.4471236879398794</v>
      </c>
      <c r="U55" s="342">
        <f t="shared" si="25"/>
        <v>1.9904752608037335</v>
      </c>
      <c r="V55" s="343">
        <f t="shared" si="26"/>
        <v>4.3407918570242954E-2</v>
      </c>
      <c r="W55" s="343"/>
      <c r="X55" s="10" t="str">
        <f>name!A52</f>
        <v>Auxiliary financial services</v>
      </c>
      <c r="Y55" s="10">
        <v>181.66800000108714</v>
      </c>
      <c r="Z55" s="10">
        <v>188.04100000277595</v>
      </c>
      <c r="AA55" s="342">
        <f t="shared" si="8"/>
        <v>6.3730000016888084</v>
      </c>
      <c r="AB55" s="10">
        <v>89.147198948678792</v>
      </c>
      <c r="AC55" s="342">
        <f t="shared" si="9"/>
        <v>95.5201989503676</v>
      </c>
      <c r="AD55" s="343">
        <f t="shared" si="10"/>
        <v>2.6974452388478065E-2</v>
      </c>
    </row>
    <row r="56" spans="1:30" x14ac:dyDescent="0.2">
      <c r="A56" t="str">
        <f t="shared" si="20"/>
        <v>71 Sales occupations</v>
      </c>
      <c r="B56" s="11">
        <v>1.4952514878618666</v>
      </c>
      <c r="C56" s="11">
        <v>3.6606291966635616</v>
      </c>
      <c r="D56" s="11">
        <f t="shared" si="21"/>
        <v>2.165377708801695</v>
      </c>
      <c r="E56" s="11">
        <v>1.1659376087425262</v>
      </c>
      <c r="F56" s="11">
        <f t="shared" si="22"/>
        <v>3.3313153175442212</v>
      </c>
      <c r="G56" s="200">
        <f t="shared" si="23"/>
        <v>3.9179967471632215E-2</v>
      </c>
      <c r="I56" s="11" t="str">
        <f t="shared" ref="I56:I60" si="33">I45</f>
        <v>Skilled trades occupations</v>
      </c>
      <c r="J56" s="11">
        <v>16.773797555047818</v>
      </c>
      <c r="K56" s="11">
        <v>23.614972235974747</v>
      </c>
      <c r="L56" s="11">
        <v>6.8411746809269305</v>
      </c>
      <c r="M56" s="11">
        <v>12.277626766354004</v>
      </c>
      <c r="N56" s="11">
        <v>19.118801447280934</v>
      </c>
      <c r="P56" s="10" t="str">
        <f>name!D24</f>
        <v>71 Sales occupations</v>
      </c>
      <c r="Q56" s="11">
        <v>138.60964347482704</v>
      </c>
      <c r="R56" s="11">
        <v>114.75958761810087</v>
      </c>
      <c r="S56" s="342">
        <f t="shared" si="24"/>
        <v>-23.850055856726172</v>
      </c>
      <c r="T56" s="342">
        <v>68.331261369265548</v>
      </c>
      <c r="U56" s="342">
        <f t="shared" si="25"/>
        <v>44.481205512539375</v>
      </c>
      <c r="V56" s="343">
        <f t="shared" si="26"/>
        <v>2.7078235895451108E-2</v>
      </c>
      <c r="W56" s="343"/>
      <c r="X56" s="10" t="str">
        <f>name!A53</f>
        <v>Real estate</v>
      </c>
      <c r="Y56" s="10">
        <v>160.77699999999172</v>
      </c>
      <c r="Z56" s="10">
        <v>160.82000000072313</v>
      </c>
      <c r="AA56" s="342">
        <f t="shared" si="8"/>
        <v>4.3000000731410637E-2</v>
      </c>
      <c r="AB56" s="10">
        <v>77.168045839080008</v>
      </c>
      <c r="AC56" s="342">
        <f t="shared" si="9"/>
        <v>77.211045839811419</v>
      </c>
      <c r="AD56" s="343">
        <f t="shared" si="10"/>
        <v>2.6479269927739635E-2</v>
      </c>
    </row>
    <row r="57" spans="1:30" x14ac:dyDescent="0.2">
      <c r="A57" t="str">
        <f t="shared" si="20"/>
        <v>72 Customer service occupations</v>
      </c>
      <c r="B57" s="11">
        <v>0.65163369722838194</v>
      </c>
      <c r="C57" s="11">
        <v>2.3206339360349379</v>
      </c>
      <c r="D57" s="11">
        <f t="shared" si="21"/>
        <v>1.6690002388065559</v>
      </c>
      <c r="E57" s="11">
        <v>0.74083863080072121</v>
      </c>
      <c r="F57" s="11">
        <f t="shared" si="22"/>
        <v>2.409838869607277</v>
      </c>
      <c r="G57" s="200">
        <f t="shared" si="23"/>
        <v>5.1926839081622767E-2</v>
      </c>
      <c r="I57" s="11" t="str">
        <f t="shared" si="33"/>
        <v>Caring, leisure and other service occupations</v>
      </c>
      <c r="J57" s="11">
        <v>45.89129912202327</v>
      </c>
      <c r="K57" s="11">
        <v>45.720596212862915</v>
      </c>
      <c r="L57" s="11">
        <v>-0.17070290916034847</v>
      </c>
      <c r="M57" s="11">
        <v>28.120568490583587</v>
      </c>
      <c r="N57" s="11">
        <v>27.949865581423239</v>
      </c>
      <c r="P57" s="10" t="str">
        <f>name!D25</f>
        <v>72 Customer service occupations</v>
      </c>
      <c r="Q57" s="11">
        <v>53.643377840271313</v>
      </c>
      <c r="R57" s="11">
        <v>70.949652059567171</v>
      </c>
      <c r="S57" s="342">
        <f t="shared" si="24"/>
        <v>17.306274219295858</v>
      </c>
      <c r="T57" s="342">
        <v>35.450338004975308</v>
      </c>
      <c r="U57" s="342">
        <f t="shared" si="25"/>
        <v>52.756612224271166</v>
      </c>
      <c r="V57" s="343">
        <f t="shared" si="26"/>
        <v>3.440052042595898E-2</v>
      </c>
      <c r="W57" s="343"/>
      <c r="X57" s="10" t="str">
        <f>name!A54</f>
        <v>Legal and accounting</v>
      </c>
      <c r="Y57" s="10">
        <v>230.16200000230853</v>
      </c>
      <c r="Z57" s="10">
        <v>258.22600000393476</v>
      </c>
      <c r="AA57" s="342">
        <f t="shared" si="8"/>
        <v>28.064000001626226</v>
      </c>
      <c r="AB57" s="10">
        <v>123.69631103567879</v>
      </c>
      <c r="AC57" s="342">
        <f t="shared" si="9"/>
        <v>151.76031103730503</v>
      </c>
      <c r="AD57" s="343">
        <f t="shared" si="10"/>
        <v>2.9089274431650214E-2</v>
      </c>
    </row>
    <row r="58" spans="1:30" x14ac:dyDescent="0.2">
      <c r="A58" t="str">
        <f t="shared" si="20"/>
        <v>81 Process, plant and machine operatives</v>
      </c>
      <c r="B58" s="11">
        <v>0.23025170249878016</v>
      </c>
      <c r="C58" s="11">
        <v>1.0715008994232826</v>
      </c>
      <c r="D58" s="11">
        <f t="shared" ref="D58:D59" si="34">C58-B58</f>
        <v>0.84124919692450251</v>
      </c>
      <c r="E58" s="11">
        <v>0.30165424194164081</v>
      </c>
      <c r="F58" s="11">
        <f t="shared" ref="F58:F59" si="35">SUM(D58:E58)</f>
        <v>1.1429034388661434</v>
      </c>
      <c r="G58" s="200">
        <f t="shared" si="23"/>
        <v>5.740688271082961E-2</v>
      </c>
      <c r="I58" s="11" t="str">
        <f t="shared" si="33"/>
        <v>Sales and customer service occupations</v>
      </c>
      <c r="J58" s="11">
        <v>22.700218416006305</v>
      </c>
      <c r="K58" s="11">
        <v>26.632557400485716</v>
      </c>
      <c r="L58" s="11">
        <v>3.9323389844794088</v>
      </c>
      <c r="M58" s="11">
        <v>13.720470544045856</v>
      </c>
      <c r="N58" s="11">
        <v>17.652809528525264</v>
      </c>
      <c r="P58" s="10" t="str">
        <f>name!D26</f>
        <v>81 Process, plant and machine operatives</v>
      </c>
      <c r="Q58" s="11">
        <v>8.2676979448513812</v>
      </c>
      <c r="R58" s="11">
        <v>12.698200836900941</v>
      </c>
      <c r="S58" s="342">
        <f t="shared" si="24"/>
        <v>4.4305028920495602</v>
      </c>
      <c r="T58" s="342">
        <v>5.7254115879685985</v>
      </c>
      <c r="U58" s="342">
        <f t="shared" si="25"/>
        <v>10.155914480018158</v>
      </c>
      <c r="V58" s="343">
        <f t="shared" si="26"/>
        <v>3.5703177872451919E-2</v>
      </c>
      <c r="W58" s="343"/>
      <c r="X58" s="10" t="str">
        <f>name!A55</f>
        <v>Head offices, etc</v>
      </c>
      <c r="Y58" s="10">
        <v>243.30800000238855</v>
      </c>
      <c r="Z58" s="10">
        <v>267.85300000378817</v>
      </c>
      <c r="AA58" s="342">
        <f t="shared" si="8"/>
        <v>24.545000001399615</v>
      </c>
      <c r="AB58" s="10">
        <v>126.70357973829066</v>
      </c>
      <c r="AC58" s="342">
        <f t="shared" si="9"/>
        <v>151.24857973969029</v>
      </c>
      <c r="AD58" s="343">
        <f t="shared" si="10"/>
        <v>2.8341261192164291E-2</v>
      </c>
    </row>
    <row r="59" spans="1:30" x14ac:dyDescent="0.2">
      <c r="A59" t="str">
        <f t="shared" si="20"/>
        <v>82 Transport and mobile machine drivers and operatives</v>
      </c>
      <c r="B59" s="11">
        <v>1.2796729045970716</v>
      </c>
      <c r="C59" s="11">
        <v>5.1530282224253554</v>
      </c>
      <c r="D59" s="11">
        <f t="shared" si="34"/>
        <v>3.8733553178282838</v>
      </c>
      <c r="E59" s="11">
        <v>2.1389512467642455</v>
      </c>
      <c r="F59" s="11">
        <f t="shared" si="35"/>
        <v>6.0123065645925298</v>
      </c>
      <c r="G59" s="200">
        <f t="shared" si="23"/>
        <v>6.7702252150784625E-2</v>
      </c>
      <c r="I59" s="11" t="str">
        <f t="shared" si="33"/>
        <v>Process, plant and machine operatives</v>
      </c>
      <c r="J59" s="11">
        <v>8.951356274523965</v>
      </c>
      <c r="K59" s="11">
        <v>14.371718344730013</v>
      </c>
      <c r="L59" s="11">
        <v>5.420362070206048</v>
      </c>
      <c r="M59" s="11">
        <v>8.2842895776829071</v>
      </c>
      <c r="N59" s="11">
        <v>13.704651647888955</v>
      </c>
      <c r="P59" s="10" t="str">
        <f>name!D27</f>
        <v>82 Transport and mobile machine drivers and operatives</v>
      </c>
      <c r="Q59" s="11">
        <v>11.529032969608407</v>
      </c>
      <c r="R59" s="11">
        <v>18.951751213626267</v>
      </c>
      <c r="S59" s="342">
        <f t="shared" si="24"/>
        <v>7.4227182440178598</v>
      </c>
      <c r="T59" s="342">
        <v>10.254313380728719</v>
      </c>
      <c r="U59" s="342">
        <f t="shared" si="25"/>
        <v>17.677031624746579</v>
      </c>
      <c r="V59" s="343">
        <f t="shared" si="26"/>
        <v>4.333100675490198E-2</v>
      </c>
      <c r="W59" s="343"/>
      <c r="X59" s="10" t="str">
        <f>name!A56</f>
        <v>Architectural and related</v>
      </c>
      <c r="Y59" s="10">
        <v>110.31700000145665</v>
      </c>
      <c r="Z59" s="10">
        <v>110.78200000205013</v>
      </c>
      <c r="AA59" s="342">
        <f t="shared" si="8"/>
        <v>0.46500000059347713</v>
      </c>
      <c r="AB59" s="10">
        <v>51.115084775315168</v>
      </c>
      <c r="AC59" s="342">
        <f t="shared" si="9"/>
        <v>51.580084775908645</v>
      </c>
      <c r="AD59" s="343">
        <f t="shared" si="10"/>
        <v>2.5706625499078539E-2</v>
      </c>
    </row>
    <row r="60" spans="1:30" x14ac:dyDescent="0.2">
      <c r="A60" t="str">
        <f t="shared" si="20"/>
        <v>91 Elementary trades and related occupations</v>
      </c>
      <c r="B60" s="11">
        <v>4.6962381754077501E-3</v>
      </c>
      <c r="C60" s="11">
        <v>1.3872590217150479E-2</v>
      </c>
      <c r="D60" s="11">
        <f t="shared" si="21"/>
        <v>9.1763520417427295E-3</v>
      </c>
      <c r="E60" s="11">
        <v>4.1831110567239309E-3</v>
      </c>
      <c r="F60" s="11">
        <f>SUM(D60:E60)</f>
        <v>1.335946309846666E-2</v>
      </c>
      <c r="G60" s="200">
        <f t="shared" si="23"/>
        <v>4.3378944089747851E-2</v>
      </c>
      <c r="I60" s="11" t="str">
        <f t="shared" si="33"/>
        <v>Elementary occupations</v>
      </c>
      <c r="J60" s="11">
        <v>31.625112304151155</v>
      </c>
      <c r="K60" s="11">
        <v>41.682190437967193</v>
      </c>
      <c r="L60" s="11">
        <v>10.057078133816034</v>
      </c>
      <c r="M60" s="11">
        <v>23.772714317385681</v>
      </c>
      <c r="N60" s="11">
        <v>33.829792451201719</v>
      </c>
      <c r="P60" s="10" t="str">
        <f>name!D28</f>
        <v>91 Elementary trades and related occupations</v>
      </c>
      <c r="Q60" s="11">
        <v>6.2739035382570671</v>
      </c>
      <c r="R60" s="11">
        <v>5.8205856090380488</v>
      </c>
      <c r="S60" s="342">
        <f t="shared" si="24"/>
        <v>-0.45331792921901837</v>
      </c>
      <c r="T60" s="342">
        <v>3.5968829357289147</v>
      </c>
      <c r="U60" s="342">
        <f t="shared" si="25"/>
        <v>3.1435650065098963</v>
      </c>
      <c r="V60" s="343">
        <f t="shared" si="26"/>
        <v>3.0673068355467015E-2</v>
      </c>
      <c r="W60" s="343"/>
      <c r="X60" s="10" t="str">
        <f>name!A57</f>
        <v>Scientific research and development</v>
      </c>
      <c r="Y60" s="10">
        <v>23.789000000572649</v>
      </c>
      <c r="Z60" s="10">
        <v>28.831000000553779</v>
      </c>
      <c r="AA60" s="342">
        <f t="shared" si="8"/>
        <v>5.0419999999811296</v>
      </c>
      <c r="AB60" s="10">
        <v>12.92983041470309</v>
      </c>
      <c r="AC60" s="342">
        <f t="shared" si="9"/>
        <v>17.97183041468422</v>
      </c>
      <c r="AD60" s="343">
        <f t="shared" si="10"/>
        <v>2.936052678561496E-2</v>
      </c>
    </row>
    <row r="61" spans="1:30" x14ac:dyDescent="0.2">
      <c r="A61" t="str">
        <f t="shared" si="20"/>
        <v>92 Elementary administration and service occupations</v>
      </c>
      <c r="B61" s="11">
        <v>0.74098137430138933</v>
      </c>
      <c r="C61" s="11">
        <v>2.0608225740465476</v>
      </c>
      <c r="D61" s="11">
        <f t="shared" ref="D61" si="36">C61-B61</f>
        <v>1.3198411997451582</v>
      </c>
      <c r="E61" s="11">
        <v>0.82032995467785541</v>
      </c>
      <c r="F61" s="11">
        <f t="shared" ref="F61" si="37">SUM(D61:E61)</f>
        <v>2.1401711544230135</v>
      </c>
      <c r="G61" s="200">
        <f t="shared" ref="G61" si="38">IF(B61&gt;0,(1+(E61/B61))^(1/($C$6-$B$6))-1,0)</f>
        <v>5.0942159816002253E-2</v>
      </c>
      <c r="P61" s="10" t="str">
        <f>name!D29</f>
        <v>92 Elementary administration and service occupations</v>
      </c>
      <c r="Q61" s="11">
        <v>243.98320036302303</v>
      </c>
      <c r="R61" s="11">
        <v>244.05380363711831</v>
      </c>
      <c r="S61" s="342">
        <f t="shared" ref="S61" si="39">R61-Q61</f>
        <v>7.0603274095276447E-2</v>
      </c>
      <c r="T61" s="342">
        <v>145.43695539226454</v>
      </c>
      <c r="U61" s="342">
        <f t="shared" ref="U61" si="40">SUM(S61:T61)</f>
        <v>145.50755866635981</v>
      </c>
      <c r="V61" s="343">
        <f t="shared" ref="V61" si="41">IF(Q61&gt;0,(1+(T61/Q61))^(1/($C$6-$B$6))-1,0)</f>
        <v>3.1661523386227852E-2</v>
      </c>
      <c r="W61" s="11"/>
      <c r="X61" s="10" t="str">
        <f>name!A58</f>
        <v>Advertising, etc</v>
      </c>
      <c r="Y61" s="10">
        <v>112.83300000104789</v>
      </c>
      <c r="Z61" s="10">
        <v>136.5150000020198</v>
      </c>
      <c r="AA61" s="342">
        <f t="shared" si="8"/>
        <v>23.682000000971911</v>
      </c>
      <c r="AB61" s="10">
        <v>65.522005108990157</v>
      </c>
      <c r="AC61" s="342">
        <f t="shared" si="9"/>
        <v>89.204005109962068</v>
      </c>
      <c r="AD61" s="343">
        <f t="shared" si="10"/>
        <v>3.0995123369452759E-2</v>
      </c>
    </row>
    <row r="62" spans="1:30" x14ac:dyDescent="0.2">
      <c r="A62" t="str">
        <f t="shared" si="20"/>
        <v>All occupations</v>
      </c>
      <c r="B62" s="11">
        <f>SUM(B36:B61)</f>
        <v>161.65072151993158</v>
      </c>
      <c r="C62" s="11">
        <f t="shared" ref="C62:F62" si="42">SUM(C36:C61)</f>
        <v>331.30684385995266</v>
      </c>
      <c r="D62" s="11">
        <f t="shared" si="42"/>
        <v>169.65612234002108</v>
      </c>
      <c r="E62" s="11">
        <f t="shared" si="42"/>
        <v>122.15071578085211</v>
      </c>
      <c r="F62" s="11">
        <f t="shared" si="42"/>
        <v>291.80683812087318</v>
      </c>
      <c r="G62" s="200">
        <f t="shared" si="23"/>
        <v>3.8235312924936649E-2</v>
      </c>
      <c r="I62" s="86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2824.1509999973246</v>
      </c>
      <c r="R62" s="11">
        <f>SUM(R36:R61)</f>
        <v>3074.1269999989736</v>
      </c>
      <c r="S62" s="342">
        <f>R62-Q62</f>
        <v>249.97600000164903</v>
      </c>
      <c r="T62" s="11">
        <f>SUM(T36:T61)</f>
        <v>1673.8633513007935</v>
      </c>
      <c r="U62" s="342">
        <f>SUM(S62:T62)</f>
        <v>1923.8393513024425</v>
      </c>
      <c r="V62" s="343">
        <f>IF(Q62&gt;0,(1+(T62/Q62))^(1/($C$6-$B$6))-1,0)</f>
        <v>3.151495360809009E-2</v>
      </c>
      <c r="X62" s="10" t="str">
        <f>name!A59</f>
        <v>Other professional</v>
      </c>
      <c r="Y62" s="10">
        <v>53.562000000551855</v>
      </c>
      <c r="Z62" s="10">
        <v>64.8220000011937</v>
      </c>
      <c r="AA62" s="342">
        <f t="shared" si="8"/>
        <v>11.260000000641845</v>
      </c>
      <c r="AB62" s="10">
        <v>29.541265990869974</v>
      </c>
      <c r="AC62" s="342">
        <f t="shared" si="9"/>
        <v>40.801265991511819</v>
      </c>
      <c r="AD62" s="343">
        <f t="shared" si="10"/>
        <v>2.971590393456558E-2</v>
      </c>
    </row>
    <row r="63" spans="1:30" x14ac:dyDescent="0.2">
      <c r="I63" s="11" t="str">
        <f>I52</f>
        <v>Managers, directors and senior officials</v>
      </c>
      <c r="J63" s="11">
        <f t="array" ref="J63:J71">MMULT(aggregation!$B$38:$AA$46,B152:B177)</f>
        <v>63.241607182959541</v>
      </c>
      <c r="K63" s="11">
        <f t="array" ref="K63:K71">MMULT(aggregation!$B$38:$AA$46,C152:C177)</f>
        <v>55.489340687675018</v>
      </c>
      <c r="L63" s="11">
        <f t="array" ref="L63:L71">MMULT(aggregation!$B$38:$AA$46,D152:D177)</f>
        <v>-7.7522664952845268</v>
      </c>
      <c r="M63" s="11">
        <f t="array" ref="M63:M71">MMULT(aggregation!$B$38:$AA$46,E152:E177)</f>
        <v>33.425811312976592</v>
      </c>
      <c r="N63" s="11">
        <f t="array" ref="N63:N71">MMULT(aggregation!$B$38:$AA$46,F152:F177)</f>
        <v>25.673544817692068</v>
      </c>
      <c r="P63" s="23"/>
      <c r="Q63" s="33"/>
      <c r="R63" s="33"/>
      <c r="S63" s="33"/>
      <c r="T63" s="33"/>
      <c r="U63" s="33"/>
      <c r="V63" s="33"/>
      <c r="X63" s="10" t="str">
        <f>name!A60</f>
        <v>Veterinary</v>
      </c>
      <c r="Y63" s="10">
        <v>3.9940000000761593</v>
      </c>
      <c r="Z63" s="10">
        <v>4.8810000000311522</v>
      </c>
      <c r="AA63" s="342">
        <f t="shared" si="8"/>
        <v>0.8869999999549929</v>
      </c>
      <c r="AB63" s="10">
        <v>2.5061312991517886</v>
      </c>
      <c r="AC63" s="342">
        <f t="shared" si="9"/>
        <v>3.3931312991067815</v>
      </c>
      <c r="AD63" s="343">
        <f t="shared" si="10"/>
        <v>3.3001466138187219E-2</v>
      </c>
    </row>
    <row r="64" spans="1:30" ht="38.25" x14ac:dyDescent="0.2">
      <c r="A64" s="201" t="str">
        <f>CONCATENATE(name!F5," (Constrained)")</f>
        <v>RQF7 Other higher degree (Constrained)</v>
      </c>
      <c r="B64" s="74">
        <f t="shared" ref="B64:G64" si="43">B6</f>
        <v>2020</v>
      </c>
      <c r="C64" s="74">
        <f t="shared" si="43"/>
        <v>2035</v>
      </c>
      <c r="D64" s="87" t="str">
        <f t="shared" si="43"/>
        <v>Net Change</v>
      </c>
      <c r="E64" s="87" t="str">
        <f t="shared" si="43"/>
        <v>Replacement Demand level</v>
      </c>
      <c r="F64" s="87" t="str">
        <f t="shared" si="43"/>
        <v>Total Requirement</v>
      </c>
      <c r="G64" s="87" t="str">
        <f t="shared" si="43"/>
        <v>Replacement Demand rate</v>
      </c>
      <c r="I64" s="11" t="str">
        <f>I53</f>
        <v>Professional occupations</v>
      </c>
      <c r="J64" s="11">
        <v>86.078943021841781</v>
      </c>
      <c r="K64" s="11">
        <v>69.21266238900877</v>
      </c>
      <c r="L64" s="11">
        <v>-16.866280632833011</v>
      </c>
      <c r="M64" s="11">
        <v>36.859599412823592</v>
      </c>
      <c r="N64" s="11">
        <v>19.993318779990581</v>
      </c>
      <c r="P64" s="11"/>
      <c r="Q64" s="11"/>
      <c r="R64" s="11"/>
      <c r="S64" s="11"/>
      <c r="T64" s="11"/>
      <c r="U64" s="11"/>
      <c r="X64" s="10" t="str">
        <f>name!A61</f>
        <v>Rental and leasing</v>
      </c>
      <c r="Y64" s="10">
        <v>23.362999999974928</v>
      </c>
      <c r="Z64" s="10">
        <v>25.836000000084422</v>
      </c>
      <c r="AA64" s="342">
        <f t="shared" si="8"/>
        <v>2.4730000001094936</v>
      </c>
      <c r="AB64" s="10">
        <v>11.336720268378819</v>
      </c>
      <c r="AC64" s="342">
        <f t="shared" si="9"/>
        <v>13.809720268488313</v>
      </c>
      <c r="AD64" s="343">
        <f t="shared" si="10"/>
        <v>2.672268493228902E-2</v>
      </c>
    </row>
    <row r="65" spans="1:30" x14ac:dyDescent="0.2">
      <c r="A65" t="str">
        <f t="shared" ref="A65:A91" si="44">A7</f>
        <v>11 Corporate managers and directors</v>
      </c>
      <c r="B65" s="11">
        <v>123.13672140516366</v>
      </c>
      <c r="C65" s="11">
        <v>244.73622289944947</v>
      </c>
      <c r="D65" s="11">
        <f>C65-B65</f>
        <v>121.59950149428582</v>
      </c>
      <c r="E65" s="11">
        <v>95.754075611336248</v>
      </c>
      <c r="F65" s="11">
        <f>SUM(D65:E65)</f>
        <v>217.35357710562207</v>
      </c>
      <c r="G65" s="200">
        <f>IF(B65&gt;0,(1+(E65/B65))^(1/($C$6-$B$6))-1,0)</f>
        <v>3.9096769052024749E-2</v>
      </c>
      <c r="I65" s="11" t="str">
        <f>I54</f>
        <v>Associate professional occupations</v>
      </c>
      <c r="J65" s="11">
        <v>73.074079160677158</v>
      </c>
      <c r="K65" s="11">
        <v>56.253341136562945</v>
      </c>
      <c r="L65" s="11">
        <v>-16.820738024114213</v>
      </c>
      <c r="M65" s="11">
        <v>29.10491018122368</v>
      </c>
      <c r="N65" s="11">
        <v>12.284172157109467</v>
      </c>
      <c r="P65" s="11"/>
      <c r="Q65" s="11"/>
      <c r="R65" s="11"/>
      <c r="S65" s="11"/>
      <c r="T65" s="11"/>
      <c r="U65" s="11"/>
      <c r="X65" s="10" t="str">
        <f>name!A62</f>
        <v>Employment activities</v>
      </c>
      <c r="Y65" s="10">
        <v>185.01499999890569</v>
      </c>
      <c r="Z65" s="10">
        <v>204.23899999907673</v>
      </c>
      <c r="AA65" s="342">
        <f t="shared" si="8"/>
        <v>19.224000000171031</v>
      </c>
      <c r="AB65" s="10">
        <v>91.755567135080824</v>
      </c>
      <c r="AC65" s="342">
        <f t="shared" si="9"/>
        <v>110.97956713525186</v>
      </c>
      <c r="AD65" s="343">
        <f t="shared" si="10"/>
        <v>2.7213844921665453E-2</v>
      </c>
    </row>
    <row r="66" spans="1:30" x14ac:dyDescent="0.2">
      <c r="A66" t="str">
        <f t="shared" si="44"/>
        <v>12 Other managers and proprietors</v>
      </c>
      <c r="B66" s="11">
        <v>41.193734284885188</v>
      </c>
      <c r="C66" s="11">
        <v>117.20682725354901</v>
      </c>
      <c r="D66" s="11">
        <f t="shared" ref="D66:D89" si="45">C66-B66</f>
        <v>76.013092968663813</v>
      </c>
      <c r="E66" s="11">
        <v>47.724915919390249</v>
      </c>
      <c r="F66" s="11">
        <f t="shared" ref="F66:F89" si="46">SUM(D66:E66)</f>
        <v>123.73800888805405</v>
      </c>
      <c r="G66" s="200">
        <f t="shared" ref="G66:G91" si="47">IF(B66&gt;0,(1+(E66/B66))^(1/($C$6-$B$6))-1,0)</f>
        <v>5.2634128350628195E-2</v>
      </c>
      <c r="I66" s="11" t="str">
        <f>I55</f>
        <v>Administrative and secretarial occupations</v>
      </c>
      <c r="J66" s="11">
        <v>40.534680271819134</v>
      </c>
      <c r="K66" s="11">
        <v>33.574518088790455</v>
      </c>
      <c r="L66" s="11">
        <v>-6.9601621830286771</v>
      </c>
      <c r="M66" s="11">
        <v>20.85095994156131</v>
      </c>
      <c r="N66" s="11">
        <v>13.890797758532633</v>
      </c>
      <c r="P66" s="11"/>
      <c r="Q66" s="11"/>
      <c r="R66" s="11"/>
      <c r="S66" s="11"/>
      <c r="T66" s="11"/>
      <c r="U66" s="11"/>
      <c r="X66" s="10" t="str">
        <f>name!A63</f>
        <v>Travel, etc</v>
      </c>
      <c r="Y66" s="10">
        <v>24.935999999574186</v>
      </c>
      <c r="Z66" s="10">
        <v>27.642999999516157</v>
      </c>
      <c r="AA66" s="342">
        <f t="shared" si="8"/>
        <v>2.7069999999419707</v>
      </c>
      <c r="AB66" s="10">
        <v>12.000083087576339</v>
      </c>
      <c r="AC66" s="342">
        <f t="shared" si="9"/>
        <v>14.70708308751831</v>
      </c>
      <c r="AD66" s="343">
        <f t="shared" si="10"/>
        <v>2.653777795438228E-2</v>
      </c>
    </row>
    <row r="67" spans="1:30" x14ac:dyDescent="0.2">
      <c r="A67" t="str">
        <f t="shared" si="44"/>
        <v>21 Science, research, engineering and technology professionals</v>
      </c>
      <c r="B67" s="11">
        <v>135.15460440212206</v>
      </c>
      <c r="C67" s="11">
        <v>279.58079733615909</v>
      </c>
      <c r="D67" s="11">
        <f t="shared" si="45"/>
        <v>144.42619293403703</v>
      </c>
      <c r="E67" s="11">
        <v>84.913601155477892</v>
      </c>
      <c r="F67" s="11">
        <f t="shared" si="46"/>
        <v>229.33979408951492</v>
      </c>
      <c r="G67" s="200">
        <f t="shared" si="47"/>
        <v>3.3035145360595042E-2</v>
      </c>
      <c r="I67" s="11" t="str">
        <f t="shared" ref="I67:I71" si="48">I56</f>
        <v>Skilled trades occupations</v>
      </c>
      <c r="J67" s="11">
        <v>30.944809011529223</v>
      </c>
      <c r="K67" s="11">
        <v>46.858703202669105</v>
      </c>
      <c r="L67" s="11">
        <v>15.913894191139885</v>
      </c>
      <c r="M67" s="11">
        <v>21.741622147363358</v>
      </c>
      <c r="N67" s="11">
        <v>37.655516338503247</v>
      </c>
      <c r="P67" s="11"/>
      <c r="Q67" s="11"/>
      <c r="R67" s="11"/>
      <c r="S67" s="11"/>
      <c r="T67" s="11"/>
      <c r="U67" s="11"/>
      <c r="X67" s="10" t="str">
        <f>name!A64</f>
        <v>Security, etc</v>
      </c>
      <c r="Y67" s="10">
        <v>51.156999999821963</v>
      </c>
      <c r="Z67" s="10">
        <v>56.728999999729623</v>
      </c>
      <c r="AA67" s="342">
        <f t="shared" si="8"/>
        <v>5.5719999999076606</v>
      </c>
      <c r="AB67" s="10">
        <v>23.993270094043481</v>
      </c>
      <c r="AC67" s="342">
        <f t="shared" si="9"/>
        <v>29.565270093951142</v>
      </c>
      <c r="AD67" s="343">
        <f t="shared" si="10"/>
        <v>2.5970873887775969E-2</v>
      </c>
    </row>
    <row r="68" spans="1:30" x14ac:dyDescent="0.2">
      <c r="A68" t="str">
        <f t="shared" si="44"/>
        <v>22 Health professionals</v>
      </c>
      <c r="B68" s="11">
        <v>78.394938683136601</v>
      </c>
      <c r="C68" s="11">
        <v>139.09631589530562</v>
      </c>
      <c r="D68" s="11">
        <f t="shared" si="45"/>
        <v>60.701377212169021</v>
      </c>
      <c r="E68" s="11">
        <v>60.65964964097688</v>
      </c>
      <c r="F68" s="11">
        <f t="shared" si="46"/>
        <v>121.3610268531459</v>
      </c>
      <c r="G68" s="200">
        <f t="shared" si="47"/>
        <v>3.8946425580144162E-2</v>
      </c>
      <c r="I68" s="11" t="str">
        <f t="shared" si="48"/>
        <v>Caring, leisure and other service occupations</v>
      </c>
      <c r="J68" s="11">
        <v>33.585220295916251</v>
      </c>
      <c r="K68" s="11">
        <v>40.394966505147316</v>
      </c>
      <c r="L68" s="11">
        <v>6.8097462092310712</v>
      </c>
      <c r="M68" s="11">
        <v>22.88491483684675</v>
      </c>
      <c r="N68" s="11">
        <v>29.694661046077826</v>
      </c>
      <c r="P68" s="11"/>
      <c r="Q68" s="11"/>
      <c r="R68" s="11"/>
      <c r="S68" s="11"/>
      <c r="T68" s="11"/>
      <c r="U68" s="11"/>
      <c r="X68" s="10" t="str">
        <f>name!A65</f>
        <v>Services to buildings</v>
      </c>
      <c r="Y68" s="10">
        <v>165.8869999987856</v>
      </c>
      <c r="Z68" s="10">
        <v>181.51299999937191</v>
      </c>
      <c r="AA68" s="342">
        <f t="shared" si="8"/>
        <v>15.626000000586316</v>
      </c>
      <c r="AB68" s="10">
        <v>89.616974282112224</v>
      </c>
      <c r="AC68" s="342">
        <f t="shared" si="9"/>
        <v>105.24297428269854</v>
      </c>
      <c r="AD68" s="343">
        <f t="shared" si="10"/>
        <v>2.9214004721294984E-2</v>
      </c>
    </row>
    <row r="69" spans="1:30" x14ac:dyDescent="0.2">
      <c r="A69" t="str">
        <f t="shared" si="44"/>
        <v>23 Teaching and other educational professionals</v>
      </c>
      <c r="B69" s="11">
        <v>211.71419939870535</v>
      </c>
      <c r="C69" s="11">
        <v>281.50480955704722</v>
      </c>
      <c r="D69" s="11">
        <f t="shared" ref="D69" si="49">C69-B69</f>
        <v>69.790610158341877</v>
      </c>
      <c r="E69" s="11">
        <v>132.0189701437788</v>
      </c>
      <c r="F69" s="11">
        <f t="shared" ref="F69" si="50">SUM(D69:E69)</f>
        <v>201.80958030212068</v>
      </c>
      <c r="G69" s="200">
        <f t="shared" si="47"/>
        <v>3.2836150635922934E-2</v>
      </c>
      <c r="I69" s="11" t="str">
        <f t="shared" si="48"/>
        <v>Sales and customer service occupations</v>
      </c>
      <c r="J69" s="11">
        <v>21.210050050333106</v>
      </c>
      <c r="K69" s="11">
        <v>23.55819738595676</v>
      </c>
      <c r="L69" s="11">
        <v>2.348147335623656</v>
      </c>
      <c r="M69" s="11">
        <v>10.814167639217617</v>
      </c>
      <c r="N69" s="11">
        <v>13.162314974841273</v>
      </c>
      <c r="P69" s="11"/>
      <c r="Q69" s="11"/>
      <c r="R69" s="11"/>
      <c r="S69" s="11"/>
      <c r="T69" s="11"/>
      <c r="U69" s="11"/>
      <c r="X69" s="10" t="str">
        <f>name!A66</f>
        <v>Office administrative</v>
      </c>
      <c r="Y69" s="10">
        <v>132.82499999925031</v>
      </c>
      <c r="Z69" s="10">
        <v>147.23999999918192</v>
      </c>
      <c r="AA69" s="342">
        <f t="shared" si="8"/>
        <v>14.414999999931609</v>
      </c>
      <c r="AB69" s="10">
        <v>64.564302620227139</v>
      </c>
      <c r="AC69" s="342">
        <f t="shared" si="9"/>
        <v>78.979302620158748</v>
      </c>
      <c r="AD69" s="343">
        <f t="shared" si="10"/>
        <v>2.6761523895350692E-2</v>
      </c>
    </row>
    <row r="70" spans="1:30" x14ac:dyDescent="0.2">
      <c r="A70" t="str">
        <f t="shared" si="44"/>
        <v>24 Business, media and public service professionals</v>
      </c>
      <c r="B70" s="11">
        <v>257.63487960270822</v>
      </c>
      <c r="C70" s="11">
        <v>528.93531564075658</v>
      </c>
      <c r="D70" s="11">
        <f t="shared" si="45"/>
        <v>271.30043603804836</v>
      </c>
      <c r="E70" s="11">
        <v>197.53949272847279</v>
      </c>
      <c r="F70" s="11">
        <f t="shared" si="46"/>
        <v>468.83992876652115</v>
      </c>
      <c r="G70" s="200">
        <f t="shared" si="47"/>
        <v>3.8671486373220487E-2</v>
      </c>
      <c r="I70" s="11" t="str">
        <f t="shared" si="48"/>
        <v>Process, plant and machine operatives</v>
      </c>
      <c r="J70" s="11">
        <v>15.142365768480886</v>
      </c>
      <c r="K70" s="11">
        <v>21.748295224509135</v>
      </c>
      <c r="L70" s="11">
        <v>6.6059294560282495</v>
      </c>
      <c r="M70" s="11">
        <v>13.146825980974983</v>
      </c>
      <c r="N70" s="11">
        <v>19.752755437003231</v>
      </c>
      <c r="P70" s="11"/>
      <c r="Q70" s="11"/>
      <c r="R70" s="11"/>
      <c r="S70" s="11"/>
      <c r="T70" s="11"/>
      <c r="U70" s="11"/>
      <c r="X70" s="10" t="str">
        <f>name!A67</f>
        <v>Public administration and defence</v>
      </c>
      <c r="Y70" s="10">
        <v>255.05000000187471</v>
      </c>
      <c r="Z70" s="10">
        <v>258.16400000249814</v>
      </c>
      <c r="AA70" s="342">
        <f t="shared" si="8"/>
        <v>3.1140000006234345</v>
      </c>
      <c r="AB70" s="10">
        <v>124.41310862831338</v>
      </c>
      <c r="AC70" s="342">
        <f t="shared" si="9"/>
        <v>127.52710862893682</v>
      </c>
      <c r="AD70" s="343">
        <f t="shared" si="10"/>
        <v>2.6840403803959134E-2</v>
      </c>
    </row>
    <row r="71" spans="1:30" x14ac:dyDescent="0.2">
      <c r="A71" t="str">
        <f t="shared" si="44"/>
        <v>31 Science, engineering and technology associate professionals</v>
      </c>
      <c r="B71" s="11">
        <v>21.671518529790117</v>
      </c>
      <c r="C71" s="11">
        <v>37.655491840736971</v>
      </c>
      <c r="D71" s="11">
        <f t="shared" si="45"/>
        <v>15.983973310946855</v>
      </c>
      <c r="E71" s="11">
        <v>12.492675592180071</v>
      </c>
      <c r="F71" s="11">
        <f t="shared" si="46"/>
        <v>28.476648903126925</v>
      </c>
      <c r="G71" s="200">
        <f t="shared" si="47"/>
        <v>3.0810394288182774E-2</v>
      </c>
      <c r="I71" s="11" t="str">
        <f t="shared" si="48"/>
        <v>Elementary occupations</v>
      </c>
      <c r="J71" s="11">
        <v>28.432663057391334</v>
      </c>
      <c r="K71" s="11">
        <v>37.675561041122457</v>
      </c>
      <c r="L71" s="11">
        <v>9.2428979837311207</v>
      </c>
      <c r="M71" s="11">
        <v>20.466122183959058</v>
      </c>
      <c r="N71" s="11">
        <v>29.709020167690181</v>
      </c>
      <c r="P71" s="11"/>
      <c r="Q71" s="11"/>
      <c r="R71" s="11"/>
      <c r="S71" s="11"/>
      <c r="T71" s="11"/>
      <c r="U71" s="11"/>
      <c r="X71" s="10" t="str">
        <f>name!A68</f>
        <v xml:space="preserve">Education </v>
      </c>
      <c r="Y71" s="10">
        <v>428.92800001602853</v>
      </c>
      <c r="Z71" s="10">
        <v>426.25200001051866</v>
      </c>
      <c r="AA71" s="342">
        <f t="shared" si="8"/>
        <v>-2.6760000055098772</v>
      </c>
      <c r="AB71" s="10">
        <v>220.96476477381364</v>
      </c>
      <c r="AC71" s="342">
        <f t="shared" si="9"/>
        <v>218.28876476830376</v>
      </c>
      <c r="AD71" s="343">
        <f t="shared" si="10"/>
        <v>2.808846620989458E-2</v>
      </c>
    </row>
    <row r="72" spans="1:30" x14ac:dyDescent="0.2">
      <c r="A72" t="str">
        <f t="shared" si="44"/>
        <v>32 Health and social care associate professionals</v>
      </c>
      <c r="B72" s="11">
        <v>21.045746005941353</v>
      </c>
      <c r="C72" s="11">
        <v>45.460537277311481</v>
      </c>
      <c r="D72" s="11">
        <f t="shared" si="45"/>
        <v>24.414791271370127</v>
      </c>
      <c r="E72" s="11">
        <v>19.282403801455906</v>
      </c>
      <c r="F72" s="11">
        <f t="shared" si="46"/>
        <v>43.697195072826034</v>
      </c>
      <c r="G72" s="200">
        <f t="shared" si="47"/>
        <v>4.4310388345715435E-2</v>
      </c>
      <c r="I72" s="11"/>
      <c r="J72" s="11"/>
      <c r="K72" s="11"/>
      <c r="L72" s="11"/>
      <c r="M72" s="11"/>
      <c r="N72" s="11"/>
      <c r="P72" s="11"/>
      <c r="Q72" s="11"/>
      <c r="R72" s="11"/>
      <c r="S72" s="11"/>
      <c r="T72" s="11"/>
      <c r="U72" s="11"/>
      <c r="X72" s="10" t="str">
        <f>name!A69</f>
        <v>Health</v>
      </c>
      <c r="Y72" s="10">
        <v>376.61700000235152</v>
      </c>
      <c r="Z72" s="10">
        <v>414.2960000021655</v>
      </c>
      <c r="AA72" s="342">
        <f t="shared" ref="AA72:AA80" si="51">Z72-Y72</f>
        <v>37.678999999813982</v>
      </c>
      <c r="AB72" s="10">
        <v>216.52982286052358</v>
      </c>
      <c r="AC72" s="342">
        <f t="shared" ref="AC72:AC82" si="52">SUM(AA72:AB72)</f>
        <v>254.20882286033756</v>
      </c>
      <c r="AD72" s="343">
        <f t="shared" ref="AD72:AD82" si="53">IF(Y72&gt;0,(1+(AB72/Y72))^(1/($C$6-$B$6))-1,0)</f>
        <v>3.0744009071354883E-2</v>
      </c>
    </row>
    <row r="73" spans="1:30" x14ac:dyDescent="0.2">
      <c r="A73" t="str">
        <f t="shared" si="44"/>
        <v>33 Protective service occupations</v>
      </c>
      <c r="B73" s="11">
        <v>8.9984721058527128</v>
      </c>
      <c r="C73" s="11">
        <v>31.04405134935687</v>
      </c>
      <c r="D73" s="11">
        <f t="shared" si="45"/>
        <v>22.045579243504157</v>
      </c>
      <c r="E73" s="11">
        <v>6.5027791799259704</v>
      </c>
      <c r="F73" s="11">
        <f t="shared" si="46"/>
        <v>28.548358423430127</v>
      </c>
      <c r="G73" s="200">
        <f t="shared" si="47"/>
        <v>3.6923058364523698E-2</v>
      </c>
      <c r="I73" s="86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11"/>
      <c r="T73" s="11"/>
      <c r="U73" s="11"/>
      <c r="X73" s="10" t="str">
        <f>name!A70</f>
        <v>Residential care</v>
      </c>
      <c r="Y73" s="10">
        <v>61.540000000304332</v>
      </c>
      <c r="Z73" s="10">
        <v>60.737000000095556</v>
      </c>
      <c r="AA73" s="342">
        <f t="shared" si="51"/>
        <v>-0.80300000020877604</v>
      </c>
      <c r="AB73" s="10">
        <v>33.518759413043433</v>
      </c>
      <c r="AC73" s="342">
        <f t="shared" si="52"/>
        <v>32.715759412834657</v>
      </c>
      <c r="AD73" s="343">
        <f t="shared" si="53"/>
        <v>2.9411407674284629E-2</v>
      </c>
    </row>
    <row r="74" spans="1:30" x14ac:dyDescent="0.2">
      <c r="A74" t="str">
        <f t="shared" si="44"/>
        <v>34 Culture, media and sports occupations</v>
      </c>
      <c r="B74" s="11">
        <v>70.0987478124853</v>
      </c>
      <c r="C74" s="11">
        <v>140.07837269212828</v>
      </c>
      <c r="D74" s="11">
        <f t="shared" ref="D74:D75" si="54">C74-B74</f>
        <v>69.979624879642984</v>
      </c>
      <c r="E74" s="11">
        <v>52.932085761463576</v>
      </c>
      <c r="F74" s="11">
        <f t="shared" ref="F74:F75" si="55">SUM(D74:E74)</f>
        <v>122.91171064110657</v>
      </c>
      <c r="G74" s="200">
        <f t="shared" si="47"/>
        <v>3.8214078519994699E-2</v>
      </c>
      <c r="I74" s="11" t="str">
        <f>I63</f>
        <v>Managers, directors and senior officials</v>
      </c>
      <c r="J74" s="11">
        <f t="array" ref="J74:J82">MMULT(aggregation!$B$38:$AA$46,B181:B206)</f>
        <v>78.904181497750997</v>
      </c>
      <c r="K74" s="11">
        <f t="array" ref="K74:K82">MMULT(aggregation!$B$38:$AA$46,C181:C206)</f>
        <v>45.134040080271177</v>
      </c>
      <c r="L74" s="11">
        <f t="array" ref="L74:L82">MMULT(aggregation!$B$38:$AA$46,D181:D206)</f>
        <v>-33.77014141747982</v>
      </c>
      <c r="M74" s="11">
        <f t="array" ref="M74:M82">MMULT(aggregation!$B$38:$AA$46,E181:E206)</f>
        <v>24.850812477982455</v>
      </c>
      <c r="N74" s="11">
        <f t="array" ref="N74:N82">MMULT(aggregation!$B$38:$AA$46,F181:F206)</f>
        <v>-8.9193289394973654</v>
      </c>
      <c r="P74" s="11"/>
      <c r="Q74" s="11"/>
      <c r="R74" s="11"/>
      <c r="S74" s="11"/>
      <c r="T74" s="11"/>
      <c r="U74" s="11"/>
      <c r="X74" s="10" t="str">
        <f>name!A71</f>
        <v>Social work</v>
      </c>
      <c r="Y74" s="10">
        <v>147.32000000063198</v>
      </c>
      <c r="Z74" s="10">
        <v>143.33800000036197</v>
      </c>
      <c r="AA74" s="342">
        <f t="shared" si="51"/>
        <v>-3.9820000002700056</v>
      </c>
      <c r="AB74" s="10">
        <v>79.561048777787576</v>
      </c>
      <c r="AC74" s="342">
        <f t="shared" si="52"/>
        <v>75.579048777517571</v>
      </c>
      <c r="AD74" s="343">
        <f t="shared" si="53"/>
        <v>2.9206295497265611E-2</v>
      </c>
    </row>
    <row r="75" spans="1:30" x14ac:dyDescent="0.2">
      <c r="A75" t="str">
        <f t="shared" si="44"/>
        <v>35 Business and public service associate professionals</v>
      </c>
      <c r="B75" s="11">
        <v>136.87695367757865</v>
      </c>
      <c r="C75" s="11">
        <v>260.74302927605476</v>
      </c>
      <c r="D75" s="11">
        <f t="shared" si="54"/>
        <v>123.8660755984761</v>
      </c>
      <c r="E75" s="11">
        <v>97.247847400461907</v>
      </c>
      <c r="F75" s="11">
        <f t="shared" si="55"/>
        <v>221.11392299893799</v>
      </c>
      <c r="G75" s="200">
        <f t="shared" si="47"/>
        <v>3.6432777816939543E-2</v>
      </c>
      <c r="I75" s="11" t="str">
        <f>I64</f>
        <v>Professional occupations</v>
      </c>
      <c r="J75" s="11">
        <v>102.34522608976545</v>
      </c>
      <c r="K75" s="11">
        <v>63.635286120897703</v>
      </c>
      <c r="L75" s="11">
        <v>-38.709939968867744</v>
      </c>
      <c r="M75" s="11">
        <v>32.424408841535104</v>
      </c>
      <c r="N75" s="11">
        <v>-6.2855311273326429</v>
      </c>
      <c r="P75" s="11"/>
      <c r="Q75" s="11"/>
      <c r="R75" s="11"/>
      <c r="S75" s="11"/>
      <c r="T75" s="11"/>
      <c r="U75" s="11"/>
      <c r="X75" s="10" t="str">
        <f>name!A72</f>
        <v>Arts and entertainment</v>
      </c>
      <c r="Y75" s="10">
        <v>77.73900000041769</v>
      </c>
      <c r="Z75" s="10">
        <v>87.857000001267451</v>
      </c>
      <c r="AA75" s="342">
        <f t="shared" si="51"/>
        <v>10.118000000849761</v>
      </c>
      <c r="AB75" s="10">
        <v>43.111760138144412</v>
      </c>
      <c r="AC75" s="342">
        <f t="shared" si="52"/>
        <v>53.229760138994173</v>
      </c>
      <c r="AD75" s="343">
        <f t="shared" si="53"/>
        <v>2.9850132272765562E-2</v>
      </c>
    </row>
    <row r="76" spans="1:30" x14ac:dyDescent="0.2">
      <c r="A76" t="str">
        <f t="shared" si="44"/>
        <v>41 Administrative occupations</v>
      </c>
      <c r="B76" s="11">
        <v>52.750269142579064</v>
      </c>
      <c r="C76" s="11">
        <v>113.77888054694125</v>
      </c>
      <c r="D76" s="11">
        <f t="shared" si="45"/>
        <v>61.028611404362188</v>
      </c>
      <c r="E76" s="11">
        <v>45.057527283292075</v>
      </c>
      <c r="F76" s="11">
        <f t="shared" si="46"/>
        <v>106.08613868765426</v>
      </c>
      <c r="G76" s="200">
        <f t="shared" si="47"/>
        <v>4.2021275591171081E-2</v>
      </c>
      <c r="I76" s="11" t="str">
        <f>I65</f>
        <v>Associate professional occupations</v>
      </c>
      <c r="J76" s="11">
        <v>114.5562794787588</v>
      </c>
      <c r="K76" s="11">
        <v>65.377830263519826</v>
      </c>
      <c r="L76" s="11">
        <v>-49.178449215238956</v>
      </c>
      <c r="M76" s="11">
        <v>32.912678362993724</v>
      </c>
      <c r="N76" s="11">
        <v>-16.265770852245232</v>
      </c>
      <c r="P76" s="11"/>
      <c r="Q76" s="11"/>
      <c r="R76" s="11"/>
      <c r="S76" s="11"/>
      <c r="T76" s="11"/>
      <c r="U76" s="11"/>
      <c r="X76" s="10" t="str">
        <f>name!A73</f>
        <v>Libraries, etc</v>
      </c>
      <c r="Y76" s="10">
        <v>47.099000000174605</v>
      </c>
      <c r="Z76" s="10">
        <v>53.659000000692551</v>
      </c>
      <c r="AA76" s="342">
        <f t="shared" si="51"/>
        <v>6.5600000005179453</v>
      </c>
      <c r="AB76" s="10">
        <v>26.549701981390079</v>
      </c>
      <c r="AC76" s="342">
        <f t="shared" si="52"/>
        <v>33.109701981908024</v>
      </c>
      <c r="AD76" s="343">
        <f t="shared" si="53"/>
        <v>3.0252224015176354E-2</v>
      </c>
    </row>
    <row r="77" spans="1:30" x14ac:dyDescent="0.2">
      <c r="A77" t="str">
        <f t="shared" si="44"/>
        <v>42 Secretarial and related occupations</v>
      </c>
      <c r="B77" s="11">
        <v>7.9116109709290718</v>
      </c>
      <c r="C77" s="11">
        <v>20.559221056004287</v>
      </c>
      <c r="D77" s="11">
        <f t="shared" si="45"/>
        <v>12.647610085075215</v>
      </c>
      <c r="E77" s="11">
        <v>9.0409455454796621</v>
      </c>
      <c r="F77" s="11">
        <f t="shared" si="46"/>
        <v>21.688555630554877</v>
      </c>
      <c r="G77" s="200">
        <f t="shared" si="47"/>
        <v>5.2118567855069076E-2</v>
      </c>
      <c r="I77" s="11" t="str">
        <f>I66</f>
        <v>Administrative and secretarial occupations</v>
      </c>
      <c r="J77" s="11">
        <v>74.89255174700908</v>
      </c>
      <c r="K77" s="11">
        <v>30.08680437599001</v>
      </c>
      <c r="L77" s="11">
        <v>-44.805747371019066</v>
      </c>
      <c r="M77" s="11">
        <v>22.644861259130643</v>
      </c>
      <c r="N77" s="11">
        <v>-22.160886111888427</v>
      </c>
      <c r="P77" s="11"/>
      <c r="Q77" s="11"/>
      <c r="R77" s="11"/>
      <c r="S77" s="11"/>
      <c r="T77" s="11"/>
      <c r="U77" s="11"/>
      <c r="X77" s="10" t="str">
        <f>name!A74</f>
        <v>Gambling and betting</v>
      </c>
      <c r="Y77" s="10">
        <v>21.520000000076447</v>
      </c>
      <c r="Z77" s="10">
        <v>29.238000000286938</v>
      </c>
      <c r="AA77" s="342">
        <f t="shared" si="51"/>
        <v>7.7180000002104912</v>
      </c>
      <c r="AB77" s="10">
        <v>12.102450469396659</v>
      </c>
      <c r="AC77" s="342">
        <f t="shared" si="52"/>
        <v>19.820450469607152</v>
      </c>
      <c r="AD77" s="343">
        <f t="shared" si="53"/>
        <v>3.0194293054008003E-2</v>
      </c>
    </row>
    <row r="78" spans="1:30" x14ac:dyDescent="0.2">
      <c r="A78" t="str">
        <f t="shared" si="44"/>
        <v>51 Skilled agricultural and related trades</v>
      </c>
      <c r="B78" s="11">
        <v>1.0696287629646655</v>
      </c>
      <c r="C78" s="11">
        <v>2.8074940951014504</v>
      </c>
      <c r="D78" s="11">
        <f t="shared" si="45"/>
        <v>1.737865332136785</v>
      </c>
      <c r="E78" s="11">
        <v>1.4257535723180457</v>
      </c>
      <c r="F78" s="11">
        <f t="shared" si="46"/>
        <v>3.1636189044548306</v>
      </c>
      <c r="G78" s="200">
        <f t="shared" si="47"/>
        <v>5.8100537258571228E-2</v>
      </c>
      <c r="I78" s="11" t="str">
        <f t="shared" ref="I78:I82" si="56">I67</f>
        <v>Skilled trades occupations</v>
      </c>
      <c r="J78" s="11">
        <v>101.3025121759845</v>
      </c>
      <c r="K78" s="11">
        <v>75.215471334999251</v>
      </c>
      <c r="L78" s="11">
        <v>-26.087040840985239</v>
      </c>
      <c r="M78" s="11">
        <v>32.152528947734872</v>
      </c>
      <c r="N78" s="11">
        <v>6.0654881067496307</v>
      </c>
      <c r="O78" s="70"/>
      <c r="P78" s="11"/>
      <c r="Q78" s="11"/>
      <c r="R78" s="11"/>
      <c r="S78" s="11"/>
      <c r="T78" s="11"/>
      <c r="U78" s="11"/>
      <c r="X78" s="10" t="str">
        <f>name!A75</f>
        <v>Sport and recreation</v>
      </c>
      <c r="Y78" s="10">
        <v>61.829000000121368</v>
      </c>
      <c r="Z78" s="10">
        <v>82.680000000671384</v>
      </c>
      <c r="AA78" s="342">
        <f t="shared" si="51"/>
        <v>20.851000000550016</v>
      </c>
      <c r="AB78" s="10">
        <v>36.848222549629376</v>
      </c>
      <c r="AC78" s="342">
        <f t="shared" si="52"/>
        <v>57.699222550179392</v>
      </c>
      <c r="AD78" s="343">
        <f t="shared" si="53"/>
        <v>3.165616938416882E-2</v>
      </c>
    </row>
    <row r="79" spans="1:30" x14ac:dyDescent="0.2">
      <c r="A79" t="str">
        <f t="shared" si="44"/>
        <v>52 Skilled metal, electrical and electronic trades</v>
      </c>
      <c r="B79" s="11">
        <v>6.2502370376631422</v>
      </c>
      <c r="C79" s="11">
        <v>21.56532630016898</v>
      </c>
      <c r="D79" s="11">
        <f t="shared" si="45"/>
        <v>15.315089262505838</v>
      </c>
      <c r="E79" s="11">
        <v>6.8604008623381745</v>
      </c>
      <c r="F79" s="11">
        <f t="shared" si="46"/>
        <v>22.175490124844011</v>
      </c>
      <c r="G79" s="200">
        <f t="shared" si="47"/>
        <v>5.0626834206465743E-2</v>
      </c>
      <c r="I79" s="11" t="str">
        <f t="shared" si="56"/>
        <v>Caring, leisure and other service occupations</v>
      </c>
      <c r="J79" s="11">
        <v>90.1080313201835</v>
      </c>
      <c r="K79" s="11">
        <v>90.001926248846786</v>
      </c>
      <c r="L79" s="11">
        <v>-0.10610507133670866</v>
      </c>
      <c r="M79" s="11">
        <v>45.690183080899516</v>
      </c>
      <c r="N79" s="11">
        <v>45.584078009562816</v>
      </c>
      <c r="X79" s="10" t="str">
        <f>name!A76</f>
        <v>Membership organisations</v>
      </c>
      <c r="Y79" s="10">
        <v>77.863000000600806</v>
      </c>
      <c r="Z79" s="10">
        <v>92.203000000885496</v>
      </c>
      <c r="AA79" s="342">
        <f t="shared" si="51"/>
        <v>14.340000000284689</v>
      </c>
      <c r="AB79" s="10">
        <v>44.140555049463025</v>
      </c>
      <c r="AC79" s="342">
        <f t="shared" si="52"/>
        <v>58.480555049747714</v>
      </c>
      <c r="AD79" s="343">
        <f t="shared" si="53"/>
        <v>3.0392661270050692E-2</v>
      </c>
    </row>
    <row r="80" spans="1:30" x14ac:dyDescent="0.2">
      <c r="A80" t="str">
        <f t="shared" si="44"/>
        <v>53 Skilled construction and building trades</v>
      </c>
      <c r="B80" s="11">
        <v>3.5764778405180264</v>
      </c>
      <c r="C80" s="11">
        <v>13.071683223227343</v>
      </c>
      <c r="D80" s="11">
        <f t="shared" ref="D80" si="57">C80-B80</f>
        <v>9.4952053827093152</v>
      </c>
      <c r="E80" s="11">
        <v>4.3350545794008628</v>
      </c>
      <c r="F80" s="11">
        <f>SUM(D80:E80)</f>
        <v>13.830259962110178</v>
      </c>
      <c r="G80" s="200">
        <f t="shared" si="47"/>
        <v>5.4355347162373002E-2</v>
      </c>
      <c r="I80" s="11" t="str">
        <f t="shared" si="56"/>
        <v>Sales and customer service occupations</v>
      </c>
      <c r="J80" s="11">
        <v>77.861035274263628</v>
      </c>
      <c r="K80" s="11">
        <v>59.223412393498108</v>
      </c>
      <c r="L80" s="11">
        <v>-18.637622880765527</v>
      </c>
      <c r="M80" s="11">
        <v>28.906457822540048</v>
      </c>
      <c r="N80" s="11">
        <v>10.268834941774521</v>
      </c>
      <c r="P80" s="84"/>
      <c r="Q80" s="73"/>
      <c r="R80" s="73"/>
      <c r="S80" s="71"/>
      <c r="T80" s="71"/>
      <c r="U80" s="71"/>
      <c r="X80" s="10" t="str">
        <f>name!A77</f>
        <v>Repair of goods</v>
      </c>
      <c r="Y80" s="10">
        <v>10.598000000040788</v>
      </c>
      <c r="Z80" s="10">
        <v>13.201000000022407</v>
      </c>
      <c r="AA80" s="342">
        <f t="shared" si="51"/>
        <v>2.6029999999816198</v>
      </c>
      <c r="AB80" s="10">
        <v>5.6579372575908469</v>
      </c>
      <c r="AC80" s="342">
        <f t="shared" si="52"/>
        <v>8.2609372575724667</v>
      </c>
      <c r="AD80" s="343">
        <f t="shared" si="53"/>
        <v>2.8930102739652908E-2</v>
      </c>
    </row>
    <row r="81" spans="1:30" x14ac:dyDescent="0.2">
      <c r="A81" t="str">
        <f t="shared" si="44"/>
        <v>54 Textiles, printing and other skilled trades</v>
      </c>
      <c r="B81" s="11">
        <v>6.9880106420425196</v>
      </c>
      <c r="C81" s="11">
        <v>25.206735979679877</v>
      </c>
      <c r="D81" s="11">
        <f t="shared" si="45"/>
        <v>18.218725337637359</v>
      </c>
      <c r="E81" s="11">
        <v>7.9402363100226303</v>
      </c>
      <c r="F81" s="11">
        <f t="shared" si="46"/>
        <v>26.158961647659989</v>
      </c>
      <c r="G81" s="200">
        <f t="shared" si="47"/>
        <v>5.1906204841578596E-2</v>
      </c>
      <c r="I81" s="11" t="str">
        <f t="shared" si="56"/>
        <v>Process, plant and machine operatives</v>
      </c>
      <c r="J81" s="11">
        <v>40.000404323209629</v>
      </c>
      <c r="K81" s="11">
        <v>34.685977172684495</v>
      </c>
      <c r="L81" s="11">
        <v>-5.3144271505251304</v>
      </c>
      <c r="M81" s="11">
        <v>18.048398498118885</v>
      </c>
      <c r="N81" s="11">
        <v>12.733971347593755</v>
      </c>
      <c r="P81" s="11"/>
      <c r="Q81" s="11"/>
      <c r="R81" s="11"/>
      <c r="S81" s="11"/>
      <c r="T81" s="11"/>
      <c r="U81" s="11"/>
      <c r="X81" s="10" t="str">
        <f>name!A78</f>
        <v>Other personal service</v>
      </c>
      <c r="Y81" s="10">
        <v>71.613999999846072</v>
      </c>
      <c r="Z81" s="10">
        <v>85.361999999979687</v>
      </c>
      <c r="AA81" s="342">
        <f>Z81-Y81</f>
        <v>13.748000000133615</v>
      </c>
      <c r="AB81" s="10">
        <v>40.783146822160468</v>
      </c>
      <c r="AC81" s="342">
        <f t="shared" si="52"/>
        <v>54.531146822294083</v>
      </c>
      <c r="AD81" s="343">
        <f t="shared" si="53"/>
        <v>3.0505918328868287E-2</v>
      </c>
    </row>
    <row r="82" spans="1:30" x14ac:dyDescent="0.2">
      <c r="A82" t="str">
        <f t="shared" si="44"/>
        <v>61 Caring personal service occupations</v>
      </c>
      <c r="B82" s="11">
        <v>24.327553671337235</v>
      </c>
      <c r="C82" s="11">
        <v>71.981421524350338</v>
      </c>
      <c r="D82" s="11">
        <f t="shared" si="45"/>
        <v>47.653867853013104</v>
      </c>
      <c r="E82" s="11">
        <v>28.49956681359966</v>
      </c>
      <c r="F82" s="11">
        <f t="shared" si="46"/>
        <v>76.153434666612768</v>
      </c>
      <c r="G82" s="200">
        <f t="shared" si="47"/>
        <v>5.3053816919843788E-2</v>
      </c>
      <c r="I82" s="11" t="str">
        <f t="shared" si="56"/>
        <v>Elementary occupations</v>
      </c>
      <c r="J82" s="11">
        <v>78.19454191593023</v>
      </c>
      <c r="K82" s="11">
        <v>63.54616721014812</v>
      </c>
      <c r="L82" s="11">
        <v>-14.648374705782107</v>
      </c>
      <c r="M82" s="11">
        <v>33.762800023708024</v>
      </c>
      <c r="N82" s="11">
        <v>19.114425317925917</v>
      </c>
      <c r="P82" s="11"/>
      <c r="Q82" s="11"/>
      <c r="R82" s="11"/>
      <c r="S82" s="11"/>
      <c r="T82" s="11"/>
      <c r="U82" s="11"/>
      <c r="X82" s="231" t="str">
        <f>name!A3</f>
        <v>All industries</v>
      </c>
      <c r="Y82" s="353">
        <f>SUM(Y7:Y81)</f>
        <v>5937.3810000053327</v>
      </c>
      <c r="Z82" s="353">
        <f>SUM(Z7:Z81)</f>
        <v>6480.7350000074621</v>
      </c>
      <c r="AA82" s="354">
        <f>Z82-Y82</f>
        <v>543.3540000021294</v>
      </c>
      <c r="AB82" s="353">
        <f>SUM(AB7:AB81)</f>
        <v>3041.9044622283932</v>
      </c>
      <c r="AC82" s="354">
        <f t="shared" si="52"/>
        <v>3585.2584622305226</v>
      </c>
      <c r="AD82" s="346">
        <f t="shared" si="53"/>
        <v>2.7960571932020617E-2</v>
      </c>
    </row>
    <row r="83" spans="1:30" x14ac:dyDescent="0.2">
      <c r="A83" t="str">
        <f t="shared" si="44"/>
        <v>62 Leisure, travel and related personal service occupations</v>
      </c>
      <c r="B83" s="11">
        <v>4.6841391964006762</v>
      </c>
      <c r="C83" s="11">
        <v>13.508830294805746</v>
      </c>
      <c r="D83" s="11">
        <f t="shared" ref="D83:D84" si="58">C83-B83</f>
        <v>8.8246910984050686</v>
      </c>
      <c r="E83" s="11">
        <v>5.1739557648475065</v>
      </c>
      <c r="F83" s="11">
        <f t="shared" ref="F83:F84" si="59">SUM(D83:E83)</f>
        <v>13.998646863252574</v>
      </c>
      <c r="G83" s="200">
        <f t="shared" si="47"/>
        <v>5.0858432829386624E-2</v>
      </c>
      <c r="I83" s="11"/>
      <c r="J83" s="11"/>
      <c r="K83" s="11"/>
      <c r="L83" s="11"/>
      <c r="M83" s="11"/>
      <c r="N83" s="11"/>
      <c r="P83" s="11"/>
      <c r="Q83" s="11"/>
      <c r="R83" s="11"/>
      <c r="S83" s="11"/>
      <c r="T83" s="11"/>
      <c r="U83" s="11"/>
      <c r="X83" s="10"/>
    </row>
    <row r="84" spans="1:30" x14ac:dyDescent="0.2">
      <c r="A84" t="str">
        <f t="shared" si="44"/>
        <v>63 Community and civil enforcement occupations</v>
      </c>
      <c r="B84" s="11">
        <v>0.6099451391804136</v>
      </c>
      <c r="C84" s="11">
        <v>1.3696131682772066</v>
      </c>
      <c r="D84" s="11">
        <f t="shared" si="58"/>
        <v>0.75966802909679298</v>
      </c>
      <c r="E84" s="11">
        <v>0.50531889503632799</v>
      </c>
      <c r="F84" s="11">
        <f t="shared" si="59"/>
        <v>1.2649869241331211</v>
      </c>
      <c r="G84" s="200">
        <f t="shared" si="47"/>
        <v>4.1052092665990969E-2</v>
      </c>
      <c r="I84" s="86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11"/>
      <c r="T84" s="11"/>
      <c r="U84" s="11"/>
    </row>
    <row r="85" spans="1:30" x14ac:dyDescent="0.2">
      <c r="A85" t="str">
        <f t="shared" si="44"/>
        <v>71 Sales occupations</v>
      </c>
      <c r="B85" s="11">
        <v>23.178482044294832</v>
      </c>
      <c r="C85" s="11">
        <v>67.15559558314493</v>
      </c>
      <c r="D85" s="11">
        <f t="shared" si="45"/>
        <v>43.977113538850098</v>
      </c>
      <c r="E85" s="11">
        <v>20.53593714692083</v>
      </c>
      <c r="F85" s="11">
        <f t="shared" si="46"/>
        <v>64.513050685770935</v>
      </c>
      <c r="G85" s="200">
        <f t="shared" si="47"/>
        <v>4.3204170947508169E-2</v>
      </c>
      <c r="I85" s="11" t="str">
        <f>I74</f>
        <v>Managers, directors and senior officials</v>
      </c>
      <c r="J85" s="11">
        <f t="array" ref="J85:J93">MMULT(aggregation!$B$38:$AA$46,B210:B235)</f>
        <v>56.688523771729834</v>
      </c>
      <c r="K85" s="11">
        <f t="array" ref="K85:K93">MMULT(aggregation!$B$38:$AA$46,C210:C235)</f>
        <v>26.586590006350598</v>
      </c>
      <c r="L85" s="11">
        <f t="array" ref="L85:L93">MMULT(aggregation!$B$38:$AA$46,D210:D235)</f>
        <v>-30.101933765379233</v>
      </c>
      <c r="M85" s="11">
        <f t="array" ref="M85:M93">MMULT(aggregation!$B$38:$AA$46,E210:E235)</f>
        <v>17.717060976048092</v>
      </c>
      <c r="N85" s="11">
        <f t="array" ref="N85:N93">MMULT(aggregation!$B$38:$AA$46,F210:F235)</f>
        <v>-12.384872789331141</v>
      </c>
      <c r="P85" s="11"/>
      <c r="Q85" s="11"/>
      <c r="R85" s="11"/>
      <c r="S85" s="11"/>
      <c r="T85" s="11"/>
      <c r="U85" s="11"/>
    </row>
    <row r="86" spans="1:30" x14ac:dyDescent="0.2">
      <c r="A86" t="str">
        <f t="shared" si="44"/>
        <v>72 Customer service occupations</v>
      </c>
      <c r="B86" s="11">
        <v>8.2216971115135316</v>
      </c>
      <c r="C86" s="11">
        <v>26.22643408264236</v>
      </c>
      <c r="D86" s="11">
        <f t="shared" si="45"/>
        <v>18.004736971128828</v>
      </c>
      <c r="E86" s="11">
        <v>9.0281381626544341</v>
      </c>
      <c r="F86" s="11">
        <f t="shared" si="46"/>
        <v>27.032875133783264</v>
      </c>
      <c r="G86" s="200">
        <f t="shared" si="47"/>
        <v>5.0642340175313993E-2</v>
      </c>
      <c r="I86" s="11" t="str">
        <f>I75</f>
        <v>Professional occupations</v>
      </c>
      <c r="J86" s="11">
        <v>65.810713828414336</v>
      </c>
      <c r="K86" s="11">
        <v>37.521315429828121</v>
      </c>
      <c r="L86" s="11">
        <v>-28.289398398586215</v>
      </c>
      <c r="M86" s="11">
        <v>19.105099957887429</v>
      </c>
      <c r="N86" s="11">
        <v>-9.184298440698786</v>
      </c>
      <c r="P86" s="11"/>
      <c r="Q86" s="11"/>
      <c r="R86" s="11"/>
      <c r="S86" s="11"/>
      <c r="T86" s="11"/>
      <c r="U86" s="11"/>
    </row>
    <row r="87" spans="1:30" x14ac:dyDescent="0.2">
      <c r="A87" t="str">
        <f t="shared" si="44"/>
        <v>81 Process, plant and machine operatives</v>
      </c>
      <c r="B87" s="11">
        <v>1.7061741453347898</v>
      </c>
      <c r="C87" s="11">
        <v>7.3730042780207716</v>
      </c>
      <c r="D87" s="11">
        <f t="shared" ref="D87:D88" si="60">C87-B87</f>
        <v>5.6668301326859822</v>
      </c>
      <c r="E87" s="11">
        <v>2.3397560018681145</v>
      </c>
      <c r="F87" s="11">
        <f t="shared" ref="F87:F88" si="61">SUM(D87:E87)</f>
        <v>8.0065861345540963</v>
      </c>
      <c r="G87" s="200">
        <f t="shared" si="47"/>
        <v>5.925291605264138E-2</v>
      </c>
      <c r="I87" s="11" t="str">
        <f>I76</f>
        <v>Associate professional occupations</v>
      </c>
      <c r="J87" s="11">
        <v>80.06046913016695</v>
      </c>
      <c r="K87" s="11">
        <v>37.802602984266578</v>
      </c>
      <c r="L87" s="11">
        <v>-42.25786614590038</v>
      </c>
      <c r="M87" s="11">
        <v>19.289135967929781</v>
      </c>
      <c r="N87" s="11">
        <v>-22.968730177970599</v>
      </c>
      <c r="P87" s="11"/>
      <c r="Q87" s="11"/>
      <c r="R87" s="11"/>
      <c r="S87" s="11"/>
      <c r="T87" s="11"/>
      <c r="U87" s="11"/>
    </row>
    <row r="88" spans="1:30" x14ac:dyDescent="0.2">
      <c r="A88" t="str">
        <f t="shared" si="44"/>
        <v>82 Transport and mobile machine drivers and operatives</v>
      </c>
      <c r="B88" s="11">
        <v>8.5339024803685657</v>
      </c>
      <c r="C88" s="11">
        <v>30.360198456575127</v>
      </c>
      <c r="D88" s="11">
        <f t="shared" si="60"/>
        <v>21.826295976206559</v>
      </c>
      <c r="E88" s="11">
        <v>12.607882718464538</v>
      </c>
      <c r="F88" s="11">
        <f t="shared" si="61"/>
        <v>34.434178694671097</v>
      </c>
      <c r="G88" s="200">
        <f t="shared" si="47"/>
        <v>6.2346680881297578E-2</v>
      </c>
      <c r="I88" s="11" t="str">
        <f>I77</f>
        <v>Administrative and secretarial occupations</v>
      </c>
      <c r="J88" s="11">
        <v>68.673816255514595</v>
      </c>
      <c r="K88" s="11">
        <v>18.429589215544823</v>
      </c>
      <c r="L88" s="11">
        <v>-50.244227039969772</v>
      </c>
      <c r="M88" s="11">
        <v>14.756649871913009</v>
      </c>
      <c r="N88" s="11">
        <v>-35.487577168056767</v>
      </c>
      <c r="P88" s="11"/>
      <c r="Q88" s="11"/>
      <c r="R88" s="11"/>
      <c r="S88" s="11"/>
      <c r="T88" s="11"/>
      <c r="U88" s="11"/>
    </row>
    <row r="89" spans="1:30" x14ac:dyDescent="0.2">
      <c r="A89" t="str">
        <f t="shared" si="44"/>
        <v>91 Elementary trades and related occupations</v>
      </c>
      <c r="B89" s="11">
        <v>0.90643689928774995</v>
      </c>
      <c r="C89" s="11">
        <v>2.814707589093207</v>
      </c>
      <c r="D89" s="11">
        <f t="shared" si="45"/>
        <v>1.9082706898054571</v>
      </c>
      <c r="E89" s="11">
        <v>0.89413965353668978</v>
      </c>
      <c r="F89" s="11">
        <f t="shared" si="46"/>
        <v>2.8024103433421468</v>
      </c>
      <c r="G89" s="200">
        <f t="shared" si="47"/>
        <v>4.681901048012671E-2</v>
      </c>
      <c r="I89" s="11" t="str">
        <f t="shared" ref="I89:I93" si="62">I78</f>
        <v>Skilled trades occupations</v>
      </c>
      <c r="J89" s="11">
        <v>74.353232676713816</v>
      </c>
      <c r="K89" s="11">
        <v>71.530636134294767</v>
      </c>
      <c r="L89" s="11">
        <v>-2.8225965424190491</v>
      </c>
      <c r="M89" s="11">
        <v>29.12131214562503</v>
      </c>
      <c r="N89" s="11">
        <v>26.298715603205981</v>
      </c>
      <c r="P89" s="11"/>
      <c r="Q89" s="11"/>
      <c r="R89" s="11"/>
      <c r="S89" s="11"/>
      <c r="T89" s="11"/>
      <c r="U89" s="11"/>
    </row>
    <row r="90" spans="1:30" x14ac:dyDescent="0.2">
      <c r="A90" t="str">
        <f t="shared" si="44"/>
        <v>92 Elementary administration and service occupations</v>
      </c>
      <c r="B90" s="11">
        <v>30.190768309328529</v>
      </c>
      <c r="C90" s="11">
        <v>110.76976652064886</v>
      </c>
      <c r="D90" s="11">
        <f t="shared" ref="D90" si="63">C90-B90</f>
        <v>80.578998211320325</v>
      </c>
      <c r="E90" s="11">
        <v>40.836059229868212</v>
      </c>
      <c r="F90" s="11">
        <f t="shared" ref="F90" si="64">SUM(D90:E90)</f>
        <v>121.41505744118854</v>
      </c>
      <c r="G90" s="200">
        <f t="shared" ref="G90" si="65">IF(B90&gt;0,(1+(E90/B90))^(1/($C$6-$B$6))-1,0)</f>
        <v>5.8692614555856615E-2</v>
      </c>
      <c r="I90" s="11" t="str">
        <f t="shared" si="62"/>
        <v>Caring, leisure and other service occupations</v>
      </c>
      <c r="J90" s="11">
        <v>62.298618413181757</v>
      </c>
      <c r="K90" s="11">
        <v>41.263695449308187</v>
      </c>
      <c r="L90" s="11">
        <v>-21.034922963873562</v>
      </c>
      <c r="M90" s="11">
        <v>22.829209212519505</v>
      </c>
      <c r="N90" s="11">
        <v>1.7942862486459443</v>
      </c>
      <c r="P90" s="11"/>
      <c r="Q90" s="11"/>
      <c r="R90" s="11"/>
      <c r="S90" s="11"/>
      <c r="T90" s="11"/>
      <c r="U90" s="11"/>
    </row>
    <row r="91" spans="1:30" x14ac:dyDescent="0.2">
      <c r="A91" t="str">
        <f t="shared" si="44"/>
        <v>All occupations</v>
      </c>
      <c r="B91" s="11">
        <f>SUM(B65:B90)</f>
        <v>1286.8258493021121</v>
      </c>
      <c r="C91" s="11">
        <f t="shared" ref="C91:F91" si="66">SUM(C65:C90)</f>
        <v>2634.5906837165371</v>
      </c>
      <c r="D91" s="11">
        <f t="shared" si="66"/>
        <v>1347.7648344144252</v>
      </c>
      <c r="E91" s="11">
        <f t="shared" si="66"/>
        <v>1002.149169474568</v>
      </c>
      <c r="F91" s="11">
        <f t="shared" si="66"/>
        <v>2349.9140038889927</v>
      </c>
      <c r="G91" s="200">
        <f t="shared" si="47"/>
        <v>3.9141648997363943E-2</v>
      </c>
      <c r="I91" s="11" t="str">
        <f t="shared" si="62"/>
        <v>Sales and customer service occupations</v>
      </c>
      <c r="J91" s="11">
        <v>62.645709618354601</v>
      </c>
      <c r="K91" s="11">
        <v>40.199148300316182</v>
      </c>
      <c r="L91" s="11">
        <v>-22.44656131803842</v>
      </c>
      <c r="M91" s="11">
        <v>21.234975794021551</v>
      </c>
      <c r="N91" s="11">
        <v>-1.2115855240168694</v>
      </c>
      <c r="P91" s="11"/>
      <c r="Q91" s="11"/>
      <c r="R91" s="11"/>
      <c r="S91" s="11"/>
      <c r="T91" s="11"/>
      <c r="U91" s="1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2"/>
        <v>Process, plant and machine operatives</v>
      </c>
      <c r="J92" s="11">
        <v>48.060233549288036</v>
      </c>
      <c r="K92" s="11">
        <v>50.883554879492856</v>
      </c>
      <c r="L92" s="11">
        <v>2.8233213302048235</v>
      </c>
      <c r="M92" s="11">
        <v>24.758367830969522</v>
      </c>
      <c r="N92" s="11">
        <v>27.581689161174346</v>
      </c>
      <c r="P92" s="11"/>
      <c r="Q92" s="11"/>
      <c r="R92" s="11"/>
      <c r="S92" s="11"/>
      <c r="T92" s="11"/>
      <c r="U92" s="11"/>
    </row>
    <row r="93" spans="1:30" ht="38.25" x14ac:dyDescent="0.2">
      <c r="A93" s="201" t="str">
        <f>CONCATENATE(name!F6," (Constrained)")</f>
        <v>RQF6 First degree (Constrained)</v>
      </c>
      <c r="B93" s="74">
        <f t="shared" ref="B93:G93" si="67">B6</f>
        <v>2020</v>
      </c>
      <c r="C93" s="74">
        <f t="shared" si="67"/>
        <v>2035</v>
      </c>
      <c r="D93" s="87" t="str">
        <f t="shared" si="67"/>
        <v>Net Change</v>
      </c>
      <c r="E93" s="87" t="str">
        <f t="shared" si="67"/>
        <v>Replacement Demand level</v>
      </c>
      <c r="F93" s="87" t="str">
        <f t="shared" si="67"/>
        <v>Total Requirement</v>
      </c>
      <c r="G93" s="87" t="str">
        <f t="shared" si="67"/>
        <v>Replacement Demand rate</v>
      </c>
      <c r="I93" s="11" t="str">
        <f t="shared" si="62"/>
        <v>Elementary occupations</v>
      </c>
      <c r="J93" s="11">
        <v>111.53334949522252</v>
      </c>
      <c r="K93" s="11">
        <v>86.841868054346378</v>
      </c>
      <c r="L93" s="11">
        <v>-24.691481440876139</v>
      </c>
      <c r="M93" s="11">
        <v>44.515845094822282</v>
      </c>
      <c r="N93" s="11">
        <v>19.824363653946143</v>
      </c>
      <c r="P93" s="11"/>
      <c r="Q93" s="11"/>
      <c r="R93" s="11"/>
      <c r="S93" s="11"/>
      <c r="T93" s="11"/>
      <c r="U93" s="11"/>
    </row>
    <row r="94" spans="1:30" x14ac:dyDescent="0.2">
      <c r="A94" t="str">
        <f t="shared" ref="A94:A120" si="68">A7</f>
        <v>11 Corporate managers and directors</v>
      </c>
      <c r="B94" s="11">
        <v>180.22626035275246</v>
      </c>
      <c r="C94" s="11">
        <v>146.07043031223284</v>
      </c>
      <c r="D94" s="11">
        <f>C94-B94</f>
        <v>-34.155830040519618</v>
      </c>
      <c r="E94" s="11">
        <v>90.895408892218043</v>
      </c>
      <c r="F94" s="11">
        <f>SUM(D94:E94)</f>
        <v>56.739578851698425</v>
      </c>
      <c r="G94" s="200">
        <f>IF(B94&gt;0,(1+(E94/B94))^(1/($C$6-$B$6))-1,0)</f>
        <v>2.7597590406933881E-2</v>
      </c>
      <c r="I94" s="84"/>
      <c r="J94" s="73"/>
      <c r="K94" s="73"/>
      <c r="L94" s="71"/>
      <c r="M94" s="71"/>
      <c r="N94" s="71"/>
      <c r="P94" s="11"/>
      <c r="Q94" s="11"/>
      <c r="R94" s="11"/>
      <c r="S94" s="11"/>
      <c r="T94" s="11"/>
      <c r="U94" s="11"/>
    </row>
    <row r="95" spans="1:30" x14ac:dyDescent="0.2">
      <c r="A95" t="str">
        <f t="shared" si="68"/>
        <v>12 Other managers and proprietors</v>
      </c>
      <c r="B95" s="11">
        <v>58.448804210275128</v>
      </c>
      <c r="C95" s="11">
        <v>71.425254436554994</v>
      </c>
      <c r="D95" s="11">
        <f t="shared" ref="D95:D118" si="69">C95-B95</f>
        <v>12.976450226279866</v>
      </c>
      <c r="E95" s="11">
        <v>44.139779311529729</v>
      </c>
      <c r="F95" s="11">
        <f t="shared" ref="F95:F118" si="70">SUM(D95:E95)</f>
        <v>57.116229537809595</v>
      </c>
      <c r="G95" s="200">
        <f t="shared" ref="G95:G120" si="71">IF(B95&gt;0,(1+(E95/B95))^(1/($C$6-$B$6))-1,0)</f>
        <v>3.8217217602446008E-2</v>
      </c>
      <c r="I95" s="86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11"/>
      <c r="T95" s="11"/>
      <c r="U95" s="11"/>
    </row>
    <row r="96" spans="1:30" x14ac:dyDescent="0.2">
      <c r="A96" t="str">
        <f t="shared" si="68"/>
        <v>21 Science, research, engineering and technology professionals</v>
      </c>
      <c r="B96" s="11">
        <v>151.10260258774679</v>
      </c>
      <c r="C96" s="11">
        <v>114.52340407392155</v>
      </c>
      <c r="D96" s="11">
        <f t="shared" si="69"/>
        <v>-36.579198513825233</v>
      </c>
      <c r="E96" s="11">
        <v>55.436568918070236</v>
      </c>
      <c r="F96" s="11">
        <f t="shared" si="70"/>
        <v>18.857370404245003</v>
      </c>
      <c r="G96" s="200">
        <f t="shared" si="71"/>
        <v>2.1053971880711897E-2</v>
      </c>
      <c r="I96" s="11" t="str">
        <f>I85</f>
        <v>Managers, directors and senior officials</v>
      </c>
      <c r="J96" s="11">
        <f t="array" ref="J96:J104">MMULT(aggregation!$B$38:$AA$46,B239:B264)</f>
        <v>53.270559924258635</v>
      </c>
      <c r="K96" s="11">
        <f t="array" ref="K96:K104">MMULT(aggregation!$B$38:$AA$46,C239:C264)</f>
        <v>29.405492909187512</v>
      </c>
      <c r="L96" s="11">
        <f t="array" ref="L96:L104">MMULT(aggregation!$B$38:$AA$46,D239:D264)</f>
        <v>-23.865067015071123</v>
      </c>
      <c r="M96" s="11">
        <f t="array" ref="M96:M104">MMULT(aggregation!$B$38:$AA$46,E239:E264)</f>
        <v>16.541187144651484</v>
      </c>
      <c r="N96" s="11">
        <f t="array" ref="N96:N104">MMULT(aggregation!$B$38:$AA$46,F239:F264)</f>
        <v>-7.3238798704196384</v>
      </c>
      <c r="P96" s="11"/>
      <c r="Q96" s="11"/>
      <c r="R96" s="11"/>
      <c r="S96" s="11"/>
      <c r="T96" s="11"/>
      <c r="U96" s="11"/>
    </row>
    <row r="97" spans="1:21" x14ac:dyDescent="0.2">
      <c r="A97" t="str">
        <f t="shared" si="68"/>
        <v>22 Health professionals</v>
      </c>
      <c r="B97" s="11">
        <v>102.28838957052763</v>
      </c>
      <c r="C97" s="11">
        <v>79.766322690754251</v>
      </c>
      <c r="D97" s="11">
        <f t="shared" si="69"/>
        <v>-22.522066879773377</v>
      </c>
      <c r="E97" s="11">
        <v>53.325366522848881</v>
      </c>
      <c r="F97" s="11">
        <f t="shared" si="70"/>
        <v>30.803299643075505</v>
      </c>
      <c r="G97" s="200">
        <f t="shared" si="71"/>
        <v>2.8366947472696635E-2</v>
      </c>
      <c r="I97" s="11" t="str">
        <f>I86</f>
        <v>Professional occupations</v>
      </c>
      <c r="J97" s="11">
        <v>51.409301671770478</v>
      </c>
      <c r="K97" s="11">
        <v>21.901390561442582</v>
      </c>
      <c r="L97" s="11">
        <v>-29.507911110327889</v>
      </c>
      <c r="M97" s="11">
        <v>12.093860072156385</v>
      </c>
      <c r="N97" s="11">
        <v>-17.414051038171504</v>
      </c>
      <c r="P97" s="11"/>
      <c r="Q97" s="11"/>
      <c r="R97" s="11"/>
      <c r="S97" s="11"/>
      <c r="T97" s="11"/>
      <c r="U97" s="11"/>
    </row>
    <row r="98" spans="1:21" x14ac:dyDescent="0.2">
      <c r="A98" t="str">
        <f t="shared" si="68"/>
        <v>23 Teaching and other educational professionals</v>
      </c>
      <c r="B98" s="11">
        <v>84.318630702045596</v>
      </c>
      <c r="C98" s="11">
        <v>38.175326558793202</v>
      </c>
      <c r="D98" s="11">
        <f t="shared" ref="D98" si="72">C98-B98</f>
        <v>-46.143304143252394</v>
      </c>
      <c r="E98" s="11">
        <v>28.925407330222875</v>
      </c>
      <c r="F98" s="11">
        <f t="shared" ref="F98" si="73">SUM(D98:E98)</f>
        <v>-17.217896813029519</v>
      </c>
      <c r="G98" s="200">
        <f t="shared" si="71"/>
        <v>1.9857404711377313E-2</v>
      </c>
      <c r="I98" s="11" t="str">
        <f>I87</f>
        <v>Associate professional occupations</v>
      </c>
      <c r="J98" s="11">
        <v>62.358287929187682</v>
      </c>
      <c r="K98" s="11">
        <v>29.37695729706536</v>
      </c>
      <c r="L98" s="11">
        <v>-32.981330632122322</v>
      </c>
      <c r="M98" s="11">
        <v>14.087210851957277</v>
      </c>
      <c r="N98" s="11">
        <v>-18.894119780165042</v>
      </c>
      <c r="P98" s="11"/>
      <c r="Q98" s="11"/>
      <c r="R98" s="11"/>
      <c r="S98" s="11"/>
      <c r="T98" s="11"/>
      <c r="U98" s="11"/>
    </row>
    <row r="99" spans="1:21" x14ac:dyDescent="0.2">
      <c r="A99" t="str">
        <f t="shared" si="68"/>
        <v>24 Business, media and public service professionals</v>
      </c>
      <c r="B99" s="11">
        <v>287.93312366830401</v>
      </c>
      <c r="C99" s="11">
        <v>229.42532497263554</v>
      </c>
      <c r="D99" s="11">
        <f t="shared" si="69"/>
        <v>-58.50779869566847</v>
      </c>
      <c r="E99" s="11">
        <v>136.98690341165016</v>
      </c>
      <c r="F99" s="11">
        <f t="shared" si="70"/>
        <v>78.479104715981691</v>
      </c>
      <c r="G99" s="200">
        <f t="shared" si="71"/>
        <v>2.6284346369997769E-2</v>
      </c>
      <c r="I99" s="11" t="str">
        <f>I88</f>
        <v>Administrative and secretarial occupations</v>
      </c>
      <c r="J99" s="11">
        <v>57.682192707203157</v>
      </c>
      <c r="K99" s="11">
        <v>5.6135008190692073</v>
      </c>
      <c r="L99" s="11">
        <v>-52.068691888133955</v>
      </c>
      <c r="M99" s="11">
        <v>8.2709587798711866</v>
      </c>
      <c r="N99" s="11">
        <v>-43.797733108262761</v>
      </c>
      <c r="P99" s="11"/>
      <c r="Q99" s="11"/>
      <c r="R99" s="11"/>
      <c r="S99" s="11"/>
      <c r="T99" s="11"/>
      <c r="U99" s="11"/>
    </row>
    <row r="100" spans="1:21" x14ac:dyDescent="0.2">
      <c r="A100" t="str">
        <f t="shared" si="68"/>
        <v>31 Science, engineering and technology associate professionals</v>
      </c>
      <c r="B100" s="11">
        <v>35.731451635184506</v>
      </c>
      <c r="C100" s="11">
        <v>28.457000099371829</v>
      </c>
      <c r="D100" s="11">
        <f t="shared" si="69"/>
        <v>-7.2744515358126769</v>
      </c>
      <c r="E100" s="11">
        <v>14.052649460426903</v>
      </c>
      <c r="F100" s="11">
        <f t="shared" si="70"/>
        <v>6.7781979246142257</v>
      </c>
      <c r="G100" s="200">
        <f t="shared" si="71"/>
        <v>2.2357217491153492E-2</v>
      </c>
      <c r="I100" s="11" t="str">
        <f t="shared" ref="I100:I104" si="74">I89</f>
        <v>Skilled trades occupations</v>
      </c>
      <c r="J100" s="11">
        <v>60.038394820765035</v>
      </c>
      <c r="K100" s="11">
        <v>60.259357410102773</v>
      </c>
      <c r="L100" s="11">
        <v>0.22096258933774049</v>
      </c>
      <c r="M100" s="11">
        <v>21.539851819326486</v>
      </c>
      <c r="N100" s="11">
        <v>21.760814408664228</v>
      </c>
      <c r="P100" s="11"/>
      <c r="Q100" s="11"/>
      <c r="R100" s="11"/>
      <c r="S100" s="11"/>
      <c r="T100" s="11"/>
      <c r="U100" s="11"/>
    </row>
    <row r="101" spans="1:21" x14ac:dyDescent="0.2">
      <c r="A101" t="str">
        <f t="shared" si="68"/>
        <v>32 Health and social care associate professionals</v>
      </c>
      <c r="B101" s="11">
        <v>38.178431831182131</v>
      </c>
      <c r="C101" s="11">
        <v>34.913187635824499</v>
      </c>
      <c r="D101" s="11">
        <f t="shared" si="69"/>
        <v>-3.2652441953576314</v>
      </c>
      <c r="E101" s="11">
        <v>23.13823522383997</v>
      </c>
      <c r="F101" s="11">
        <f t="shared" si="70"/>
        <v>19.872991028482339</v>
      </c>
      <c r="G101" s="200">
        <f t="shared" si="71"/>
        <v>3.2089509166897345E-2</v>
      </c>
      <c r="I101" s="11" t="str">
        <f t="shared" si="74"/>
        <v>Caring, leisure and other service occupations</v>
      </c>
      <c r="J101" s="11">
        <v>26.912734436316818</v>
      </c>
      <c r="K101" s="11">
        <v>21.204459282457691</v>
      </c>
      <c r="L101" s="11">
        <v>-5.7082751538591232</v>
      </c>
      <c r="M101" s="11">
        <v>7.9088797985841</v>
      </c>
      <c r="N101" s="11">
        <v>2.2006046447249767</v>
      </c>
      <c r="P101" s="11"/>
      <c r="Q101" s="11"/>
      <c r="R101" s="11"/>
      <c r="S101" s="11"/>
      <c r="T101" s="11"/>
      <c r="U101" s="11"/>
    </row>
    <row r="102" spans="1:21" x14ac:dyDescent="0.2">
      <c r="A102" t="str">
        <f t="shared" si="68"/>
        <v>33 Protective service occupations</v>
      </c>
      <c r="B102" s="11">
        <v>25.123549110413528</v>
      </c>
      <c r="C102" s="11">
        <v>36.43638285286449</v>
      </c>
      <c r="D102" s="11">
        <f t="shared" si="69"/>
        <v>11.312833742450962</v>
      </c>
      <c r="E102" s="11">
        <v>13.560320332836509</v>
      </c>
      <c r="F102" s="11">
        <f t="shared" si="70"/>
        <v>24.873154075287474</v>
      </c>
      <c r="G102" s="200">
        <f t="shared" si="71"/>
        <v>2.9192456928204713E-2</v>
      </c>
      <c r="I102" s="11" t="str">
        <f t="shared" si="74"/>
        <v>Sales and customer service occupations</v>
      </c>
      <c r="J102" s="11">
        <v>52.998424530338035</v>
      </c>
      <c r="K102" s="11">
        <v>16.101732794479954</v>
      </c>
      <c r="L102" s="11">
        <v>-36.896691735858084</v>
      </c>
      <c r="M102" s="11">
        <v>10.813779566695871</v>
      </c>
      <c r="N102" s="11">
        <v>-26.08291216916221</v>
      </c>
      <c r="P102" s="11"/>
      <c r="Q102" s="11"/>
      <c r="R102" s="11"/>
      <c r="S102" s="11"/>
      <c r="T102" s="11"/>
      <c r="U102" s="11"/>
    </row>
    <row r="103" spans="1:21" x14ac:dyDescent="0.2">
      <c r="A103" t="str">
        <f t="shared" si="68"/>
        <v>34 Culture, media and sports occupations</v>
      </c>
      <c r="B103" s="11">
        <v>98.051298913238483</v>
      </c>
      <c r="C103" s="11">
        <v>84.560316868341644</v>
      </c>
      <c r="D103" s="11">
        <f t="shared" ref="D103:D104" si="75">C103-B103</f>
        <v>-13.490982044896839</v>
      </c>
      <c r="E103" s="11">
        <v>43.287755624383351</v>
      </c>
      <c r="F103" s="11">
        <f t="shared" ref="F103:F104" si="76">SUM(D103:E103)</f>
        <v>29.796773579486512</v>
      </c>
      <c r="G103" s="200">
        <f t="shared" si="71"/>
        <v>2.4677630605833833E-2</v>
      </c>
      <c r="I103" s="11" t="str">
        <f t="shared" si="74"/>
        <v>Process, plant and machine operatives</v>
      </c>
      <c r="J103" s="11">
        <v>53.761069208556606</v>
      </c>
      <c r="K103" s="11">
        <v>41.020646548407555</v>
      </c>
      <c r="L103" s="11">
        <v>-12.740422660149051</v>
      </c>
      <c r="M103" s="11">
        <v>19.890751684918094</v>
      </c>
      <c r="N103" s="11">
        <v>7.150329024769043</v>
      </c>
      <c r="P103" s="11"/>
      <c r="Q103" s="11"/>
      <c r="R103" s="11"/>
      <c r="S103" s="11"/>
      <c r="T103" s="11"/>
      <c r="U103" s="11"/>
    </row>
    <row r="104" spans="1:21" x14ac:dyDescent="0.2">
      <c r="A104" t="str">
        <f t="shared" si="68"/>
        <v>35 Business and public service associate professionals</v>
      </c>
      <c r="B104" s="11">
        <v>176.50779523517124</v>
      </c>
      <c r="C104" s="11">
        <v>129.61654015485277</v>
      </c>
      <c r="D104" s="11">
        <f t="shared" si="75"/>
        <v>-46.891255080318473</v>
      </c>
      <c r="E104" s="11">
        <v>75.405026768503973</v>
      </c>
      <c r="F104" s="11">
        <f t="shared" si="76"/>
        <v>28.5137716881855</v>
      </c>
      <c r="G104" s="200">
        <f t="shared" si="71"/>
        <v>2.3997961759574471E-2</v>
      </c>
      <c r="I104" s="11" t="str">
        <f t="shared" si="74"/>
        <v>Elementary occupations</v>
      </c>
      <c r="J104" s="11">
        <v>130.31985899871825</v>
      </c>
      <c r="K104" s="11">
        <v>74.094628294707519</v>
      </c>
      <c r="L104" s="11">
        <v>-56.225230704010727</v>
      </c>
      <c r="M104" s="11">
        <v>38.636826493294073</v>
      </c>
      <c r="N104" s="11">
        <v>-17.588404210716654</v>
      </c>
      <c r="P104" s="11"/>
      <c r="Q104" s="11"/>
      <c r="R104" s="11"/>
      <c r="S104" s="11"/>
      <c r="T104" s="11"/>
      <c r="U104" s="11"/>
    </row>
    <row r="105" spans="1:21" x14ac:dyDescent="0.2">
      <c r="A105" t="str">
        <f t="shared" si="68"/>
        <v>41 Administrative occupations</v>
      </c>
      <c r="B105" s="11">
        <v>109.91389749432282</v>
      </c>
      <c r="C105" s="11">
        <v>99.024567536152531</v>
      </c>
      <c r="D105" s="11">
        <f t="shared" si="69"/>
        <v>-10.889329958170293</v>
      </c>
      <c r="E105" s="11">
        <v>58.586689770339795</v>
      </c>
      <c r="F105" s="11">
        <f t="shared" si="70"/>
        <v>47.697359812169502</v>
      </c>
      <c r="G105" s="200">
        <f t="shared" si="71"/>
        <v>2.8892308645257048E-2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11"/>
      <c r="T105" s="11"/>
      <c r="U105" s="11"/>
    </row>
    <row r="106" spans="1:21" x14ac:dyDescent="0.2">
      <c r="A106" t="str">
        <f t="shared" si="68"/>
        <v>42 Secretarial and related occupations</v>
      </c>
      <c r="B106" s="11">
        <v>20.231420177567824</v>
      </c>
      <c r="C106" s="11">
        <v>33.674868669410117</v>
      </c>
      <c r="D106" s="11">
        <f t="shared" si="69"/>
        <v>13.443448491842293</v>
      </c>
      <c r="E106" s="11">
        <v>18.167094019861619</v>
      </c>
      <c r="F106" s="11">
        <f t="shared" si="70"/>
        <v>31.610542511703912</v>
      </c>
      <c r="G106" s="200">
        <f t="shared" si="71"/>
        <v>4.3644374925832841E-2</v>
      </c>
      <c r="I106" s="86" t="str">
        <f>name!F12</f>
        <v>No Qualification</v>
      </c>
      <c r="J106" s="11"/>
      <c r="K106" s="11"/>
      <c r="L106" s="11"/>
      <c r="M106" s="11"/>
      <c r="N106" s="11"/>
      <c r="O106" s="70"/>
      <c r="P106" s="11"/>
      <c r="Q106" s="11"/>
      <c r="R106" s="11"/>
      <c r="S106" s="11"/>
      <c r="T106" s="11"/>
      <c r="U106" s="11"/>
    </row>
    <row r="107" spans="1:21" x14ac:dyDescent="0.2">
      <c r="A107" t="str">
        <f t="shared" si="68"/>
        <v>51 Skilled agricultural and related trades</v>
      </c>
      <c r="B107" s="11">
        <v>5.3966196892948801</v>
      </c>
      <c r="C107" s="11">
        <v>8.722681479069756</v>
      </c>
      <c r="D107" s="11">
        <f t="shared" si="69"/>
        <v>3.3260617897748759</v>
      </c>
      <c r="E107" s="11">
        <v>5.45697983353024</v>
      </c>
      <c r="F107" s="11">
        <f t="shared" si="70"/>
        <v>8.7830416233051167</v>
      </c>
      <c r="G107" s="200">
        <f t="shared" si="71"/>
        <v>4.7683566847910752E-2</v>
      </c>
      <c r="I107" s="11" t="str">
        <f>I96</f>
        <v>Managers, directors and senior officials</v>
      </c>
      <c r="J107" s="11">
        <f t="array" ref="J107:J115">MMULT(aggregation!$B$38:$AA$46,B268:B293)</f>
        <v>8.8076828568312564</v>
      </c>
      <c r="K107" s="11">
        <f t="array" ref="K107:K115">MMULT(aggregation!$B$38:$AA$46,C268:C293)</f>
        <v>5.3016890478179608</v>
      </c>
      <c r="L107" s="11">
        <f t="array" ref="L107:L115">MMULT(aggregation!$B$38:$AA$46,D268:D293)</f>
        <v>-3.5059938090132956</v>
      </c>
      <c r="M107" s="11">
        <f t="array" ref="M107:M115">MMULT(aggregation!$B$38:$AA$46,E268:E293)</f>
        <v>2.2583237947848365</v>
      </c>
      <c r="N107" s="11">
        <f t="array" ref="N107:N115">MMULT(aggregation!$B$38:$AA$46,F268:F293)</f>
        <v>-1.2476700142284591</v>
      </c>
      <c r="P107" s="11"/>
      <c r="Q107" s="11"/>
      <c r="R107" s="11"/>
      <c r="S107" s="11"/>
      <c r="T107" s="11"/>
      <c r="U107" s="11"/>
    </row>
    <row r="108" spans="1:21" x14ac:dyDescent="0.2">
      <c r="A108" t="str">
        <f t="shared" si="68"/>
        <v>52 Skilled metal, electrical and electronic trades</v>
      </c>
      <c r="B108" s="11">
        <v>11.391482684952548</v>
      </c>
      <c r="C108" s="11">
        <v>16.479953010390613</v>
      </c>
      <c r="D108" s="11">
        <f t="shared" si="69"/>
        <v>5.088470325438065</v>
      </c>
      <c r="E108" s="11">
        <v>7.3187015033358138</v>
      </c>
      <c r="F108" s="11">
        <f t="shared" si="70"/>
        <v>12.40717182877388</v>
      </c>
      <c r="G108" s="200">
        <f t="shared" si="71"/>
        <v>3.3633367259435332E-2</v>
      </c>
      <c r="I108" s="11" t="str">
        <f>I97</f>
        <v>Professional occupations</v>
      </c>
      <c r="J108" s="11">
        <v>9.2916013221237996</v>
      </c>
      <c r="K108" s="11">
        <v>7.4441501799381973</v>
      </c>
      <c r="L108" s="11">
        <v>-1.847451142185601</v>
      </c>
      <c r="M108" s="11">
        <v>2.823450574157194</v>
      </c>
      <c r="N108" s="11">
        <v>0.975999431971593</v>
      </c>
      <c r="P108" s="84"/>
      <c r="Q108" s="73"/>
      <c r="R108" s="73"/>
      <c r="S108" s="71"/>
      <c r="T108" s="71"/>
      <c r="U108" s="71"/>
    </row>
    <row r="109" spans="1:21" x14ac:dyDescent="0.2">
      <c r="A109" t="str">
        <f t="shared" si="68"/>
        <v>53 Skilled construction and building trades</v>
      </c>
      <c r="B109" s="11">
        <v>7.2624540440612675</v>
      </c>
      <c r="C109" s="11">
        <v>10.492868524528239</v>
      </c>
      <c r="D109" s="11">
        <f t="shared" ref="D109" si="77">C109-B109</f>
        <v>3.2304144804669717</v>
      </c>
      <c r="E109" s="11">
        <v>5.4845638144317537</v>
      </c>
      <c r="F109" s="11">
        <f t="shared" ref="F109" si="78">SUM(D109:E109)</f>
        <v>8.7149782948987244</v>
      </c>
      <c r="G109" s="200">
        <f t="shared" si="71"/>
        <v>3.8217503529064389E-2</v>
      </c>
      <c r="I109" s="11" t="str">
        <f>I98</f>
        <v>Associate professional occupations</v>
      </c>
      <c r="J109" s="11">
        <v>11.73242205091826</v>
      </c>
      <c r="K109" s="11">
        <v>9.298808147980111</v>
      </c>
      <c r="L109" s="11">
        <v>-2.4336139029381489</v>
      </c>
      <c r="M109" s="11">
        <v>3.2290490454804659</v>
      </c>
      <c r="N109" s="11">
        <v>0.79543514254231651</v>
      </c>
      <c r="P109" s="11"/>
      <c r="Q109" s="11"/>
      <c r="R109" s="11"/>
      <c r="S109" s="11"/>
      <c r="T109" s="11"/>
      <c r="U109" s="11"/>
    </row>
    <row r="110" spans="1:21" x14ac:dyDescent="0.2">
      <c r="A110" t="str">
        <f t="shared" si="68"/>
        <v>54 Textiles, printing and other skilled trades</v>
      </c>
      <c r="B110" s="11">
        <v>14.64583448727317</v>
      </c>
      <c r="C110" s="11">
        <v>23.679497150082206</v>
      </c>
      <c r="D110" s="11">
        <f t="shared" si="69"/>
        <v>9.0336626628090357</v>
      </c>
      <c r="E110" s="11">
        <v>10.803434508252039</v>
      </c>
      <c r="F110" s="11">
        <f t="shared" si="70"/>
        <v>19.837097171061075</v>
      </c>
      <c r="G110" s="200">
        <f t="shared" si="71"/>
        <v>3.7522234754728823E-2</v>
      </c>
      <c r="I110" s="11" t="str">
        <f>I99</f>
        <v>Administrative and secretarial occupations</v>
      </c>
      <c r="J110" s="11">
        <v>11.567240386710333</v>
      </c>
      <c r="K110" s="11">
        <v>5.5988295736026554</v>
      </c>
      <c r="L110" s="11">
        <v>-5.9684108131076776</v>
      </c>
      <c r="M110" s="11">
        <v>2.8277848164873145</v>
      </c>
      <c r="N110" s="11">
        <v>-3.1406259966203631</v>
      </c>
      <c r="P110" s="11"/>
      <c r="Q110" s="11"/>
      <c r="R110" s="11"/>
      <c r="S110" s="11"/>
      <c r="T110" s="11"/>
      <c r="U110" s="11"/>
    </row>
    <row r="111" spans="1:21" x14ac:dyDescent="0.2">
      <c r="A111" t="str">
        <f t="shared" si="68"/>
        <v>61 Caring personal service occupations</v>
      </c>
      <c r="B111" s="11">
        <v>44.02523081375093</v>
      </c>
      <c r="C111" s="11">
        <v>50.97194387860263</v>
      </c>
      <c r="D111" s="11">
        <f>C111-B111</f>
        <v>6.9467130648516999</v>
      </c>
      <c r="E111" s="11">
        <v>31.436091034259341</v>
      </c>
      <c r="F111" s="11">
        <f>SUM(D111:E111)</f>
        <v>38.382804099111041</v>
      </c>
      <c r="G111" s="200">
        <f t="shared" si="71"/>
        <v>3.6576879435625376E-2</v>
      </c>
      <c r="I111" s="11" t="str">
        <f t="shared" ref="I111:I115" si="79">I100</f>
        <v>Skilled trades occupations</v>
      </c>
      <c r="J111" s="11">
        <v>20.484349310983418</v>
      </c>
      <c r="K111" s="11">
        <v>5.4693636558119039</v>
      </c>
      <c r="L111" s="11">
        <v>-15.014985655171515</v>
      </c>
      <c r="M111" s="11">
        <v>3.8524353702189975</v>
      </c>
      <c r="N111" s="11">
        <v>-11.162550284952516</v>
      </c>
      <c r="P111" s="11"/>
      <c r="Q111" s="11"/>
      <c r="R111" s="11"/>
      <c r="S111" s="11"/>
      <c r="T111" s="11"/>
      <c r="U111" s="11"/>
    </row>
    <row r="112" spans="1:21" x14ac:dyDescent="0.2">
      <c r="A112" t="str">
        <f t="shared" si="68"/>
        <v>62 Leisure, travel and related personal service occupations</v>
      </c>
      <c r="B112" s="11">
        <v>15.689622073215595</v>
      </c>
      <c r="C112" s="11">
        <v>23.513176963217433</v>
      </c>
      <c r="D112" s="11">
        <f t="shared" ref="D112:D113" si="80">C112-B112</f>
        <v>7.8235548900018372</v>
      </c>
      <c r="E112" s="11">
        <v>11.909247882989355</v>
      </c>
      <c r="F112" s="11">
        <f t="shared" ref="F112:F113" si="81">SUM(D112:E112)</f>
        <v>19.732802772991192</v>
      </c>
      <c r="G112" s="200">
        <f t="shared" si="71"/>
        <v>3.836949533048073E-2</v>
      </c>
      <c r="I112" s="11" t="str">
        <f t="shared" si="79"/>
        <v>Caring, leisure and other service occupations</v>
      </c>
      <c r="J112" s="11">
        <v>7.763730743861502</v>
      </c>
      <c r="K112" s="11">
        <v>3.8388421243006015</v>
      </c>
      <c r="L112" s="11">
        <v>-3.9248886195609001</v>
      </c>
      <c r="M112" s="11">
        <v>1.6728941753865798</v>
      </c>
      <c r="N112" s="11">
        <v>-2.2519944441743207</v>
      </c>
      <c r="P112" s="11"/>
      <c r="Q112" s="11"/>
      <c r="R112" s="11"/>
      <c r="S112" s="11"/>
      <c r="T112" s="11"/>
      <c r="U112" s="11"/>
    </row>
    <row r="113" spans="1:21" x14ac:dyDescent="0.2">
      <c r="A113" t="str">
        <f t="shared" si="68"/>
        <v>63 Community and civil enforcement occupations</v>
      </c>
      <c r="B113" s="11">
        <v>1.6664791952496909</v>
      </c>
      <c r="C113" s="11">
        <v>1.8726206857816292</v>
      </c>
      <c r="D113" s="11">
        <f t="shared" si="80"/>
        <v>0.20614149053193831</v>
      </c>
      <c r="E113" s="11">
        <v>1.2024461599724523</v>
      </c>
      <c r="F113" s="11">
        <f t="shared" si="81"/>
        <v>1.4085876505043906</v>
      </c>
      <c r="G113" s="200">
        <f t="shared" si="71"/>
        <v>3.6878708903963275E-2</v>
      </c>
      <c r="I113" s="11" t="str">
        <f t="shared" si="79"/>
        <v>Sales and customer service occupations</v>
      </c>
      <c r="J113" s="11">
        <v>15.395987106002902</v>
      </c>
      <c r="K113" s="11">
        <v>5.1603659002969433</v>
      </c>
      <c r="L113" s="11">
        <v>-10.235621205705957</v>
      </c>
      <c r="M113" s="11">
        <v>2.5355467290052971</v>
      </c>
      <c r="N113" s="11">
        <v>-7.7000744767006601</v>
      </c>
      <c r="P113" s="11"/>
      <c r="Q113" s="11"/>
      <c r="R113" s="11"/>
      <c r="S113" s="11"/>
      <c r="T113" s="11"/>
      <c r="U113" s="11"/>
    </row>
    <row r="114" spans="1:21" x14ac:dyDescent="0.2">
      <c r="A114" t="str">
        <f t="shared" si="68"/>
        <v>71 Sales occupations</v>
      </c>
      <c r="B114" s="11">
        <v>56.278011557006622</v>
      </c>
      <c r="C114" s="11">
        <v>63.131579335566194</v>
      </c>
      <c r="D114" s="11">
        <f t="shared" si="69"/>
        <v>6.8535677785595723</v>
      </c>
      <c r="E114" s="11">
        <v>32.505332042032187</v>
      </c>
      <c r="F114" s="11">
        <f t="shared" si="70"/>
        <v>39.358899820591759</v>
      </c>
      <c r="G114" s="200">
        <f t="shared" si="71"/>
        <v>3.0859593164774823E-2</v>
      </c>
      <c r="I114" s="11" t="str">
        <f t="shared" si="79"/>
        <v>Process, plant and machine operatives</v>
      </c>
      <c r="J114" s="11">
        <v>18.17056403760084</v>
      </c>
      <c r="K114" s="11">
        <v>6.3849439325879933</v>
      </c>
      <c r="L114" s="11">
        <v>-11.785620105012848</v>
      </c>
      <c r="M114" s="11">
        <v>4.5073058692690822</v>
      </c>
      <c r="N114" s="11">
        <v>-7.2783142357437667</v>
      </c>
      <c r="P114" s="11"/>
      <c r="Q114" s="11"/>
      <c r="R114" s="11"/>
      <c r="S114" s="11"/>
      <c r="T114" s="11"/>
      <c r="U114" s="11"/>
    </row>
    <row r="115" spans="1:21" x14ac:dyDescent="0.2">
      <c r="A115" t="str">
        <f t="shared" si="68"/>
        <v>72 Customer service occupations</v>
      </c>
      <c r="B115" s="11">
        <v>19.38796736088262</v>
      </c>
      <c r="C115" s="11">
        <v>28.061372976896649</v>
      </c>
      <c r="D115" s="11">
        <f t="shared" si="69"/>
        <v>8.6734056160140298</v>
      </c>
      <c r="E115" s="11">
        <v>13.065328329330866</v>
      </c>
      <c r="F115" s="11">
        <f t="shared" si="70"/>
        <v>21.738733945344897</v>
      </c>
      <c r="G115" s="200">
        <f t="shared" si="71"/>
        <v>3.4939831321810777E-2</v>
      </c>
      <c r="I115" s="11" t="str">
        <f t="shared" si="79"/>
        <v>Elementary occupations</v>
      </c>
      <c r="J115" s="11">
        <v>42.059154085697301</v>
      </c>
      <c r="K115" s="11">
        <v>12.374253493565153</v>
      </c>
      <c r="L115" s="11">
        <v>-29.684900592132148</v>
      </c>
      <c r="M115" s="11">
        <v>6.4888633479651823</v>
      </c>
      <c r="N115" s="11">
        <v>-23.196037244166966</v>
      </c>
      <c r="P115" s="11"/>
      <c r="Q115" s="11"/>
      <c r="R115" s="11"/>
      <c r="S115" s="11"/>
      <c r="T115" s="11"/>
      <c r="U115" s="11"/>
    </row>
    <row r="116" spans="1:21" x14ac:dyDescent="0.2">
      <c r="A116" t="str">
        <f t="shared" si="68"/>
        <v>81 Process, plant and machine operatives</v>
      </c>
      <c r="B116" s="11">
        <v>2.4890497526014994</v>
      </c>
      <c r="C116" s="11">
        <v>5.7075678546387483</v>
      </c>
      <c r="D116" s="11">
        <f t="shared" ref="D116:D117" si="82">C116-B116</f>
        <v>3.2185181020372489</v>
      </c>
      <c r="E116" s="11">
        <v>2.2030604454303253</v>
      </c>
      <c r="F116" s="11">
        <f t="shared" ref="F116:F117" si="83">SUM(D116:E116)</f>
        <v>5.4215785474675737</v>
      </c>
      <c r="G116" s="200">
        <f t="shared" si="71"/>
        <v>4.3171327822985051E-2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11"/>
      <c r="T116" s="11"/>
      <c r="U116" s="11"/>
    </row>
    <row r="117" spans="1:21" x14ac:dyDescent="0.2">
      <c r="A117" t="str">
        <f t="shared" si="68"/>
        <v>82 Transport and mobile machine drivers and operatives</v>
      </c>
      <c r="B117" s="11">
        <v>16.226574911703683</v>
      </c>
      <c r="C117" s="11">
        <v>24.0121031091867</v>
      </c>
      <c r="D117" s="11">
        <f t="shared" si="82"/>
        <v>7.7855281974830177</v>
      </c>
      <c r="E117" s="11">
        <v>15.121961749056814</v>
      </c>
      <c r="F117" s="11">
        <f t="shared" si="83"/>
        <v>22.907489946539833</v>
      </c>
      <c r="G117" s="200">
        <f t="shared" si="71"/>
        <v>4.4879064438431815E-2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11"/>
      <c r="T117" s="11"/>
      <c r="U117" s="11"/>
    </row>
    <row r="118" spans="1:21" x14ac:dyDescent="0.2">
      <c r="A118" t="str">
        <f t="shared" si="68"/>
        <v>91 Elementary trades and related occupations</v>
      </c>
      <c r="B118" s="11">
        <v>2.2777434825301079</v>
      </c>
      <c r="C118" s="11">
        <v>1.9702841456227032</v>
      </c>
      <c r="D118" s="11">
        <f t="shared" si="69"/>
        <v>-0.30745933690740479</v>
      </c>
      <c r="E118" s="11">
        <v>1.2421049812812581</v>
      </c>
      <c r="F118" s="11">
        <f t="shared" si="70"/>
        <v>0.93464564437385333</v>
      </c>
      <c r="G118" s="200">
        <f t="shared" si="71"/>
        <v>2.9440563471500258E-2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11"/>
      <c r="T118" s="11"/>
      <c r="U118" s="11"/>
    </row>
    <row r="119" spans="1:21" x14ac:dyDescent="0.2">
      <c r="A119" t="str">
        <f t="shared" si="68"/>
        <v>92 Elementary administration and service occupations</v>
      </c>
      <c r="B119" s="11">
        <v>67.199874472300124</v>
      </c>
      <c r="C119" s="11">
        <v>92.861650975735515</v>
      </c>
      <c r="D119" s="11">
        <f t="shared" ref="D119" si="84">C119-B119</f>
        <v>25.661776503435391</v>
      </c>
      <c r="E119" s="11">
        <v>54.526377147225126</v>
      </c>
      <c r="F119" s="11">
        <f t="shared" ref="F119" si="85">SUM(D119:E119)</f>
        <v>80.188153650660524</v>
      </c>
      <c r="G119" s="200">
        <f t="shared" ref="G119" si="86">IF(B119&gt;0,(1+(E119/B119))^(1/($C$6-$B$6))-1,0)</f>
        <v>4.0401698345404302E-2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11"/>
      <c r="T119" s="11"/>
      <c r="U119" s="11"/>
    </row>
    <row r="120" spans="1:21" x14ac:dyDescent="0.2">
      <c r="A120" t="str">
        <f t="shared" si="68"/>
        <v>All occupations</v>
      </c>
      <c r="B120" s="11">
        <f>SUM(B94:B119)</f>
        <v>1631.9926000135545</v>
      </c>
      <c r="C120" s="11">
        <f t="shared" ref="C120:F120" si="87">SUM(C94:C119)</f>
        <v>1477.5462269510288</v>
      </c>
      <c r="D120" s="11">
        <f t="shared" si="87"/>
        <v>-154.44637306252559</v>
      </c>
      <c r="E120" s="11">
        <f t="shared" si="87"/>
        <v>848.18283501785947</v>
      </c>
      <c r="F120" s="11">
        <f t="shared" si="87"/>
        <v>693.73646195533388</v>
      </c>
      <c r="G120" s="200">
        <f t="shared" si="71"/>
        <v>2.829474036765145E-2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11"/>
      <c r="T120" s="11"/>
      <c r="U120" s="1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11"/>
      <c r="T121" s="11"/>
      <c r="U121" s="11"/>
    </row>
    <row r="122" spans="1:21" ht="38.25" x14ac:dyDescent="0.2">
      <c r="A122" s="201" t="str">
        <f>CONCATENATE(name!F7," (Constrained)")</f>
        <v>RQF5 Foundation degree;Nursing;Teaching (Constrained)</v>
      </c>
      <c r="B122" s="74">
        <f t="shared" ref="B122:G122" si="88">B35</f>
        <v>2020</v>
      </c>
      <c r="C122" s="74">
        <f t="shared" si="88"/>
        <v>2035</v>
      </c>
      <c r="D122" s="87" t="str">
        <f t="shared" si="88"/>
        <v>Net Change</v>
      </c>
      <c r="E122" s="87" t="str">
        <f t="shared" si="88"/>
        <v>Replacement Demand level</v>
      </c>
      <c r="F122" s="87" t="str">
        <f t="shared" si="88"/>
        <v>Total Requirement</v>
      </c>
      <c r="G122" s="87" t="str">
        <f t="shared" si="88"/>
        <v>Replacement Demand rate</v>
      </c>
      <c r="I122" s="84"/>
      <c r="J122" s="73"/>
      <c r="K122" s="73"/>
      <c r="L122" s="71"/>
      <c r="M122" s="71"/>
      <c r="N122" s="71"/>
      <c r="P122" s="11"/>
      <c r="Q122" s="11"/>
      <c r="R122" s="11"/>
      <c r="S122" s="11"/>
      <c r="T122" s="11"/>
      <c r="U122" s="11"/>
    </row>
    <row r="123" spans="1:21" x14ac:dyDescent="0.2">
      <c r="A123" t="str">
        <f t="shared" ref="A123:A149" si="89">A36</f>
        <v>11 Corporate managers and directors</v>
      </c>
      <c r="B123" s="11">
        <v>28.542800274104131</v>
      </c>
      <c r="C123" s="11">
        <v>22.660628114174017</v>
      </c>
      <c r="D123" s="11">
        <f>C123-B123</f>
        <v>-5.8821721599301142</v>
      </c>
      <c r="E123" s="11">
        <v>12.778889651528633</v>
      </c>
      <c r="F123" s="11">
        <f>SUM(D123:E123)</f>
        <v>6.896717491598519</v>
      </c>
      <c r="G123" s="200">
        <f>IF(B123&gt;0,(1+(E123/B123))^(1/($C$6-$B$6))-1,0)</f>
        <v>2.4972231642748532E-2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11"/>
      <c r="T123" s="11"/>
      <c r="U123" s="11"/>
    </row>
    <row r="124" spans="1:21" x14ac:dyDescent="0.2">
      <c r="A124" t="str">
        <f t="shared" si="89"/>
        <v>12 Other managers and proprietors</v>
      </c>
      <c r="B124" s="11">
        <v>13.572825573918719</v>
      </c>
      <c r="C124" s="11">
        <v>15.203880205285746</v>
      </c>
      <c r="D124" s="11">
        <f t="shared" ref="D124:D139" si="90">C124-B124</f>
        <v>1.6310546313670269</v>
      </c>
      <c r="E124" s="11">
        <v>9.5288863024994903</v>
      </c>
      <c r="F124" s="11">
        <f t="shared" ref="F124:F131" si="91">SUM(D124:E124)</f>
        <v>11.159940933866517</v>
      </c>
      <c r="G124" s="200">
        <f t="shared" ref="G124:G149" si="92">IF(B124&gt;0,(1+(E124/B124))^(1/($C$6-$B$6))-1,0)</f>
        <v>3.6091855151794805E-2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11"/>
      <c r="T124" s="11"/>
      <c r="U124" s="11"/>
    </row>
    <row r="125" spans="1:21" x14ac:dyDescent="0.2">
      <c r="A125" t="str">
        <f t="shared" si="89"/>
        <v>21 Science, research, engineering and technology professionals</v>
      </c>
      <c r="B125" s="11">
        <v>17.058868419809119</v>
      </c>
      <c r="C125" s="11">
        <v>15.379616291987611</v>
      </c>
      <c r="D125" s="11">
        <f t="shared" si="90"/>
        <v>-1.679252127821508</v>
      </c>
      <c r="E125" s="11">
        <v>6.6309229519210522</v>
      </c>
      <c r="F125" s="11">
        <f t="shared" si="91"/>
        <v>4.9516708240995442</v>
      </c>
      <c r="G125" s="200">
        <f t="shared" si="92"/>
        <v>2.2132979325493851E-2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11"/>
      <c r="T125" s="11"/>
      <c r="U125" s="11"/>
    </row>
    <row r="126" spans="1:21" x14ac:dyDescent="0.2">
      <c r="A126" t="str">
        <f t="shared" si="89"/>
        <v>22 Health professionals</v>
      </c>
      <c r="B126" s="11">
        <v>33.255387040998428</v>
      </c>
      <c r="C126" s="11">
        <v>7.3346640885660079</v>
      </c>
      <c r="D126" s="11">
        <f t="shared" si="90"/>
        <v>-25.920722952432421</v>
      </c>
      <c r="E126" s="11">
        <v>6.4938321407731436</v>
      </c>
      <c r="F126" s="11">
        <f t="shared" si="91"/>
        <v>-19.426890811659277</v>
      </c>
      <c r="G126" s="200">
        <f t="shared" si="92"/>
        <v>1.1962547548150182E-2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11"/>
      <c r="T126" s="11"/>
      <c r="U126" s="11"/>
    </row>
    <row r="127" spans="1:21" x14ac:dyDescent="0.2">
      <c r="A127" t="str">
        <f t="shared" si="89"/>
        <v>23 Teaching and other educational professionals</v>
      </c>
      <c r="B127" s="11">
        <v>7.537191078046293</v>
      </c>
      <c r="C127" s="11">
        <v>5.2593254152712623</v>
      </c>
      <c r="D127" s="11">
        <f t="shared" si="90"/>
        <v>-2.2778656627750307</v>
      </c>
      <c r="E127" s="11">
        <v>1.8681823880934365</v>
      </c>
      <c r="F127" s="11">
        <f t="shared" si="91"/>
        <v>-0.40968327468159416</v>
      </c>
      <c r="G127" s="200">
        <f>IF(B127&gt;0,(1+(E127/B127))^(1/($C$6-$B$6))-1,0)</f>
        <v>1.48716043511814E-2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11"/>
      <c r="T127" s="11"/>
      <c r="U127" s="11"/>
    </row>
    <row r="128" spans="1:21" x14ac:dyDescent="0.2">
      <c r="A128" t="str">
        <f t="shared" si="89"/>
        <v>24 Business, media and public service professionals</v>
      </c>
      <c r="B128" s="11">
        <v>22.262060190497596</v>
      </c>
      <c r="C128" s="11">
        <v>18.34887192122719</v>
      </c>
      <c r="D128" s="11">
        <f t="shared" si="90"/>
        <v>-3.9131882692704067</v>
      </c>
      <c r="E128" s="11">
        <v>8.0086014636436467</v>
      </c>
      <c r="F128" s="11">
        <f t="shared" si="91"/>
        <v>4.0954131943732399</v>
      </c>
      <c r="G128" s="200">
        <f t="shared" si="92"/>
        <v>2.0697624629536282E-2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11"/>
      <c r="T128" s="11"/>
      <c r="U128" s="11"/>
    </row>
    <row r="129" spans="1:21" x14ac:dyDescent="0.2">
      <c r="A129" t="str">
        <f t="shared" si="89"/>
        <v>31 Science, engineering and technology associate professionals</v>
      </c>
      <c r="B129" s="11">
        <v>5.9104143687334654</v>
      </c>
      <c r="C129" s="11">
        <v>7.011612554952114</v>
      </c>
      <c r="D129" s="11">
        <f t="shared" si="90"/>
        <v>1.1011981862186486</v>
      </c>
      <c r="E129" s="11">
        <v>3.1511039786807329</v>
      </c>
      <c r="F129" s="11">
        <f t="shared" si="91"/>
        <v>4.2523021648993815</v>
      </c>
      <c r="G129" s="200">
        <f t="shared" si="92"/>
        <v>2.8897715564738302E-2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11"/>
      <c r="T129" s="11"/>
      <c r="U129" s="11"/>
    </row>
    <row r="130" spans="1:21" x14ac:dyDescent="0.2">
      <c r="A130" t="str">
        <f t="shared" si="89"/>
        <v>32 Health and social care associate professionals</v>
      </c>
      <c r="B130" s="11">
        <v>18.22015371165989</v>
      </c>
      <c r="C130" s="11">
        <v>6.5065942335091318</v>
      </c>
      <c r="D130" s="11">
        <f t="shared" si="90"/>
        <v>-11.713559478150758</v>
      </c>
      <c r="E130" s="11">
        <v>4.8955143233742886</v>
      </c>
      <c r="F130" s="11">
        <f t="shared" si="91"/>
        <v>-6.8180451547764696</v>
      </c>
      <c r="G130" s="200">
        <f t="shared" si="92"/>
        <v>1.5992013726554122E-2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11"/>
      <c r="T130" s="11"/>
      <c r="U130" s="11"/>
    </row>
    <row r="131" spans="1:21" x14ac:dyDescent="0.2">
      <c r="A131" t="str">
        <f t="shared" si="89"/>
        <v>33 Protective service occupations</v>
      </c>
      <c r="B131" s="11">
        <v>6.5255242885699438</v>
      </c>
      <c r="C131" s="11">
        <v>9.7609637104336979</v>
      </c>
      <c r="D131" s="11">
        <f t="shared" si="90"/>
        <v>3.2354394218637541</v>
      </c>
      <c r="E131" s="11">
        <v>3.2266773400490449</v>
      </c>
      <c r="F131" s="11">
        <f t="shared" si="91"/>
        <v>6.4621167619127995</v>
      </c>
      <c r="G131" s="200">
        <f t="shared" si="92"/>
        <v>2.7146721035466115E-2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11"/>
      <c r="T131" s="11"/>
      <c r="U131" s="11"/>
    </row>
    <row r="132" spans="1:21" x14ac:dyDescent="0.2">
      <c r="A132" t="str">
        <f t="shared" si="89"/>
        <v>34 Culture, media and sports occupations</v>
      </c>
      <c r="B132" s="11">
        <v>15.850395797999212</v>
      </c>
      <c r="C132" s="11">
        <v>17.382129824115989</v>
      </c>
      <c r="D132" s="11">
        <f t="shared" si="90"/>
        <v>1.5317340261167764</v>
      </c>
      <c r="E132" s="11">
        <v>8.0548402968971491</v>
      </c>
      <c r="F132" s="11">
        <f t="shared" ref="F132:F133" si="93">SUM(D132:E132)</f>
        <v>9.5865743230139255</v>
      </c>
      <c r="G132" s="200">
        <f t="shared" si="92"/>
        <v>2.7772189017988946E-2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11"/>
      <c r="T132" s="11"/>
      <c r="U132" s="11"/>
    </row>
    <row r="133" spans="1:21" x14ac:dyDescent="0.2">
      <c r="A133" t="str">
        <f t="shared" si="89"/>
        <v>35 Business and public service associate professionals</v>
      </c>
      <c r="B133" s="11">
        <v>44.137580810812061</v>
      </c>
      <c r="C133" s="11">
        <v>36.299729020138223</v>
      </c>
      <c r="D133" s="11">
        <f t="shared" si="90"/>
        <v>-7.8378517906738381</v>
      </c>
      <c r="E133" s="11">
        <v>19.195761036637016</v>
      </c>
      <c r="F133" s="11">
        <f t="shared" si="93"/>
        <v>11.357909245963178</v>
      </c>
      <c r="G133" s="200">
        <f t="shared" si="92"/>
        <v>2.4365457516404065E-2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11"/>
      <c r="T133" s="11"/>
      <c r="U133" s="11"/>
    </row>
    <row r="134" spans="1:21" x14ac:dyDescent="0.2">
      <c r="A134" t="str">
        <f t="shared" si="89"/>
        <v>41 Administrative occupations</v>
      </c>
      <c r="B134" s="11">
        <v>34.541934579091865</v>
      </c>
      <c r="C134" s="11">
        <v>29.356684210111609</v>
      </c>
      <c r="D134" s="11">
        <f t="shared" si="90"/>
        <v>-5.185250368980256</v>
      </c>
      <c r="E134" s="11">
        <v>18.411763610364559</v>
      </c>
      <c r="F134" s="11">
        <f t="shared" ref="F134:F137" si="94">SUM(D134:E134)</f>
        <v>13.226513241384303</v>
      </c>
      <c r="G134" s="200">
        <f t="shared" si="92"/>
        <v>2.889243937534669E-2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11"/>
      <c r="T134" s="11"/>
      <c r="U134" s="11"/>
    </row>
    <row r="135" spans="1:21" x14ac:dyDescent="0.2">
      <c r="A135" t="str">
        <f t="shared" si="89"/>
        <v>42 Secretarial and related occupations</v>
      </c>
      <c r="B135" s="11">
        <v>8.9975048535047648</v>
      </c>
      <c r="C135" s="11">
        <v>12.183597969282641</v>
      </c>
      <c r="D135" s="11">
        <f t="shared" si="90"/>
        <v>3.1860931157778758</v>
      </c>
      <c r="E135" s="11">
        <v>7.0064170370639154</v>
      </c>
      <c r="F135" s="11">
        <f t="shared" si="94"/>
        <v>10.192510152841791</v>
      </c>
      <c r="G135" s="200">
        <f t="shared" si="92"/>
        <v>3.9138946323774571E-2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89"/>
        <v>51 Skilled agricultural and related trades</v>
      </c>
      <c r="B136" s="11">
        <v>2.7242844180045873</v>
      </c>
      <c r="C136" s="11">
        <v>3.9775352386534957</v>
      </c>
      <c r="D136" s="11">
        <f t="shared" si="90"/>
        <v>1.2532508206489084</v>
      </c>
      <c r="E136" s="11">
        <v>2.8104548707947252</v>
      </c>
      <c r="F136" s="11">
        <f t="shared" si="94"/>
        <v>4.0637056914436336</v>
      </c>
      <c r="G136" s="200">
        <f t="shared" si="92"/>
        <v>4.8390269566387367E-2</v>
      </c>
      <c r="I136" s="11"/>
      <c r="J136" s="11"/>
      <c r="K136" s="11"/>
      <c r="L136" s="11"/>
      <c r="M136" s="11"/>
      <c r="N136" s="11"/>
      <c r="O136" s="70"/>
    </row>
    <row r="137" spans="1:21" x14ac:dyDescent="0.2">
      <c r="A137" t="str">
        <f t="shared" si="89"/>
        <v>52 Skilled metal, electrical and electronic trades</v>
      </c>
      <c r="B137" s="11">
        <v>4.0226830426133997</v>
      </c>
      <c r="C137" s="11">
        <v>6.2178668668928951</v>
      </c>
      <c r="D137" s="11">
        <f t="shared" si="90"/>
        <v>2.1951838242794954</v>
      </c>
      <c r="E137" s="11">
        <v>2.4746354364378731</v>
      </c>
      <c r="F137" s="11">
        <f t="shared" si="94"/>
        <v>4.6698192607173681</v>
      </c>
      <c r="G137" s="200">
        <f t="shared" si="92"/>
        <v>3.2478989442040085E-2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89"/>
        <v>53 Skilled construction and building trades</v>
      </c>
      <c r="B138" s="11">
        <v>4.8290768549880498</v>
      </c>
      <c r="C138" s="11">
        <v>7.3119241893887637</v>
      </c>
      <c r="D138" s="11">
        <f t="shared" si="90"/>
        <v>2.4828473344007138</v>
      </c>
      <c r="E138" s="11">
        <v>3.921149677669669</v>
      </c>
      <c r="F138" s="11">
        <f t="shared" ref="F138" si="95">SUM(D138:E138)</f>
        <v>6.4039970120703824</v>
      </c>
      <c r="G138" s="200">
        <f t="shared" si="92"/>
        <v>4.0423960585940888E-2</v>
      </c>
      <c r="I138" s="11"/>
      <c r="J138" s="11"/>
      <c r="K138" s="11"/>
      <c r="L138" s="11"/>
      <c r="M138" s="11"/>
      <c r="N138" s="11"/>
      <c r="P138" s="84"/>
      <c r="Q138" s="73"/>
      <c r="R138" s="73"/>
      <c r="S138" s="71"/>
      <c r="T138" s="71"/>
      <c r="U138" s="71"/>
    </row>
    <row r="139" spans="1:21" x14ac:dyDescent="0.2">
      <c r="A139" t="str">
        <f t="shared" si="89"/>
        <v>54 Textiles, printing and other skilled trades</v>
      </c>
      <c r="B139" s="11">
        <v>5.1977532394417816</v>
      </c>
      <c r="C139" s="11">
        <v>6.1076459410395945</v>
      </c>
      <c r="D139" s="11">
        <f t="shared" si="90"/>
        <v>0.90989270159781288</v>
      </c>
      <c r="E139" s="11">
        <v>3.0713867814517357</v>
      </c>
      <c r="F139" s="11">
        <f t="shared" ref="F139" si="96">SUM(D139:E139)</f>
        <v>3.9812794830495486</v>
      </c>
      <c r="G139" s="200">
        <f t="shared" si="92"/>
        <v>3.1437647710337746E-2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11"/>
      <c r="T139" s="11"/>
      <c r="U139" s="11"/>
    </row>
    <row r="140" spans="1:21" x14ac:dyDescent="0.2">
      <c r="A140" t="str">
        <f t="shared" si="89"/>
        <v>61 Caring personal service occupations</v>
      </c>
      <c r="B140" s="11">
        <v>35.406062983851285</v>
      </c>
      <c r="C140" s="11">
        <v>31.015656933045872</v>
      </c>
      <c r="D140" s="11">
        <f>C140-B140</f>
        <v>-4.3904060508054137</v>
      </c>
      <c r="E140" s="11">
        <v>20.114518080991296</v>
      </c>
      <c r="F140" s="11">
        <f>SUM(D140:E140)</f>
        <v>15.724112030185882</v>
      </c>
      <c r="G140" s="200">
        <f t="shared" si="92"/>
        <v>3.0445651872449853E-2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11"/>
      <c r="T140" s="11"/>
      <c r="U140" s="11"/>
    </row>
    <row r="141" spans="1:21" x14ac:dyDescent="0.2">
      <c r="A141" t="str">
        <f t="shared" si="89"/>
        <v>62 Leisure, travel and related personal service occupations</v>
      </c>
      <c r="B141" s="11">
        <v>9.980234758489372</v>
      </c>
      <c r="C141" s="11">
        <v>14.24990928726867</v>
      </c>
      <c r="D141" s="11">
        <f t="shared" ref="D141:D147" si="97">C141-B141</f>
        <v>4.2696745287792979</v>
      </c>
      <c r="E141" s="11">
        <v>7.7245542650495524</v>
      </c>
      <c r="F141" s="11">
        <f t="shared" ref="F141:F142" si="98">SUM(D141:E141)</f>
        <v>11.994228793828849</v>
      </c>
      <c r="G141" s="200">
        <f t="shared" si="92"/>
        <v>3.8954830428285403E-2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11"/>
      <c r="T141" s="11"/>
      <c r="U141" s="11"/>
    </row>
    <row r="142" spans="1:21" x14ac:dyDescent="0.2">
      <c r="A142" t="str">
        <f t="shared" si="89"/>
        <v>63 Community and civil enforcement occupations</v>
      </c>
      <c r="B142" s="11">
        <v>0.50500137968260994</v>
      </c>
      <c r="C142" s="11">
        <v>0.45502999254837728</v>
      </c>
      <c r="D142" s="11">
        <f t="shared" si="97"/>
        <v>-4.9971387134232659E-2</v>
      </c>
      <c r="E142" s="11">
        <v>0.28149614454273886</v>
      </c>
      <c r="F142" s="11">
        <f t="shared" si="98"/>
        <v>0.2315247574085062</v>
      </c>
      <c r="G142" s="200">
        <f t="shared" si="92"/>
        <v>2.9975718360030656E-2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11"/>
      <c r="T142" s="11"/>
      <c r="U142" s="11"/>
    </row>
    <row r="143" spans="1:21" x14ac:dyDescent="0.2">
      <c r="A143" t="str">
        <f t="shared" si="89"/>
        <v>71 Sales occupations</v>
      </c>
      <c r="B143" s="11">
        <v>16.238070366844802</v>
      </c>
      <c r="C143" s="11">
        <v>16.455966221378141</v>
      </c>
      <c r="D143" s="11">
        <f t="shared" si="97"/>
        <v>0.21789585453333871</v>
      </c>
      <c r="E143" s="11">
        <v>8.7251744213778188</v>
      </c>
      <c r="F143" s="11">
        <f t="shared" ref="F143:F144" si="99">SUM(D143:E143)</f>
        <v>8.9430702759111576</v>
      </c>
      <c r="G143" s="200">
        <f t="shared" si="92"/>
        <v>2.9084667812868226E-2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11"/>
      <c r="T143" s="11"/>
      <c r="U143" s="11"/>
    </row>
    <row r="144" spans="1:21" x14ac:dyDescent="0.2">
      <c r="A144" t="str">
        <f t="shared" si="89"/>
        <v>72 Customer service occupations</v>
      </c>
      <c r="B144" s="11">
        <v>6.4621480491615033</v>
      </c>
      <c r="C144" s="11">
        <v>10.176591179107573</v>
      </c>
      <c r="D144" s="11">
        <f t="shared" si="97"/>
        <v>3.7144431299460701</v>
      </c>
      <c r="E144" s="11">
        <v>4.9952961226680372</v>
      </c>
      <c r="F144" s="11">
        <f t="shared" si="99"/>
        <v>8.7097392526141064</v>
      </c>
      <c r="G144" s="200">
        <f t="shared" si="92"/>
        <v>3.8916689748765165E-2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11"/>
      <c r="T144" s="11"/>
      <c r="U144" s="11"/>
    </row>
    <row r="145" spans="1:21" x14ac:dyDescent="0.2">
      <c r="A145" t="str">
        <f t="shared" si="89"/>
        <v>81 Process, plant and machine operatives</v>
      </c>
      <c r="B145" s="11">
        <v>1.0720237107886763</v>
      </c>
      <c r="C145" s="11">
        <v>2.5086946078759311</v>
      </c>
      <c r="D145" s="11">
        <f t="shared" si="97"/>
        <v>1.4366708970872548</v>
      </c>
      <c r="E145" s="11">
        <v>0.94607598349151167</v>
      </c>
      <c r="F145" s="11">
        <f t="shared" ref="F145:F146" si="100">SUM(D145:E145)</f>
        <v>2.3827468805787664</v>
      </c>
      <c r="G145" s="200">
        <f t="shared" si="92"/>
        <v>4.3075829014339151E-2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11"/>
      <c r="T145" s="11"/>
      <c r="U145" s="11"/>
    </row>
    <row r="146" spans="1:21" x14ac:dyDescent="0.2">
      <c r="A146" t="str">
        <f t="shared" si="89"/>
        <v>82 Transport and mobile machine drivers and operatives</v>
      </c>
      <c r="B146" s="11">
        <v>7.8793325637352885</v>
      </c>
      <c r="C146" s="11">
        <v>11.863023736854082</v>
      </c>
      <c r="D146" s="11">
        <f t="shared" si="97"/>
        <v>3.9836911731187934</v>
      </c>
      <c r="E146" s="11">
        <v>7.3382135941913953</v>
      </c>
      <c r="F146" s="11">
        <f t="shared" si="100"/>
        <v>11.321904767310189</v>
      </c>
      <c r="G146" s="200">
        <f t="shared" si="92"/>
        <v>4.4857376505878399E-2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11"/>
      <c r="T146" s="11"/>
      <c r="U146" s="11"/>
    </row>
    <row r="147" spans="1:21" x14ac:dyDescent="0.2">
      <c r="A147" t="str">
        <f t="shared" si="89"/>
        <v>91 Elementary trades and related occupations</v>
      </c>
      <c r="B147" s="11">
        <v>1.2791927817786628</v>
      </c>
      <c r="C147" s="11">
        <v>1.0753271044924213</v>
      </c>
      <c r="D147" s="11">
        <f t="shared" si="97"/>
        <v>-0.2038656772862415</v>
      </c>
      <c r="E147" s="11">
        <v>0.66770127162368698</v>
      </c>
      <c r="F147" s="11">
        <f t="shared" ref="F147" si="101">SUM(D147:E147)</f>
        <v>0.46383559433744548</v>
      </c>
      <c r="G147" s="200">
        <f t="shared" si="92"/>
        <v>2.8396100568374827E-2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11"/>
      <c r="T147" s="11"/>
      <c r="U147" s="11"/>
    </row>
    <row r="148" spans="1:21" x14ac:dyDescent="0.2">
      <c r="A148" t="str">
        <f t="shared" si="89"/>
        <v>92 Elementary administration and service occupations</v>
      </c>
      <c r="B148" s="11">
        <v>30.345919522372494</v>
      </c>
      <c r="C148" s="11">
        <v>40.60686333347477</v>
      </c>
      <c r="D148" s="11">
        <f t="shared" ref="D148" si="102">C148-B148</f>
        <v>10.260943811102276</v>
      </c>
      <c r="E148" s="11">
        <v>23.105013045761993</v>
      </c>
      <c r="F148" s="11">
        <f t="shared" ref="F148" si="103">SUM(D148:E148)</f>
        <v>33.365956856864273</v>
      </c>
      <c r="G148" s="200">
        <f t="shared" ref="G148" si="104">IF(B148&gt;0,(1+(E148/B148))^(1/($C$6-$B$6))-1,0)</f>
        <v>3.8461337966752662E-2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11"/>
      <c r="T148" s="11"/>
      <c r="U148" s="11"/>
    </row>
    <row r="149" spans="1:21" x14ac:dyDescent="0.2">
      <c r="A149" t="str">
        <f t="shared" si="89"/>
        <v>All occupations</v>
      </c>
      <c r="B149" s="11">
        <f>SUM(B123:B148)</f>
        <v>382.35442465949791</v>
      </c>
      <c r="C149" s="11">
        <f t="shared" ref="C149:F149" si="105">SUM(C123:C148)</f>
        <v>354.71033219107591</v>
      </c>
      <c r="D149" s="11">
        <f t="shared" si="105"/>
        <v>-27.64409246842219</v>
      </c>
      <c r="E149" s="11">
        <f t="shared" si="105"/>
        <v>195.42706221757817</v>
      </c>
      <c r="F149" s="11">
        <f t="shared" si="105"/>
        <v>167.78296974915597</v>
      </c>
      <c r="G149" s="200">
        <f t="shared" si="92"/>
        <v>2.7905445455693068E-2</v>
      </c>
      <c r="P149" s="11"/>
      <c r="Q149" s="11"/>
      <c r="R149" s="11"/>
      <c r="S149" s="11"/>
      <c r="T149" s="11"/>
      <c r="U149" s="1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11"/>
      <c r="T150" s="11"/>
      <c r="U150" s="11"/>
    </row>
    <row r="151" spans="1:21" ht="38.25" x14ac:dyDescent="0.2">
      <c r="A151" s="201" t="str">
        <f>CONCATENATE(name!F8," (Constrained)")</f>
        <v>RQF4 HE below degree level (Constrained)</v>
      </c>
      <c r="B151" s="74">
        <f t="shared" ref="B151:G151" si="106">B64</f>
        <v>2020</v>
      </c>
      <c r="C151" s="74">
        <f t="shared" si="106"/>
        <v>2035</v>
      </c>
      <c r="D151" s="87" t="str">
        <f t="shared" si="106"/>
        <v>Net Change</v>
      </c>
      <c r="E151" s="87" t="str">
        <f t="shared" si="106"/>
        <v>Replacement Demand level</v>
      </c>
      <c r="F151" s="87" t="str">
        <f t="shared" si="106"/>
        <v>Total Requirement</v>
      </c>
      <c r="G151" s="87" t="str">
        <f t="shared" si="106"/>
        <v>Replacement Demand rate</v>
      </c>
      <c r="P151" s="11"/>
      <c r="Q151" s="11"/>
      <c r="R151" s="11"/>
      <c r="S151" s="11"/>
      <c r="T151" s="11"/>
      <c r="U151" s="11"/>
    </row>
    <row r="152" spans="1:21" x14ac:dyDescent="0.2">
      <c r="A152" t="str">
        <f t="shared" ref="A152:A178" si="107">A65</f>
        <v>11 Corporate managers and directors</v>
      </c>
      <c r="B152" s="11">
        <v>44.55149097224929</v>
      </c>
      <c r="C152" s="11">
        <v>34.030505531632372</v>
      </c>
      <c r="D152" s="11">
        <f>C152-B152</f>
        <v>-10.520985440616919</v>
      </c>
      <c r="E152" s="11">
        <v>20.126149740487474</v>
      </c>
      <c r="F152" s="11">
        <f>SUM(D152:E152)</f>
        <v>9.6051642998705553</v>
      </c>
      <c r="G152" s="200">
        <f>IF(B152&gt;0,(1+(E152/B152))^(1/($C$6-$B$6))-1,0)</f>
        <v>2.516269736713217E-2</v>
      </c>
      <c r="I152" s="84"/>
      <c r="J152" s="73"/>
      <c r="K152" s="73"/>
      <c r="L152" s="71"/>
      <c r="M152" s="71"/>
      <c r="N152" s="71"/>
      <c r="P152" s="11"/>
      <c r="Q152" s="11"/>
      <c r="R152" s="11"/>
      <c r="S152" s="11"/>
      <c r="T152" s="11"/>
      <c r="U152" s="11"/>
    </row>
    <row r="153" spans="1:21" x14ac:dyDescent="0.2">
      <c r="A153" t="str">
        <f t="shared" si="107"/>
        <v>12 Other managers and proprietors</v>
      </c>
      <c r="B153" s="11">
        <v>18.690116210710254</v>
      </c>
      <c r="C153" s="11">
        <v>21.458835156042646</v>
      </c>
      <c r="D153" s="11">
        <f t="shared" ref="D153:D168" si="108">C153-B153</f>
        <v>2.7687189453323917</v>
      </c>
      <c r="E153" s="11">
        <v>13.299661572489121</v>
      </c>
      <c r="F153" s="11">
        <f t="shared" ref="F153:F160" si="109">SUM(D153:E153)</f>
        <v>16.068380517821513</v>
      </c>
      <c r="G153" s="200">
        <f t="shared" ref="G153:G155" si="110">IF(B153&gt;0,(1+(E153/B153))^(1/($C$6-$B$6))-1,0)</f>
        <v>3.6477665381833502E-2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11"/>
      <c r="T153" s="11"/>
      <c r="U153" s="11"/>
    </row>
    <row r="154" spans="1:21" x14ac:dyDescent="0.2">
      <c r="A154" t="str">
        <f t="shared" si="107"/>
        <v>21 Science, research, engineering and technology professionals</v>
      </c>
      <c r="B154" s="11">
        <v>31.828906142966215</v>
      </c>
      <c r="C154" s="11">
        <v>23.680330985950111</v>
      </c>
      <c r="D154" s="11">
        <f t="shared" si="108"/>
        <v>-8.1485751570161042</v>
      </c>
      <c r="E154" s="11">
        <v>11.125633209714309</v>
      </c>
      <c r="F154" s="11">
        <f t="shared" si="109"/>
        <v>2.9770580526982044</v>
      </c>
      <c r="G154" s="200">
        <f t="shared" si="110"/>
        <v>2.0185524102473096E-2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11"/>
      <c r="T154" s="11"/>
      <c r="U154" s="11"/>
    </row>
    <row r="155" spans="1:21" x14ac:dyDescent="0.2">
      <c r="A155" t="str">
        <f t="shared" si="107"/>
        <v>22 Health professionals</v>
      </c>
      <c r="B155" s="11">
        <v>8.3847351221958508</v>
      </c>
      <c r="C155" s="11">
        <v>7.3556576006686765</v>
      </c>
      <c r="D155" s="11">
        <f t="shared" si="108"/>
        <v>-1.0290775215271744</v>
      </c>
      <c r="E155" s="11">
        <v>4.0354053965129655</v>
      </c>
      <c r="F155" s="11">
        <f t="shared" si="109"/>
        <v>3.0063278749857911</v>
      </c>
      <c r="G155" s="200">
        <f t="shared" si="110"/>
        <v>2.6539844227042808E-2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11"/>
      <c r="T155" s="11"/>
      <c r="U155" s="11"/>
    </row>
    <row r="156" spans="1:21" x14ac:dyDescent="0.2">
      <c r="A156" t="str">
        <f t="shared" si="107"/>
        <v>23 Teaching and other educational professionals</v>
      </c>
      <c r="B156" s="11">
        <v>5.434936683572932</v>
      </c>
      <c r="C156" s="11">
        <v>4.823105414512618</v>
      </c>
      <c r="D156" s="11">
        <f t="shared" si="108"/>
        <v>-0.61183126906031404</v>
      </c>
      <c r="E156" s="11">
        <v>2.7737692074743054</v>
      </c>
      <c r="F156" s="11">
        <f t="shared" si="109"/>
        <v>2.1619379384139914</v>
      </c>
      <c r="G156" s="200">
        <f>IF(B156&gt;0,(1+(E156/B156))^(1/($C$6-$B$6))-1,0)</f>
        <v>2.7871159161690029E-2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11"/>
      <c r="T156" s="11"/>
      <c r="U156" s="11"/>
    </row>
    <row r="157" spans="1:21" x14ac:dyDescent="0.2">
      <c r="A157" t="str">
        <f t="shared" si="107"/>
        <v>24 Business, media and public service professionals</v>
      </c>
      <c r="B157" s="11">
        <v>40.430365073106785</v>
      </c>
      <c r="C157" s="11">
        <v>33.353568387877367</v>
      </c>
      <c r="D157" s="11">
        <f t="shared" si="108"/>
        <v>-7.076796685229418</v>
      </c>
      <c r="E157" s="11">
        <v>18.924791599122013</v>
      </c>
      <c r="F157" s="11">
        <f t="shared" si="109"/>
        <v>11.847994913892595</v>
      </c>
      <c r="G157" s="200">
        <f t="shared" ref="G157:G178" si="111">IF(B157&gt;0,(1+(E157/B157))^(1/($C$6-$B$6))-1,0)</f>
        <v>2.5927614045826886E-2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11"/>
      <c r="T157" s="11"/>
      <c r="U157" s="11"/>
    </row>
    <row r="158" spans="1:21" x14ac:dyDescent="0.2">
      <c r="A158" t="str">
        <f t="shared" si="107"/>
        <v>31 Science, engineering and technology associate professionals</v>
      </c>
      <c r="B158" s="11">
        <v>11.106476640859558</v>
      </c>
      <c r="C158" s="11">
        <v>7.7698960227784735</v>
      </c>
      <c r="D158" s="11">
        <f t="shared" si="108"/>
        <v>-3.3365806180810846</v>
      </c>
      <c r="E158" s="11">
        <v>3.5239096981285774</v>
      </c>
      <c r="F158" s="11">
        <f t="shared" si="109"/>
        <v>0.18732908004749271</v>
      </c>
      <c r="G158" s="200">
        <f t="shared" si="111"/>
        <v>1.8541274014752585E-2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11"/>
      <c r="T158" s="11"/>
      <c r="U158" s="11"/>
    </row>
    <row r="159" spans="1:21" x14ac:dyDescent="0.2">
      <c r="A159" t="str">
        <f t="shared" si="107"/>
        <v>32 Health and social care associate professionals</v>
      </c>
      <c r="B159" s="11">
        <v>5.7655610804634616</v>
      </c>
      <c r="C159" s="11">
        <v>4.4999424084044879</v>
      </c>
      <c r="D159" s="11">
        <f t="shared" si="108"/>
        <v>-1.2656186720589737</v>
      </c>
      <c r="E159" s="11">
        <v>2.8655949776541254</v>
      </c>
      <c r="F159" s="11">
        <f t="shared" si="109"/>
        <v>1.5999763055951517</v>
      </c>
      <c r="G159" s="200">
        <f t="shared" si="111"/>
        <v>2.7263426119628731E-2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11"/>
      <c r="T159" s="11"/>
      <c r="U159" s="11"/>
    </row>
    <row r="160" spans="1:21" x14ac:dyDescent="0.2">
      <c r="A160" t="str">
        <f t="shared" si="107"/>
        <v>33 Protective service occupations</v>
      </c>
      <c r="B160" s="11">
        <v>4.8297121407536192</v>
      </c>
      <c r="C160" s="11">
        <v>4.386808082272168</v>
      </c>
      <c r="D160" s="11">
        <f t="shared" si="108"/>
        <v>-0.4429040584814512</v>
      </c>
      <c r="E160" s="11">
        <v>1.7063090564049788</v>
      </c>
      <c r="F160" s="11">
        <f t="shared" si="109"/>
        <v>1.2634049979235276</v>
      </c>
      <c r="G160" s="200">
        <f t="shared" si="111"/>
        <v>2.0374226634287895E-2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11"/>
      <c r="T160" s="11"/>
      <c r="U160" s="11"/>
    </row>
    <row r="161" spans="1:21" x14ac:dyDescent="0.2">
      <c r="A161" t="str">
        <f t="shared" si="107"/>
        <v>34 Culture, media and sports occupations</v>
      </c>
      <c r="B161" s="11">
        <v>13.55326085817212</v>
      </c>
      <c r="C161" s="11">
        <v>10.070952364649143</v>
      </c>
      <c r="D161" s="11">
        <f t="shared" si="108"/>
        <v>-3.4823084935229769</v>
      </c>
      <c r="E161" s="11">
        <v>5.2672722592048986</v>
      </c>
      <c r="F161" s="11">
        <f t="shared" ref="F161:F162" si="112">SUM(D161:E161)</f>
        <v>1.7849637656819217</v>
      </c>
      <c r="G161" s="200">
        <f t="shared" si="111"/>
        <v>2.2129387400236178E-2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11"/>
      <c r="T161" s="11"/>
      <c r="U161" s="11"/>
    </row>
    <row r="162" spans="1:21" x14ac:dyDescent="0.2">
      <c r="A162" t="str">
        <f t="shared" si="107"/>
        <v>35 Business and public service associate professionals</v>
      </c>
      <c r="B162" s="11">
        <v>37.819068440428396</v>
      </c>
      <c r="C162" s="11">
        <v>29.525742258458671</v>
      </c>
      <c r="D162" s="11">
        <f t="shared" si="108"/>
        <v>-8.293326181969725</v>
      </c>
      <c r="E162" s="11">
        <v>15.741824189831098</v>
      </c>
      <c r="F162" s="11">
        <f t="shared" si="112"/>
        <v>7.4484980078613727</v>
      </c>
      <c r="G162" s="200">
        <f t="shared" si="111"/>
        <v>2.3471606003558465E-2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11"/>
      <c r="T162" s="11"/>
      <c r="U162" s="11"/>
    </row>
    <row r="163" spans="1:21" x14ac:dyDescent="0.2">
      <c r="A163" t="str">
        <f t="shared" si="107"/>
        <v>41 Administrative occupations</v>
      </c>
      <c r="B163" s="11">
        <v>34.649020143200637</v>
      </c>
      <c r="C163" s="11">
        <v>28.37658593256813</v>
      </c>
      <c r="D163" s="11">
        <f t="shared" si="108"/>
        <v>-6.2724342106325075</v>
      </c>
      <c r="E163" s="11">
        <v>17.17926963648263</v>
      </c>
      <c r="F163" s="11">
        <f t="shared" ref="F163:F166" si="113">SUM(D163:E163)</f>
        <v>10.906835425850122</v>
      </c>
      <c r="G163" s="200">
        <f t="shared" si="111"/>
        <v>2.7208003911067813E-2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11"/>
      <c r="T163" s="11"/>
      <c r="U163" s="11"/>
    </row>
    <row r="164" spans="1:21" x14ac:dyDescent="0.2">
      <c r="A164" t="str">
        <f t="shared" si="107"/>
        <v>42 Secretarial and related occupations</v>
      </c>
      <c r="B164" s="11">
        <v>5.885660128618496</v>
      </c>
      <c r="C164" s="11">
        <v>5.1979321562223264</v>
      </c>
      <c r="D164" s="11">
        <f t="shared" si="108"/>
        <v>-0.68772797239616956</v>
      </c>
      <c r="E164" s="11">
        <v>3.67169030507868</v>
      </c>
      <c r="F164" s="11">
        <f t="shared" si="113"/>
        <v>2.9839623326825104</v>
      </c>
      <c r="G164" s="200">
        <f t="shared" si="111"/>
        <v>3.2847387555308138E-2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11"/>
      <c r="T164" s="11"/>
      <c r="U164" s="11"/>
    </row>
    <row r="165" spans="1:21" x14ac:dyDescent="0.2">
      <c r="A165" t="str">
        <f t="shared" si="107"/>
        <v>51 Skilled agricultural and related trades</v>
      </c>
      <c r="B165" s="11">
        <v>2.8517149837018754</v>
      </c>
      <c r="C165" s="11">
        <v>4.3931013087012065</v>
      </c>
      <c r="D165" s="11">
        <f t="shared" si="108"/>
        <v>1.5413863249993311</v>
      </c>
      <c r="E165" s="11">
        <v>2.7011654446153641</v>
      </c>
      <c r="F165" s="11">
        <f t="shared" si="113"/>
        <v>4.2425517696146953</v>
      </c>
      <c r="G165" s="200">
        <f t="shared" si="111"/>
        <v>4.5428046214056828E-2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11"/>
      <c r="T165" s="11"/>
      <c r="U165" s="11"/>
    </row>
    <row r="166" spans="1:21" x14ac:dyDescent="0.2">
      <c r="A166" t="str">
        <f t="shared" si="107"/>
        <v>52 Skilled metal, electrical and electronic trades</v>
      </c>
      <c r="B166" s="11">
        <v>14.092709484843692</v>
      </c>
      <c r="C166" s="11">
        <v>20.86379111165656</v>
      </c>
      <c r="D166" s="11">
        <f t="shared" si="108"/>
        <v>6.7710816268128688</v>
      </c>
      <c r="E166" s="11">
        <v>8.22577591975503</v>
      </c>
      <c r="F166" s="11">
        <f t="shared" si="113"/>
        <v>14.996857546567899</v>
      </c>
      <c r="G166" s="200">
        <f t="shared" si="111"/>
        <v>3.1125074458310253E-2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11"/>
      <c r="T166" s="11"/>
      <c r="U166" s="11"/>
    </row>
    <row r="167" spans="1:21" x14ac:dyDescent="0.2">
      <c r="A167" t="str">
        <f t="shared" si="107"/>
        <v>53 Skilled construction and building trades</v>
      </c>
      <c r="B167" s="11">
        <v>7.1593244417535606</v>
      </c>
      <c r="C167" s="11">
        <v>11.736327793848226</v>
      </c>
      <c r="D167" s="11">
        <f t="shared" si="108"/>
        <v>4.5770033520946649</v>
      </c>
      <c r="E167" s="11">
        <v>6.2789187026967541</v>
      </c>
      <c r="F167" s="11">
        <f t="shared" ref="F167" si="114">SUM(D167:E167)</f>
        <v>10.855922054791419</v>
      </c>
      <c r="G167" s="200">
        <f t="shared" si="111"/>
        <v>4.2872855136450561E-2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11"/>
      <c r="T167" s="11"/>
      <c r="U167" s="11"/>
    </row>
    <row r="168" spans="1:21" x14ac:dyDescent="0.2">
      <c r="A168" t="str">
        <f t="shared" si="107"/>
        <v>54 Textiles, printing and other skilled trades</v>
      </c>
      <c r="B168" s="11">
        <v>6.8410601012300969</v>
      </c>
      <c r="C168" s="11">
        <v>9.8654829884631159</v>
      </c>
      <c r="D168" s="11">
        <f t="shared" si="108"/>
        <v>3.024422887233019</v>
      </c>
      <c r="E168" s="11">
        <v>4.5357620802962089</v>
      </c>
      <c r="F168" s="11">
        <f t="shared" ref="F168" si="115">SUM(D168:E168)</f>
        <v>7.5601849675292279</v>
      </c>
      <c r="G168" s="200">
        <f t="shared" si="111"/>
        <v>3.4490494061307331E-2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11"/>
      <c r="T168" s="11"/>
      <c r="U168" s="11"/>
    </row>
    <row r="169" spans="1:21" x14ac:dyDescent="0.2">
      <c r="A169" t="str">
        <f t="shared" si="107"/>
        <v>61 Caring personal service occupations</v>
      </c>
      <c r="B169" s="11">
        <v>20.682170850399046</v>
      </c>
      <c r="C169" s="11">
        <v>20.158388953550496</v>
      </c>
      <c r="D169" s="11">
        <f>C169-B169</f>
        <v>-0.52378189684855059</v>
      </c>
      <c r="E169" s="11">
        <v>12.404026354320608</v>
      </c>
      <c r="F169" s="11">
        <f>SUM(D169:E169)</f>
        <v>11.880244457472058</v>
      </c>
      <c r="G169" s="200">
        <f t="shared" si="111"/>
        <v>3.1818670765601409E-2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11"/>
      <c r="T169" s="11"/>
      <c r="U169" s="11"/>
    </row>
    <row r="170" spans="1:21" x14ac:dyDescent="0.2">
      <c r="A170" t="str">
        <f t="shared" si="107"/>
        <v>62 Leisure, travel and related personal service occupations</v>
      </c>
      <c r="B170" s="11">
        <v>12.480998903609693</v>
      </c>
      <c r="C170" s="11">
        <v>19.942476936823958</v>
      </c>
      <c r="D170" s="11">
        <f t="shared" ref="D170:D176" si="116">C170-B170</f>
        <v>7.4614780332142647</v>
      </c>
      <c r="E170" s="11">
        <v>10.280487268507995</v>
      </c>
      <c r="F170" s="11">
        <f t="shared" ref="F170:F171" si="117">SUM(D170:E170)</f>
        <v>17.74196530172226</v>
      </c>
      <c r="G170" s="200">
        <f t="shared" si="111"/>
        <v>4.0870622850304628E-2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11"/>
      <c r="T170" s="11"/>
      <c r="U170" s="11"/>
    </row>
    <row r="171" spans="1:21" x14ac:dyDescent="0.2">
      <c r="A171" t="str">
        <f t="shared" si="107"/>
        <v>63 Community and civil enforcement occupations</v>
      </c>
      <c r="B171" s="11">
        <v>0.42205054190750918</v>
      </c>
      <c r="C171" s="11">
        <v>0.29410061477286659</v>
      </c>
      <c r="D171" s="11">
        <f t="shared" si="116"/>
        <v>-0.12794992713464259</v>
      </c>
      <c r="E171" s="11">
        <v>0.20040121401814767</v>
      </c>
      <c r="F171" s="11">
        <f t="shared" si="117"/>
        <v>7.2451286883505078E-2</v>
      </c>
      <c r="G171" s="200">
        <f t="shared" si="111"/>
        <v>2.6241128013314352E-2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11"/>
      <c r="T171" s="11"/>
      <c r="U171" s="11"/>
    </row>
    <row r="172" spans="1:21" x14ac:dyDescent="0.2">
      <c r="A172" t="str">
        <f t="shared" si="107"/>
        <v>71 Sales occupations</v>
      </c>
      <c r="B172" s="11">
        <v>13.688461276398929</v>
      </c>
      <c r="C172" s="11">
        <v>13.631862417119802</v>
      </c>
      <c r="D172" s="11">
        <f t="shared" si="116"/>
        <v>-5.6598859279127112E-2</v>
      </c>
      <c r="E172" s="11">
        <v>6.2678383683720051</v>
      </c>
      <c r="F172" s="11">
        <f t="shared" ref="F172:F173" si="118">SUM(D172:E172)</f>
        <v>6.211239509092878</v>
      </c>
      <c r="G172" s="200">
        <f t="shared" si="111"/>
        <v>2.5451266106413017E-2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11"/>
      <c r="T172" s="11"/>
      <c r="U172" s="11"/>
    </row>
    <row r="173" spans="1:21" x14ac:dyDescent="0.2">
      <c r="A173" t="str">
        <f t="shared" si="107"/>
        <v>72 Customer service occupations</v>
      </c>
      <c r="B173" s="11">
        <v>7.5215887739341767</v>
      </c>
      <c r="C173" s="11">
        <v>9.9263349688369598</v>
      </c>
      <c r="D173" s="11">
        <f t="shared" si="116"/>
        <v>2.4047461949027831</v>
      </c>
      <c r="E173" s="11">
        <v>4.5463292708456118</v>
      </c>
      <c r="F173" s="11">
        <f t="shared" si="118"/>
        <v>6.9510754657483949</v>
      </c>
      <c r="G173" s="200">
        <f t="shared" si="111"/>
        <v>3.2020167918654918E-2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11"/>
      <c r="T173" s="11"/>
      <c r="U173" s="11"/>
    </row>
    <row r="174" spans="1:21" x14ac:dyDescent="0.2">
      <c r="A174" t="str">
        <f t="shared" si="107"/>
        <v>81 Process, plant and machine operatives</v>
      </c>
      <c r="B174" s="11">
        <v>2.5556076945705648</v>
      </c>
      <c r="C174" s="11">
        <v>4.740868823214992</v>
      </c>
      <c r="D174" s="11">
        <f t="shared" si="116"/>
        <v>2.1852611286444272</v>
      </c>
      <c r="E174" s="11">
        <v>2.1158004687831329</v>
      </c>
      <c r="F174" s="11">
        <f t="shared" ref="F174:F175" si="119">SUM(D174:E174)</f>
        <v>4.3010615974275606</v>
      </c>
      <c r="G174" s="200">
        <f t="shared" si="111"/>
        <v>4.1030791502929542E-2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11"/>
      <c r="T174" s="11"/>
      <c r="U174" s="11"/>
    </row>
    <row r="175" spans="1:21" x14ac:dyDescent="0.2">
      <c r="A175" t="str">
        <f t="shared" si="107"/>
        <v>82 Transport and mobile machine drivers and operatives</v>
      </c>
      <c r="B175" s="11">
        <v>12.586758073910321</v>
      </c>
      <c r="C175" s="11">
        <v>17.007426401294143</v>
      </c>
      <c r="D175" s="11">
        <f t="shared" si="116"/>
        <v>4.4206683273838223</v>
      </c>
      <c r="E175" s="11">
        <v>11.031025512191849</v>
      </c>
      <c r="F175" s="11">
        <f t="shared" si="119"/>
        <v>15.451693839575672</v>
      </c>
      <c r="G175" s="200">
        <f t="shared" si="111"/>
        <v>4.2849611283089617E-2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11"/>
      <c r="T175" s="11"/>
      <c r="U175" s="11"/>
    </row>
    <row r="176" spans="1:21" x14ac:dyDescent="0.2">
      <c r="A176" t="str">
        <f t="shared" si="107"/>
        <v>91 Elementary trades and related occupations</v>
      </c>
      <c r="B176" s="11">
        <v>2.0836701836420488</v>
      </c>
      <c r="C176" s="11">
        <v>2.042468949227795</v>
      </c>
      <c r="D176" s="11">
        <f t="shared" si="116"/>
        <v>-4.1201234414253829E-2</v>
      </c>
      <c r="E176" s="11">
        <v>1.1205128885550593</v>
      </c>
      <c r="F176" s="11">
        <f t="shared" ref="F176" si="120">SUM(D176:E176)</f>
        <v>1.0793116541408054</v>
      </c>
      <c r="G176" s="200">
        <f t="shared" si="111"/>
        <v>2.9103897425545311E-2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11"/>
      <c r="T176" s="11"/>
      <c r="U176" s="11"/>
    </row>
    <row r="177" spans="1:21" x14ac:dyDescent="0.2">
      <c r="A177" t="str">
        <f t="shared" si="107"/>
        <v>92 Elementary administration and service occupations</v>
      </c>
      <c r="B177" s="11">
        <v>26.348992873749285</v>
      </c>
      <c r="C177" s="11">
        <v>35.63309209189466</v>
      </c>
      <c r="D177" s="11">
        <f t="shared" ref="D177" si="121">C177-B177</f>
        <v>9.284099218145375</v>
      </c>
      <c r="E177" s="11">
        <v>19.345609295404</v>
      </c>
      <c r="F177" s="11">
        <f t="shared" ref="F177" si="122">SUM(D177:E177)</f>
        <v>28.629708513549375</v>
      </c>
      <c r="G177" s="200">
        <f t="shared" ref="G177" si="123">IF(B177&gt;0,(1+(E177/B177))^(1/($C$6-$B$6))-1,0)</f>
        <v>3.7385226096846802E-2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11"/>
      <c r="T177" s="11"/>
      <c r="U177" s="11"/>
    </row>
    <row r="178" spans="1:21" x14ac:dyDescent="0.2">
      <c r="A178" t="str">
        <f t="shared" si="107"/>
        <v>All occupations</v>
      </c>
      <c r="B178" s="11">
        <f>SUM(B152:B177)</f>
        <v>392.24441782094834</v>
      </c>
      <c r="C178" s="11">
        <f t="shared" ref="C178:F178" si="124">SUM(C152:C177)</f>
        <v>384.76558566144195</v>
      </c>
      <c r="D178" s="11">
        <f t="shared" si="124"/>
        <v>-7.4788321595064424</v>
      </c>
      <c r="E178" s="11">
        <f t="shared" si="124"/>
        <v>209.29493363694689</v>
      </c>
      <c r="F178" s="11">
        <f t="shared" si="124"/>
        <v>201.8161014774405</v>
      </c>
      <c r="G178" s="200">
        <f t="shared" si="111"/>
        <v>2.8917336367008106E-2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11"/>
      <c r="T178" s="11"/>
      <c r="U178" s="1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11"/>
      <c r="T179" s="11"/>
      <c r="U179" s="11"/>
    </row>
    <row r="180" spans="1:21" ht="38.25" x14ac:dyDescent="0.2">
      <c r="A180" s="201" t="str">
        <f>CONCATENATE(name!F9," (Constrained)")</f>
        <v>RQF3 A level &amp; equivalent (Constrained)</v>
      </c>
      <c r="B180" s="74">
        <f t="shared" ref="B180:G180" si="125">B93</f>
        <v>2020</v>
      </c>
      <c r="C180" s="74">
        <f t="shared" si="125"/>
        <v>2035</v>
      </c>
      <c r="D180" s="87" t="str">
        <f t="shared" si="125"/>
        <v>Net Change</v>
      </c>
      <c r="E180" s="87" t="str">
        <f t="shared" si="125"/>
        <v>Replacement Demand level</v>
      </c>
      <c r="F180" s="87" t="str">
        <f t="shared" si="125"/>
        <v>Total Requirement</v>
      </c>
      <c r="G180" s="87" t="str">
        <f t="shared" si="125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11"/>
      <c r="T180" s="11"/>
      <c r="U180" s="11"/>
    </row>
    <row r="181" spans="1:21" x14ac:dyDescent="0.2">
      <c r="A181" t="str">
        <f t="shared" ref="A181:A207" si="126">A94</f>
        <v>11 Corporate managers and directors</v>
      </c>
      <c r="B181" s="11">
        <v>56.439359099443209</v>
      </c>
      <c r="C181" s="11">
        <v>29.587561132745115</v>
      </c>
      <c r="D181" s="11">
        <f>C181-B181</f>
        <v>-26.851797966698093</v>
      </c>
      <c r="E181" s="11">
        <v>16.017617867344647</v>
      </c>
      <c r="F181" s="11">
        <f>SUM(D181:E181)</f>
        <v>-10.834180099353446</v>
      </c>
      <c r="G181" s="200">
        <f>IF(B181&gt;0,(1+(E181/B181))^(1/($C$6-$B$6))-1,0)</f>
        <v>1.679454858943652E-2</v>
      </c>
      <c r="I181" s="11"/>
      <c r="J181" s="11"/>
      <c r="K181" s="11"/>
      <c r="L181" s="11"/>
      <c r="M181" s="11"/>
      <c r="N181" s="11"/>
      <c r="P181" s="81"/>
      <c r="Q181" s="72"/>
    </row>
    <row r="182" spans="1:21" x14ac:dyDescent="0.2">
      <c r="A182" t="str">
        <f t="shared" si="126"/>
        <v>12 Other managers and proprietors</v>
      </c>
      <c r="B182" s="11">
        <v>22.464822398307785</v>
      </c>
      <c r="C182" s="11">
        <v>15.546478947526058</v>
      </c>
      <c r="D182" s="11">
        <f t="shared" ref="D182:D197" si="127">C182-B182</f>
        <v>-6.9183434507817267</v>
      </c>
      <c r="E182" s="11">
        <v>8.8331946106378076</v>
      </c>
      <c r="F182" s="11">
        <f t="shared" ref="F182:F189" si="128">SUM(D182:E182)</f>
        <v>1.9148511598560809</v>
      </c>
      <c r="G182" s="200">
        <f t="shared" ref="G182:G184" si="129">IF(B182&gt;0,(1+(E182/B182))^(1/($C$6-$B$6))-1,0)</f>
        <v>2.2353109366652246E-2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6"/>
        <v>21 Science, research, engineering and technology professionals</v>
      </c>
      <c r="B183" s="11">
        <v>25.729731832248724</v>
      </c>
      <c r="C183" s="11">
        <v>11.377353982604754</v>
      </c>
      <c r="D183" s="11">
        <f t="shared" si="127"/>
        <v>-14.35237784964397</v>
      </c>
      <c r="E183" s="11">
        <v>4.7060294832805525</v>
      </c>
      <c r="F183" s="11">
        <f t="shared" si="128"/>
        <v>-9.6463483663634175</v>
      </c>
      <c r="G183" s="200">
        <f t="shared" si="129"/>
        <v>1.1261004575836564E-2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6"/>
        <v>22 Health professionals</v>
      </c>
      <c r="B184" s="11">
        <v>20.409515877898365</v>
      </c>
      <c r="C184" s="11">
        <v>18.709690906845449</v>
      </c>
      <c r="D184" s="11">
        <f t="shared" si="127"/>
        <v>-1.6998249710529159</v>
      </c>
      <c r="E184" s="11">
        <v>10.751766538348267</v>
      </c>
      <c r="F184" s="11">
        <f t="shared" si="128"/>
        <v>9.0519415672953514</v>
      </c>
      <c r="G184" s="200">
        <f t="shared" si="129"/>
        <v>2.8613392728817466E-2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6"/>
        <v>23 Teaching and other educational professionals</v>
      </c>
      <c r="B185" s="11">
        <v>10.912423703835092</v>
      </c>
      <c r="C185" s="11">
        <v>9.2221375277730591</v>
      </c>
      <c r="D185" s="11">
        <f t="shared" si="127"/>
        <v>-1.6902861760620329</v>
      </c>
      <c r="E185" s="11">
        <v>4.2690125133878905</v>
      </c>
      <c r="F185" s="11">
        <f t="shared" si="128"/>
        <v>2.5787263373258575</v>
      </c>
      <c r="G185" s="200">
        <f>IF(B185&gt;0,(1+(E185/B185))^(1/($C$6-$B$6))-1,0)</f>
        <v>2.2255468814081913E-2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6"/>
        <v>24 Business, media and public service professionals</v>
      </c>
      <c r="B186" s="11">
        <v>45.29355467578327</v>
      </c>
      <c r="C186" s="11">
        <v>24.326103703674441</v>
      </c>
      <c r="D186" s="11">
        <f t="shared" si="127"/>
        <v>-20.967450972108828</v>
      </c>
      <c r="E186" s="11">
        <v>12.697600306518394</v>
      </c>
      <c r="F186" s="11">
        <f t="shared" si="128"/>
        <v>-8.2698506655904342</v>
      </c>
      <c r="G186" s="200">
        <f t="shared" ref="G186:G207" si="130">IF(B186&gt;0,(1+(E186/B186))^(1/($C$6-$B$6))-1,0)</f>
        <v>1.6611512495880332E-2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6"/>
        <v>31 Science, engineering and technology associate professionals</v>
      </c>
      <c r="B187" s="11">
        <v>9.6182881176568245</v>
      </c>
      <c r="C187" s="11">
        <v>3.5978735307349163</v>
      </c>
      <c r="D187" s="11">
        <f t="shared" si="127"/>
        <v>-6.0204145869219081</v>
      </c>
      <c r="E187" s="11">
        <v>1.8528911070964502</v>
      </c>
      <c r="F187" s="11">
        <f t="shared" si="128"/>
        <v>-4.1675234798254577</v>
      </c>
      <c r="G187" s="200">
        <f t="shared" si="130"/>
        <v>1.1814002984464889E-2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6"/>
        <v>32 Health and social care associate professionals</v>
      </c>
      <c r="B188" s="11">
        <v>12.770117986854212</v>
      </c>
      <c r="C188" s="11">
        <v>11.6185700626183</v>
      </c>
      <c r="D188" s="11">
        <f t="shared" si="127"/>
        <v>-1.1515479242359117</v>
      </c>
      <c r="E188" s="11">
        <v>6.7073073163157932</v>
      </c>
      <c r="F188" s="11">
        <f t="shared" si="128"/>
        <v>5.5557593920798816</v>
      </c>
      <c r="G188" s="200">
        <f t="shared" si="130"/>
        <v>2.8542975545813309E-2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6"/>
        <v>33 Protective service occupations</v>
      </c>
      <c r="B189" s="11">
        <v>10.601587951727998</v>
      </c>
      <c r="C189" s="11">
        <v>5.9424403685426928</v>
      </c>
      <c r="D189" s="11">
        <f t="shared" si="127"/>
        <v>-4.6591475831853053</v>
      </c>
      <c r="E189" s="11">
        <v>2.017648421341085</v>
      </c>
      <c r="F189" s="11">
        <f t="shared" si="128"/>
        <v>-2.6414991618442203</v>
      </c>
      <c r="G189" s="200">
        <f t="shared" si="130"/>
        <v>1.1682280965259917E-2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6"/>
        <v>34 Culture, media and sports occupations</v>
      </c>
      <c r="B190" s="11">
        <v>22.347872709294215</v>
      </c>
      <c r="C190" s="11">
        <v>12.137041387474028</v>
      </c>
      <c r="D190" s="11">
        <f t="shared" si="127"/>
        <v>-10.210831321820187</v>
      </c>
      <c r="E190" s="11">
        <v>5.6522768104652137</v>
      </c>
      <c r="F190" s="11">
        <f t="shared" ref="F190:F191" si="131">SUM(D190:E190)</f>
        <v>-4.5585545113549735</v>
      </c>
      <c r="G190" s="200">
        <f t="shared" si="130"/>
        <v>1.5145461749805245E-2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6"/>
        <v>35 Business and public service associate professionals</v>
      </c>
      <c r="B191" s="11">
        <v>59.21841271322554</v>
      </c>
      <c r="C191" s="11">
        <v>32.081904914149895</v>
      </c>
      <c r="D191" s="11">
        <f t="shared" si="127"/>
        <v>-27.136507799075645</v>
      </c>
      <c r="E191" s="11">
        <v>16.682554707775182</v>
      </c>
      <c r="F191" s="11">
        <f t="shared" si="131"/>
        <v>-10.453953091300463</v>
      </c>
      <c r="G191" s="200">
        <f t="shared" si="130"/>
        <v>1.6684111593226136E-2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6"/>
        <v>41 Administrative occupations</v>
      </c>
      <c r="B192" s="11">
        <v>63.291731793891159</v>
      </c>
      <c r="C192" s="11">
        <v>28.775279552288119</v>
      </c>
      <c r="D192" s="11">
        <f t="shared" si="127"/>
        <v>-34.516452241603041</v>
      </c>
      <c r="E192" s="11">
        <v>19.762799669937685</v>
      </c>
      <c r="F192" s="11">
        <f t="shared" ref="F192:F195" si="132">SUM(D192:E192)</f>
        <v>-14.753652571665356</v>
      </c>
      <c r="G192" s="200">
        <f t="shared" si="130"/>
        <v>1.8281273191904646E-2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6"/>
        <v>42 Secretarial and related occupations</v>
      </c>
      <c r="B193" s="11">
        <v>11.600819953117918</v>
      </c>
      <c r="C193" s="11">
        <v>1.3115248237018899</v>
      </c>
      <c r="D193" s="11">
        <f t="shared" si="127"/>
        <v>-10.289295129416029</v>
      </c>
      <c r="E193" s="11">
        <v>2.8820615891929577</v>
      </c>
      <c r="F193" s="11">
        <f t="shared" si="132"/>
        <v>-7.4072335402230713</v>
      </c>
      <c r="G193" s="200">
        <f t="shared" si="130"/>
        <v>1.4902727065867039E-2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6"/>
        <v>51 Skilled agricultural and related trades</v>
      </c>
      <c r="B194" s="11">
        <v>2.522231111293725</v>
      </c>
      <c r="C194" s="11">
        <v>1.5047687657312108</v>
      </c>
      <c r="D194" s="11">
        <f t="shared" si="127"/>
        <v>-1.0174623455625142</v>
      </c>
      <c r="E194" s="11">
        <v>1.0097340067584246</v>
      </c>
      <c r="F194" s="11">
        <f t="shared" si="132"/>
        <v>-7.7283388040896295E-3</v>
      </c>
      <c r="G194" s="200">
        <f t="shared" si="130"/>
        <v>2.2701206979178545E-2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6"/>
        <v>52 Skilled metal, electrical and electronic trades</v>
      </c>
      <c r="B195" s="11">
        <v>37.293539207839771</v>
      </c>
      <c r="C195" s="11">
        <v>24.34629551788473</v>
      </c>
      <c r="D195" s="11">
        <f t="shared" si="127"/>
        <v>-12.947243689955041</v>
      </c>
      <c r="E195" s="11">
        <v>9.8424184512257558</v>
      </c>
      <c r="F195" s="11">
        <f t="shared" si="132"/>
        <v>-3.1048252387292852</v>
      </c>
      <c r="G195" s="200">
        <f t="shared" si="130"/>
        <v>1.5736944558532695E-2</v>
      </c>
      <c r="I195" s="81"/>
      <c r="J195" s="72"/>
    </row>
    <row r="196" spans="1:14" x14ac:dyDescent="0.2">
      <c r="A196" t="str">
        <f t="shared" si="126"/>
        <v>53 Skilled construction and building trades</v>
      </c>
      <c r="B196" s="11">
        <v>34.230324554235736</v>
      </c>
      <c r="C196" s="11">
        <v>23.994764186207963</v>
      </c>
      <c r="D196" s="11">
        <f t="shared" si="127"/>
        <v>-10.235560368027773</v>
      </c>
      <c r="E196" s="11">
        <v>10.870890625284451</v>
      </c>
      <c r="F196" s="11">
        <f t="shared" ref="F196" si="133">SUM(D196:E196)</f>
        <v>0.63533025725667791</v>
      </c>
      <c r="G196" s="200">
        <f t="shared" si="130"/>
        <v>1.8556555882036863E-2</v>
      </c>
    </row>
    <row r="197" spans="1:14" x14ac:dyDescent="0.2">
      <c r="A197" t="str">
        <f t="shared" si="126"/>
        <v>54 Textiles, printing and other skilled trades</v>
      </c>
      <c r="B197" s="11">
        <v>27.256417302615265</v>
      </c>
      <c r="C197" s="11">
        <v>25.369642865175354</v>
      </c>
      <c r="D197" s="11">
        <f t="shared" si="127"/>
        <v>-1.8867744374399109</v>
      </c>
      <c r="E197" s="11">
        <v>10.429485864466239</v>
      </c>
      <c r="F197" s="11">
        <f t="shared" ref="F197" si="134">SUM(D197:E197)</f>
        <v>8.5427114270263278</v>
      </c>
      <c r="G197" s="200">
        <f t="shared" si="130"/>
        <v>2.1834772022214954E-2</v>
      </c>
    </row>
    <row r="198" spans="1:14" x14ac:dyDescent="0.2">
      <c r="A198" t="str">
        <f t="shared" si="126"/>
        <v>61 Caring personal service occupations</v>
      </c>
      <c r="B198" s="11">
        <v>69.066728643681259</v>
      </c>
      <c r="C198" s="11">
        <v>72.595734757328572</v>
      </c>
      <c r="D198" s="11">
        <f>C198-B198</f>
        <v>3.5290061136473128</v>
      </c>
      <c r="E198" s="11">
        <v>37.15297476800184</v>
      </c>
      <c r="F198" s="11">
        <f>SUM(D198:E198)</f>
        <v>40.681980881649153</v>
      </c>
      <c r="G198" s="200">
        <f t="shared" si="130"/>
        <v>2.911145709009122E-2</v>
      </c>
    </row>
    <row r="199" spans="1:14" x14ac:dyDescent="0.2">
      <c r="A199" t="str">
        <f t="shared" si="126"/>
        <v>62 Leisure, travel and related personal service occupations</v>
      </c>
      <c r="B199" s="11">
        <v>20.180874676045466</v>
      </c>
      <c r="C199" s="11">
        <v>17.066288296950276</v>
      </c>
      <c r="D199" s="11">
        <f t="shared" ref="D199:D205" si="135">C199-B199</f>
        <v>-3.11458637909519</v>
      </c>
      <c r="E199" s="11">
        <v>8.3656337779982142</v>
      </c>
      <c r="F199" s="11">
        <f t="shared" ref="F199:F200" si="136">SUM(D199:E199)</f>
        <v>5.2510473989030242</v>
      </c>
      <c r="G199" s="200">
        <f t="shared" si="130"/>
        <v>2.3389289442638406E-2</v>
      </c>
    </row>
    <row r="200" spans="1:14" x14ac:dyDescent="0.2">
      <c r="A200" t="str">
        <f t="shared" si="126"/>
        <v>63 Community and civil enforcement occupations</v>
      </c>
      <c r="B200" s="11">
        <v>0.86042800045677381</v>
      </c>
      <c r="C200" s="11">
        <v>0.33990319456794232</v>
      </c>
      <c r="D200" s="11">
        <f t="shared" si="135"/>
        <v>-0.52052480588883143</v>
      </c>
      <c r="E200" s="11">
        <v>0.17157453489946545</v>
      </c>
      <c r="F200" s="11">
        <f t="shared" si="136"/>
        <v>-0.34895027098936598</v>
      </c>
      <c r="G200" s="200">
        <f t="shared" si="130"/>
        <v>1.2195530499953255E-2</v>
      </c>
    </row>
    <row r="201" spans="1:14" x14ac:dyDescent="0.2">
      <c r="A201" t="str">
        <f t="shared" si="126"/>
        <v>71 Sales occupations</v>
      </c>
      <c r="B201" s="11">
        <v>61.83639558948331</v>
      </c>
      <c r="C201" s="11">
        <v>42.513113533750797</v>
      </c>
      <c r="D201" s="11">
        <f t="shared" si="135"/>
        <v>-19.323282055732513</v>
      </c>
      <c r="E201" s="11">
        <v>21.698327899540921</v>
      </c>
      <c r="F201" s="11">
        <f t="shared" ref="F201:F202" si="137">SUM(D201:E201)</f>
        <v>2.3750458438084081</v>
      </c>
      <c r="G201" s="200">
        <f t="shared" si="130"/>
        <v>2.0253730688003957E-2</v>
      </c>
    </row>
    <row r="202" spans="1:14" x14ac:dyDescent="0.2">
      <c r="A202" t="str">
        <f t="shared" si="126"/>
        <v>72 Customer service occupations</v>
      </c>
      <c r="B202" s="11">
        <v>16.024639684780322</v>
      </c>
      <c r="C202" s="11">
        <v>16.710298859747308</v>
      </c>
      <c r="D202" s="11">
        <f t="shared" si="135"/>
        <v>0.68565917496698603</v>
      </c>
      <c r="E202" s="11">
        <v>7.2081299229991265</v>
      </c>
      <c r="F202" s="11">
        <f t="shared" si="137"/>
        <v>7.8937890979661125</v>
      </c>
      <c r="G202" s="200">
        <f t="shared" si="130"/>
        <v>2.5071551481765653E-2</v>
      </c>
    </row>
    <row r="203" spans="1:14" x14ac:dyDescent="0.2">
      <c r="A203" t="str">
        <f t="shared" si="126"/>
        <v>81 Process, plant and machine operatives</v>
      </c>
      <c r="B203" s="11">
        <v>6.0957017034273004</v>
      </c>
      <c r="C203" s="11">
        <v>6.1388201068192334</v>
      </c>
      <c r="D203" s="11">
        <f t="shared" si="135"/>
        <v>4.3118403391932958E-2</v>
      </c>
      <c r="E203" s="11">
        <v>2.4203099179418763</v>
      </c>
      <c r="F203" s="11">
        <f t="shared" ref="F203:F204" si="138">SUM(D203:E203)</f>
        <v>2.4634283213338093</v>
      </c>
      <c r="G203" s="200">
        <f t="shared" si="130"/>
        <v>2.2541248048206564E-2</v>
      </c>
    </row>
    <row r="204" spans="1:14" x14ac:dyDescent="0.2">
      <c r="A204" t="str">
        <f t="shared" si="126"/>
        <v>82 Transport and mobile machine drivers and operatives</v>
      </c>
      <c r="B204" s="11">
        <v>33.904702619782327</v>
      </c>
      <c r="C204" s="11">
        <v>28.547157065865264</v>
      </c>
      <c r="D204" s="11">
        <f t="shared" si="135"/>
        <v>-5.3575455539170633</v>
      </c>
      <c r="E204" s="11">
        <v>15.628088580177009</v>
      </c>
      <c r="F204" s="11">
        <f t="shared" si="138"/>
        <v>10.270543026259945</v>
      </c>
      <c r="G204" s="200">
        <f t="shared" si="130"/>
        <v>2.5594124413184538E-2</v>
      </c>
    </row>
    <row r="205" spans="1:14" x14ac:dyDescent="0.2">
      <c r="A205" t="str">
        <f t="shared" si="126"/>
        <v>91 Elementary trades and related occupations</v>
      </c>
      <c r="B205" s="11">
        <v>5.0118943960278379</v>
      </c>
      <c r="C205" s="11">
        <v>3.9342874607835014</v>
      </c>
      <c r="D205" s="11">
        <f t="shared" si="135"/>
        <v>-1.0776069352443365</v>
      </c>
      <c r="E205" s="11">
        <v>1.481543129822249</v>
      </c>
      <c r="F205" s="11">
        <f t="shared" ref="F205" si="139">SUM(D205:E205)</f>
        <v>0.40393619457791252</v>
      </c>
      <c r="G205" s="200">
        <f t="shared" si="130"/>
        <v>1.7415111066687139E-2</v>
      </c>
    </row>
    <row r="206" spans="1:14" x14ac:dyDescent="0.2">
      <c r="A206" t="str">
        <f t="shared" si="126"/>
        <v>92 Elementary administration and service occupations</v>
      </c>
      <c r="B206" s="11">
        <v>73.182647519902389</v>
      </c>
      <c r="C206" s="11">
        <v>59.611879749364618</v>
      </c>
      <c r="D206" s="11">
        <f t="shared" ref="D206" si="140">C206-B206</f>
        <v>-13.570767770537771</v>
      </c>
      <c r="E206" s="11">
        <v>32.281256893885775</v>
      </c>
      <c r="F206" s="11">
        <f t="shared" ref="F206" si="141">SUM(D206:E206)</f>
        <v>18.710489123348005</v>
      </c>
      <c r="G206" s="200">
        <f t="shared" ref="G206" si="142">IF(B206&gt;0,(1+(E206/B206))^(1/($C$6-$B$6))-1,0)</f>
        <v>2.4659840514798859E-2</v>
      </c>
    </row>
    <row r="207" spans="1:14" x14ac:dyDescent="0.2">
      <c r="A207" t="str">
        <f t="shared" si="126"/>
        <v>All occupations</v>
      </c>
      <c r="B207" s="11">
        <f>SUM(B181:B206)</f>
        <v>758.16476382285589</v>
      </c>
      <c r="C207" s="11">
        <f t="shared" ref="C207:F207" si="143">SUM(C181:C206)</f>
        <v>526.90691520085556</v>
      </c>
      <c r="D207" s="11">
        <f t="shared" si="143"/>
        <v>-231.2578486220003</v>
      </c>
      <c r="E207" s="11">
        <f t="shared" si="143"/>
        <v>271.39312931464326</v>
      </c>
      <c r="F207" s="11">
        <f t="shared" si="143"/>
        <v>40.135280692642965</v>
      </c>
      <c r="G207" s="200">
        <f t="shared" si="130"/>
        <v>2.0608415620332998E-2</v>
      </c>
    </row>
    <row r="209" spans="1:7" ht="38.25" x14ac:dyDescent="0.2">
      <c r="A209" s="201" t="str">
        <f>CONCATENATE(name!F10," (Constrained)")</f>
        <v>RQF2 GCSE(A-C) &amp; equivalent (Constrained)</v>
      </c>
      <c r="B209" s="74">
        <f t="shared" ref="B209:G209" si="144">B122</f>
        <v>2020</v>
      </c>
      <c r="C209" s="74">
        <f t="shared" si="144"/>
        <v>2035</v>
      </c>
      <c r="D209" s="87" t="str">
        <f t="shared" si="144"/>
        <v>Net Change</v>
      </c>
      <c r="E209" s="87" t="str">
        <f t="shared" si="144"/>
        <v>Replacement Demand level</v>
      </c>
      <c r="F209" s="87" t="str">
        <f t="shared" si="144"/>
        <v>Total Requirement</v>
      </c>
      <c r="G209" s="87" t="str">
        <f t="shared" si="144"/>
        <v>Replacement Demand rate</v>
      </c>
    </row>
    <row r="210" spans="1:7" x14ac:dyDescent="0.2">
      <c r="A210" t="str">
        <f t="shared" ref="A210:A236" si="145">A123</f>
        <v>11 Corporate managers and directors</v>
      </c>
      <c r="B210" s="11">
        <v>38.475667503143548</v>
      </c>
      <c r="C210" s="11">
        <v>13.962630989455908</v>
      </c>
      <c r="D210" s="11">
        <f>C210-B210</f>
        <v>-24.513036513687638</v>
      </c>
      <c r="E210" s="11">
        <v>9.650034399302724</v>
      </c>
      <c r="F210" s="11">
        <f>SUM(D210:E210)</f>
        <v>-14.863002114384914</v>
      </c>
      <c r="G210" s="200">
        <f>IF(B210&gt;0,(1+(E210/B210))^(1/($C$6-$B$6))-1,0)</f>
        <v>1.5031205741004028E-2</v>
      </c>
    </row>
    <row r="211" spans="1:7" x14ac:dyDescent="0.2">
      <c r="A211" t="str">
        <f t="shared" si="145"/>
        <v>12 Other managers and proprietors</v>
      </c>
      <c r="B211" s="11">
        <v>18.212856268586286</v>
      </c>
      <c r="C211" s="11">
        <v>12.623959016894691</v>
      </c>
      <c r="D211" s="11">
        <f t="shared" ref="D211:D226" si="146">C211-B211</f>
        <v>-5.5888972516915949</v>
      </c>
      <c r="E211" s="11">
        <v>8.0670265767453682</v>
      </c>
      <c r="F211" s="11">
        <f t="shared" ref="F211:F218" si="147">SUM(D211:E211)</f>
        <v>2.4781293250537733</v>
      </c>
      <c r="G211" s="200">
        <f t="shared" ref="G211:G213" si="148">IF(B211&gt;0,(1+(E211/B211))^(1/($C$6-$B$6))-1,0)</f>
        <v>2.4746297006972062E-2</v>
      </c>
    </row>
    <row r="212" spans="1:7" x14ac:dyDescent="0.2">
      <c r="A212" t="str">
        <f t="shared" si="145"/>
        <v>21 Science, research, engineering and technology professionals</v>
      </c>
      <c r="B212" s="11">
        <v>18.299253470914934</v>
      </c>
      <c r="C212" s="11">
        <v>9.248874706846177</v>
      </c>
      <c r="D212" s="11">
        <f t="shared" si="146"/>
        <v>-9.050378764068757</v>
      </c>
      <c r="E212" s="11">
        <v>4.1880225004544824</v>
      </c>
      <c r="F212" s="11">
        <f t="shared" si="147"/>
        <v>-4.8623562636142745</v>
      </c>
      <c r="G212" s="200">
        <f t="shared" si="148"/>
        <v>1.3834109262891747E-2</v>
      </c>
    </row>
    <row r="213" spans="1:7" x14ac:dyDescent="0.2">
      <c r="A213" t="str">
        <f t="shared" si="145"/>
        <v>22 Health professionals</v>
      </c>
      <c r="B213" s="11">
        <v>11.780118317177539</v>
      </c>
      <c r="C213" s="11">
        <v>7.056537331451322</v>
      </c>
      <c r="D213" s="11">
        <f t="shared" si="146"/>
        <v>-4.7235809857262172</v>
      </c>
      <c r="E213" s="11">
        <v>4.2337449932501405</v>
      </c>
      <c r="F213" s="11">
        <f t="shared" si="147"/>
        <v>-0.48983599247607668</v>
      </c>
      <c r="G213" s="200">
        <f t="shared" si="148"/>
        <v>2.0680374543242008E-2</v>
      </c>
    </row>
    <row r="214" spans="1:7" x14ac:dyDescent="0.2">
      <c r="A214" t="str">
        <f t="shared" si="145"/>
        <v>23 Teaching and other educational professionals</v>
      </c>
      <c r="B214" s="11">
        <v>6.7874041364796707</v>
      </c>
      <c r="C214" s="11">
        <v>6.8979514759943488</v>
      </c>
      <c r="D214" s="11">
        <f t="shared" si="146"/>
        <v>0.1105473395146781</v>
      </c>
      <c r="E214" s="11">
        <v>2.8847245064062204</v>
      </c>
      <c r="F214" s="11">
        <f t="shared" si="147"/>
        <v>2.9952718459208985</v>
      </c>
      <c r="G214" s="200">
        <f>IF(B214&gt;0,(1+(E214/B214))^(1/($C$6-$B$6))-1,0)</f>
        <v>2.389296024546006E-2</v>
      </c>
    </row>
    <row r="215" spans="1:7" x14ac:dyDescent="0.2">
      <c r="A215" t="str">
        <f t="shared" si="145"/>
        <v>24 Business, media and public service professionals</v>
      </c>
      <c r="B215" s="11">
        <v>28.943937903842194</v>
      </c>
      <c r="C215" s="11">
        <v>14.317951915536273</v>
      </c>
      <c r="D215" s="11">
        <f t="shared" si="146"/>
        <v>-14.625985988305921</v>
      </c>
      <c r="E215" s="11">
        <v>7.7986079577765866</v>
      </c>
      <c r="F215" s="11">
        <f t="shared" si="147"/>
        <v>-6.8273780305293341</v>
      </c>
      <c r="G215" s="200">
        <f t="shared" ref="G215:G236" si="149">IF(B215&gt;0,(1+(E215/B215))^(1/($C$6-$B$6))-1,0)</f>
        <v>1.6032129867693756E-2</v>
      </c>
    </row>
    <row r="216" spans="1:7" x14ac:dyDescent="0.2">
      <c r="A216" t="str">
        <f t="shared" si="145"/>
        <v>31 Science, engineering and technology associate professionals</v>
      </c>
      <c r="B216" s="11">
        <v>7.9371526782265329</v>
      </c>
      <c r="C216" s="11">
        <v>5.2039790513764164</v>
      </c>
      <c r="D216" s="11">
        <f t="shared" si="146"/>
        <v>-2.7331736268501166</v>
      </c>
      <c r="E216" s="11">
        <v>2.1206297455943131</v>
      </c>
      <c r="F216" s="11">
        <f t="shared" si="147"/>
        <v>-0.6125438812558035</v>
      </c>
      <c r="G216" s="200">
        <f t="shared" si="149"/>
        <v>1.5911399304901597E-2</v>
      </c>
    </row>
    <row r="217" spans="1:7" x14ac:dyDescent="0.2">
      <c r="A217" t="str">
        <f t="shared" si="145"/>
        <v>32 Health and social care associate professionals</v>
      </c>
      <c r="B217" s="11">
        <v>7.9803274011492045</v>
      </c>
      <c r="C217" s="11">
        <v>4.8259534759828941</v>
      </c>
      <c r="D217" s="11">
        <f t="shared" si="146"/>
        <v>-3.1543739251663103</v>
      </c>
      <c r="E217" s="11">
        <v>3.0033126648403163</v>
      </c>
      <c r="F217" s="11">
        <f t="shared" si="147"/>
        <v>-0.15106126032599398</v>
      </c>
      <c r="G217" s="200">
        <f t="shared" si="149"/>
        <v>2.1523524157720075E-2</v>
      </c>
    </row>
    <row r="218" spans="1:7" x14ac:dyDescent="0.2">
      <c r="A218" t="str">
        <f t="shared" si="145"/>
        <v>33 Protective service occupations</v>
      </c>
      <c r="B218" s="11">
        <v>10.767253493766388</v>
      </c>
      <c r="C218" s="11">
        <v>4.8135477652119496</v>
      </c>
      <c r="D218" s="11">
        <f t="shared" si="146"/>
        <v>-5.9537057285544384</v>
      </c>
      <c r="E218" s="11">
        <v>2.1082779601659052</v>
      </c>
      <c r="F218" s="11">
        <f t="shared" si="147"/>
        <v>-3.8454277683885332</v>
      </c>
      <c r="G218" s="200">
        <f t="shared" si="149"/>
        <v>1.1992627037028303E-2</v>
      </c>
    </row>
    <row r="219" spans="1:7" x14ac:dyDescent="0.2">
      <c r="A219" t="str">
        <f t="shared" si="145"/>
        <v>34 Culture, media and sports occupations</v>
      </c>
      <c r="B219" s="11">
        <v>9.4310753129524194</v>
      </c>
      <c r="C219" s="11">
        <v>2.792074862205022</v>
      </c>
      <c r="D219" s="11">
        <f t="shared" si="146"/>
        <v>-6.6390004507473979</v>
      </c>
      <c r="E219" s="11">
        <v>1.7409840795742106</v>
      </c>
      <c r="F219" s="11">
        <f t="shared" ref="F219:F220" si="150">SUM(D219:E219)</f>
        <v>-4.8980163711731874</v>
      </c>
      <c r="G219" s="200">
        <f t="shared" si="149"/>
        <v>1.1357737720025352E-2</v>
      </c>
    </row>
    <row r="220" spans="1:7" x14ac:dyDescent="0.2">
      <c r="A220" t="str">
        <f t="shared" si="145"/>
        <v>35 Business and public service associate professionals</v>
      </c>
      <c r="B220" s="11">
        <v>43.944660244072409</v>
      </c>
      <c r="C220" s="11">
        <v>20.167047829490294</v>
      </c>
      <c r="D220" s="11">
        <f t="shared" si="146"/>
        <v>-23.777612414582116</v>
      </c>
      <c r="E220" s="11">
        <v>10.315931517755034</v>
      </c>
      <c r="F220" s="11">
        <f t="shared" si="150"/>
        <v>-13.461680896827081</v>
      </c>
      <c r="G220" s="200">
        <f t="shared" si="149"/>
        <v>1.4157081785250103E-2</v>
      </c>
    </row>
    <row r="221" spans="1:7" x14ac:dyDescent="0.2">
      <c r="A221" t="str">
        <f t="shared" si="145"/>
        <v>41 Administrative occupations</v>
      </c>
      <c r="B221" s="11">
        <v>56.587278139049772</v>
      </c>
      <c r="C221" s="11">
        <v>17.798094588249143</v>
      </c>
      <c r="D221" s="11">
        <f t="shared" si="146"/>
        <v>-38.78918355080063</v>
      </c>
      <c r="E221" s="11">
        <v>12.733595944547995</v>
      </c>
      <c r="F221" s="11">
        <f t="shared" ref="F221:F224" si="151">SUM(D221:E221)</f>
        <v>-26.055587606252637</v>
      </c>
      <c r="G221" s="200">
        <f t="shared" si="149"/>
        <v>1.3622747582145323E-2</v>
      </c>
    </row>
    <row r="222" spans="1:7" x14ac:dyDescent="0.2">
      <c r="A222" t="str">
        <f t="shared" si="145"/>
        <v>42 Secretarial and related occupations</v>
      </c>
      <c r="B222" s="11">
        <v>12.086538116464823</v>
      </c>
      <c r="C222" s="11">
        <v>0.63149462729568051</v>
      </c>
      <c r="D222" s="11">
        <f t="shared" si="146"/>
        <v>-11.455043489169142</v>
      </c>
      <c r="E222" s="11">
        <v>2.0230539273650145</v>
      </c>
      <c r="F222" s="11">
        <f t="shared" si="151"/>
        <v>-9.4319895618041283</v>
      </c>
      <c r="G222" s="200">
        <f t="shared" si="149"/>
        <v>1.0370913776516E-2</v>
      </c>
    </row>
    <row r="223" spans="1:7" x14ac:dyDescent="0.2">
      <c r="A223" t="str">
        <f t="shared" si="145"/>
        <v>51 Skilled agricultural and related trades</v>
      </c>
      <c r="B223" s="11">
        <v>4.3135659801163895</v>
      </c>
      <c r="C223" s="11">
        <v>4.3383450445368199</v>
      </c>
      <c r="D223" s="11">
        <f t="shared" si="146"/>
        <v>2.477906442043043E-2</v>
      </c>
      <c r="E223" s="11">
        <v>2.4373462369465564</v>
      </c>
      <c r="F223" s="11">
        <f t="shared" si="151"/>
        <v>2.4621253013669868</v>
      </c>
      <c r="G223" s="200">
        <f t="shared" si="149"/>
        <v>3.0311152981005396E-2</v>
      </c>
    </row>
    <row r="224" spans="1:7" x14ac:dyDescent="0.2">
      <c r="A224" t="str">
        <f t="shared" si="145"/>
        <v>52 Skilled metal, electrical and electronic trades</v>
      </c>
      <c r="B224" s="11">
        <v>21.328579834322127</v>
      </c>
      <c r="C224" s="11">
        <v>13.59652826983776</v>
      </c>
      <c r="D224" s="11">
        <f t="shared" si="146"/>
        <v>-7.732051564484367</v>
      </c>
      <c r="E224" s="11">
        <v>5.9896979838968782</v>
      </c>
      <c r="F224" s="11">
        <f t="shared" si="151"/>
        <v>-1.7423535805874888</v>
      </c>
      <c r="G224" s="200">
        <f t="shared" si="149"/>
        <v>1.6637422091101861E-2</v>
      </c>
    </row>
    <row r="225" spans="1:7" x14ac:dyDescent="0.2">
      <c r="A225" t="str">
        <f t="shared" si="145"/>
        <v>53 Skilled construction and building trades</v>
      </c>
      <c r="B225" s="11">
        <v>30.364169942663096</v>
      </c>
      <c r="C225" s="11">
        <v>43.574412283260543</v>
      </c>
      <c r="D225" s="11">
        <f t="shared" si="146"/>
        <v>13.210242340597446</v>
      </c>
      <c r="E225" s="11">
        <v>16.085259559616375</v>
      </c>
      <c r="F225" s="11">
        <f t="shared" ref="F225" si="152">SUM(D225:E225)</f>
        <v>29.295501900213822</v>
      </c>
      <c r="G225" s="200">
        <f t="shared" si="149"/>
        <v>2.8745459456389399E-2</v>
      </c>
    </row>
    <row r="226" spans="1:7" x14ac:dyDescent="0.2">
      <c r="A226" t="str">
        <f t="shared" si="145"/>
        <v>54 Textiles, printing and other skilled trades</v>
      </c>
      <c r="B226" s="11">
        <v>18.346916919612198</v>
      </c>
      <c r="C226" s="11">
        <v>10.021350536659639</v>
      </c>
      <c r="D226" s="11">
        <f t="shared" si="146"/>
        <v>-8.3255663829525588</v>
      </c>
      <c r="E226" s="11">
        <v>4.6090083651652201</v>
      </c>
      <c r="F226" s="11">
        <f t="shared" ref="F226" si="153">SUM(D226:E226)</f>
        <v>-3.7165580177873387</v>
      </c>
      <c r="G226" s="200">
        <f t="shared" si="149"/>
        <v>1.5053143611938102E-2</v>
      </c>
    </row>
    <row r="227" spans="1:7" x14ac:dyDescent="0.2">
      <c r="A227" t="str">
        <f t="shared" si="145"/>
        <v>61 Caring personal service occupations</v>
      </c>
      <c r="B227" s="11">
        <v>44.096247893939115</v>
      </c>
      <c r="C227" s="11">
        <v>29.700031494744664</v>
      </c>
      <c r="D227" s="11">
        <f>C227-B227</f>
        <v>-14.396216399194451</v>
      </c>
      <c r="E227" s="11">
        <v>16.637777578439692</v>
      </c>
      <c r="F227" s="11">
        <f>SUM(D227:E227)</f>
        <v>2.2415611792452417</v>
      </c>
      <c r="G227" s="200">
        <f t="shared" si="149"/>
        <v>2.1571328132401035E-2</v>
      </c>
    </row>
    <row r="228" spans="1:7" x14ac:dyDescent="0.2">
      <c r="A228" t="str">
        <f t="shared" si="145"/>
        <v>62 Leisure, travel and related personal service occupations</v>
      </c>
      <c r="B228" s="11">
        <v>17.033178863483418</v>
      </c>
      <c r="C228" s="11">
        <v>10.918051961383544</v>
      </c>
      <c r="D228" s="11">
        <f t="shared" ref="D228:D234" si="154">C228-B228</f>
        <v>-6.115126902099874</v>
      </c>
      <c r="E228" s="11">
        <v>5.8928546966466273</v>
      </c>
      <c r="F228" s="11">
        <f t="shared" ref="F228:F229" si="155">SUM(D228:E228)</f>
        <v>-0.22227220545324666</v>
      </c>
      <c r="G228" s="200">
        <f t="shared" si="149"/>
        <v>2.0004797565949417E-2</v>
      </c>
    </row>
    <row r="229" spans="1:7" x14ac:dyDescent="0.2">
      <c r="A229" t="str">
        <f t="shared" si="145"/>
        <v>63 Community and civil enforcement occupations</v>
      </c>
      <c r="B229" s="11">
        <v>1.1691916557592201</v>
      </c>
      <c r="C229" s="11">
        <v>0.64561199317998275</v>
      </c>
      <c r="D229" s="11">
        <f t="shared" si="154"/>
        <v>-0.52357966257923738</v>
      </c>
      <c r="E229" s="11">
        <v>0.29857693743318681</v>
      </c>
      <c r="F229" s="11">
        <f t="shared" si="155"/>
        <v>-0.22500272514605058</v>
      </c>
      <c r="G229" s="200">
        <f t="shared" si="149"/>
        <v>1.5277571343840668E-2</v>
      </c>
    </row>
    <row r="230" spans="1:7" x14ac:dyDescent="0.2">
      <c r="A230" t="str">
        <f t="shared" si="145"/>
        <v>71 Sales occupations</v>
      </c>
      <c r="B230" s="11">
        <v>46.918456576968659</v>
      </c>
      <c r="C230" s="11">
        <v>25.574606681377031</v>
      </c>
      <c r="D230" s="11">
        <f t="shared" si="154"/>
        <v>-21.343849895591628</v>
      </c>
      <c r="E230" s="11">
        <v>13.953895673290301</v>
      </c>
      <c r="F230" s="11">
        <f t="shared" ref="F230:F231" si="156">SUM(D230:E230)</f>
        <v>-7.389954222301327</v>
      </c>
      <c r="G230" s="200">
        <f t="shared" si="149"/>
        <v>1.7509386963104001E-2</v>
      </c>
    </row>
    <row r="231" spans="1:7" x14ac:dyDescent="0.2">
      <c r="A231" t="str">
        <f t="shared" si="145"/>
        <v>72 Customer service occupations</v>
      </c>
      <c r="B231" s="11">
        <v>15.727253041385946</v>
      </c>
      <c r="C231" s="11">
        <v>14.624541618939153</v>
      </c>
      <c r="D231" s="11">
        <f t="shared" si="154"/>
        <v>-1.1027114224467933</v>
      </c>
      <c r="E231" s="11">
        <v>7.281080120731251</v>
      </c>
      <c r="F231" s="11">
        <f t="shared" si="156"/>
        <v>6.1783686982844577</v>
      </c>
      <c r="G231" s="200">
        <f t="shared" si="149"/>
        <v>2.5688498325798337E-2</v>
      </c>
    </row>
    <row r="232" spans="1:7" x14ac:dyDescent="0.2">
      <c r="A232" t="str">
        <f t="shared" si="145"/>
        <v>81 Process, plant and machine operatives</v>
      </c>
      <c r="B232" s="11">
        <v>6.7437163561331745</v>
      </c>
      <c r="C232" s="11">
        <v>7.6887956297061573</v>
      </c>
      <c r="D232" s="11">
        <f t="shared" si="154"/>
        <v>0.94507927357298271</v>
      </c>
      <c r="E232" s="11">
        <v>2.8568728749661898</v>
      </c>
      <c r="F232" s="11">
        <f t="shared" ref="F232:F233" si="157">SUM(D232:E232)</f>
        <v>3.8019521485391725</v>
      </c>
      <c r="G232" s="200">
        <f t="shared" si="149"/>
        <v>2.3826986911024139E-2</v>
      </c>
    </row>
    <row r="233" spans="1:7" x14ac:dyDescent="0.2">
      <c r="A233" t="str">
        <f t="shared" si="145"/>
        <v>82 Transport and mobile machine drivers and operatives</v>
      </c>
      <c r="B233" s="11">
        <v>41.316517193154858</v>
      </c>
      <c r="C233" s="11">
        <v>43.194759249786699</v>
      </c>
      <c r="D233" s="11">
        <f t="shared" si="154"/>
        <v>1.8782420566318407</v>
      </c>
      <c r="E233" s="11">
        <v>21.901494956003333</v>
      </c>
      <c r="F233" s="11">
        <f t="shared" si="157"/>
        <v>23.779737012635174</v>
      </c>
      <c r="G233" s="200">
        <f t="shared" si="149"/>
        <v>2.8760960752993281E-2</v>
      </c>
    </row>
    <row r="234" spans="1:7" x14ac:dyDescent="0.2">
      <c r="A234" t="str">
        <f t="shared" si="145"/>
        <v>91 Elementary trades and related occupations</v>
      </c>
      <c r="B234" s="11">
        <v>8.2190744809452045</v>
      </c>
      <c r="C234" s="11">
        <v>6.6691017089786619</v>
      </c>
      <c r="D234" s="11">
        <f t="shared" si="154"/>
        <v>-1.5499727719665426</v>
      </c>
      <c r="E234" s="11">
        <v>2.3738264269891509</v>
      </c>
      <c r="F234" s="11">
        <f t="shared" ref="F234" si="158">SUM(D234:E234)</f>
        <v>0.82385365502260832</v>
      </c>
      <c r="G234" s="200">
        <f t="shared" si="149"/>
        <v>1.7058966414680743E-2</v>
      </c>
    </row>
    <row r="235" spans="1:7" x14ac:dyDescent="0.2">
      <c r="A235" t="str">
        <f t="shared" si="145"/>
        <v>92 Elementary administration and service occupations</v>
      </c>
      <c r="B235" s="11">
        <v>103.31427501427731</v>
      </c>
      <c r="C235" s="11">
        <v>80.17276634536772</v>
      </c>
      <c r="D235" s="11">
        <f t="shared" ref="D235" si="159">C235-B235</f>
        <v>-23.141508668909594</v>
      </c>
      <c r="E235" s="11">
        <v>42.142018667833128</v>
      </c>
      <c r="F235" s="11">
        <f t="shared" ref="F235" si="160">SUM(D235:E235)</f>
        <v>19.000509998923533</v>
      </c>
      <c r="G235" s="200">
        <f t="shared" ref="G235" si="161">IF(B235&gt;0,(1+(E235/B235))^(1/($C$6-$B$6))-1,0)</f>
        <v>2.3068733820498011E-2</v>
      </c>
    </row>
    <row r="236" spans="1:7" x14ac:dyDescent="0.2">
      <c r="A236" t="str">
        <f t="shared" si="145"/>
        <v>All occupations</v>
      </c>
      <c r="B236" s="11">
        <f>SUM(B210:B235)</f>
        <v>630.12466673858648</v>
      </c>
      <c r="C236" s="11">
        <f t="shared" ref="C236:F236" si="162">SUM(C210:C235)</f>
        <v>411.05900045374847</v>
      </c>
      <c r="D236" s="11">
        <f t="shared" si="162"/>
        <v>-219.0656662848379</v>
      </c>
      <c r="E236" s="11">
        <f t="shared" si="162"/>
        <v>213.32765685173621</v>
      </c>
      <c r="F236" s="11">
        <f t="shared" si="162"/>
        <v>-5.7380094331017375</v>
      </c>
      <c r="G236" s="200">
        <f t="shared" si="149"/>
        <v>1.9629214809905982E-2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74">
        <f t="shared" ref="B238:G238" si="163">B151</f>
        <v>2020</v>
      </c>
      <c r="C238" s="74">
        <f t="shared" si="163"/>
        <v>2035</v>
      </c>
      <c r="D238" s="87" t="str">
        <f t="shared" si="163"/>
        <v>Net Change</v>
      </c>
      <c r="E238" s="87" t="str">
        <f t="shared" si="163"/>
        <v>Replacement Demand level</v>
      </c>
      <c r="F238" s="87" t="str">
        <f t="shared" si="163"/>
        <v>Total Requirement</v>
      </c>
      <c r="G238" s="87" t="str">
        <f t="shared" si="163"/>
        <v>Replacement Demand rate</v>
      </c>
    </row>
    <row r="239" spans="1:7" x14ac:dyDescent="0.2">
      <c r="A239" t="str">
        <f t="shared" ref="A239:A265" si="164">A152</f>
        <v>11 Corporate managers and directors</v>
      </c>
      <c r="B239" s="11">
        <v>36.244020473880418</v>
      </c>
      <c r="C239" s="11">
        <v>18.91257495897554</v>
      </c>
      <c r="D239" s="11">
        <f>C239-B239</f>
        <v>-17.331445514904878</v>
      </c>
      <c r="E239" s="11">
        <v>10.416019983579096</v>
      </c>
      <c r="F239" s="11">
        <f>SUM(D239:E239)</f>
        <v>-6.9154255313257824</v>
      </c>
      <c r="G239" s="200">
        <f>IF(B239&gt;0,(1+(E239/B239))^(1/($C$6-$B$6))-1,0)</f>
        <v>1.6983522185305411E-2</v>
      </c>
    </row>
    <row r="240" spans="1:7" x14ac:dyDescent="0.2">
      <c r="A240" t="str">
        <f t="shared" si="164"/>
        <v>12 Other managers and proprietors</v>
      </c>
      <c r="B240" s="11">
        <v>17.026539450378216</v>
      </c>
      <c r="C240" s="11">
        <v>10.492917950211972</v>
      </c>
      <c r="D240" s="11">
        <f t="shared" ref="D240:D255" si="165">C240-B240</f>
        <v>-6.5336215001662445</v>
      </c>
      <c r="E240" s="11">
        <v>6.1251671610723886</v>
      </c>
      <c r="F240" s="11">
        <f t="shared" ref="F240:F247" si="166">SUM(D240:E240)</f>
        <v>-0.40845433909385598</v>
      </c>
      <c r="G240" s="200">
        <f t="shared" ref="G240:G242" si="167">IF(B240&gt;0,(1+(E240/B240))^(1/($C$6-$B$6))-1,0)</f>
        <v>2.0697634036817458E-2</v>
      </c>
    </row>
    <row r="241" spans="1:7" x14ac:dyDescent="0.2">
      <c r="A241" t="str">
        <f t="shared" si="164"/>
        <v>21 Science, research, engineering and technology professionals</v>
      </c>
      <c r="B241" s="11">
        <v>14.843486699094344</v>
      </c>
      <c r="C241" s="11">
        <v>4.7024167619690118</v>
      </c>
      <c r="D241" s="11">
        <f t="shared" si="165"/>
        <v>-10.141069937125332</v>
      </c>
      <c r="E241" s="11">
        <v>2.5401358631507787</v>
      </c>
      <c r="F241" s="11">
        <f t="shared" si="166"/>
        <v>-7.6009340739745532</v>
      </c>
      <c r="G241" s="200">
        <f t="shared" si="167"/>
        <v>1.0586805684595024E-2</v>
      </c>
    </row>
    <row r="242" spans="1:7" x14ac:dyDescent="0.2">
      <c r="A242" t="str">
        <f t="shared" si="164"/>
        <v>22 Health professionals</v>
      </c>
      <c r="B242" s="11">
        <v>8.889124925155576</v>
      </c>
      <c r="C242" s="11">
        <v>4.7070156393763209</v>
      </c>
      <c r="D242" s="11">
        <f t="shared" si="165"/>
        <v>-4.182109285779255</v>
      </c>
      <c r="E242" s="11">
        <v>2.8037983263920805</v>
      </c>
      <c r="F242" s="11">
        <f t="shared" si="166"/>
        <v>-1.3783109593871745</v>
      </c>
      <c r="G242" s="200">
        <f t="shared" si="167"/>
        <v>1.8445060005156E-2</v>
      </c>
    </row>
    <row r="243" spans="1:7" x14ac:dyDescent="0.2">
      <c r="A243" t="str">
        <f t="shared" si="164"/>
        <v>23 Teaching and other educational professionals</v>
      </c>
      <c r="B243" s="11">
        <v>5.5577915961204551</v>
      </c>
      <c r="C243" s="11">
        <v>4.55179181866486</v>
      </c>
      <c r="D243" s="11">
        <f t="shared" si="165"/>
        <v>-1.0059997774555951</v>
      </c>
      <c r="E243" s="11">
        <v>1.9253718290395123</v>
      </c>
      <c r="F243" s="11">
        <f t="shared" si="166"/>
        <v>0.91937205158391722</v>
      </c>
      <c r="G243" s="200">
        <f>IF(B243&gt;0,(1+(E243/B243))^(1/($C$6-$B$6))-1,0)</f>
        <v>2.0028245994719418E-2</v>
      </c>
    </row>
    <row r="244" spans="1:7" x14ac:dyDescent="0.2">
      <c r="A244" t="str">
        <f t="shared" si="164"/>
        <v>24 Business, media and public service professionals</v>
      </c>
      <c r="B244" s="11">
        <v>22.118898451400099</v>
      </c>
      <c r="C244" s="11">
        <v>7.9401663414323913</v>
      </c>
      <c r="D244" s="11">
        <f t="shared" si="165"/>
        <v>-14.178732109967708</v>
      </c>
      <c r="E244" s="11">
        <v>4.8245540535740146</v>
      </c>
      <c r="F244" s="11">
        <f t="shared" si="166"/>
        <v>-9.3541780563936925</v>
      </c>
      <c r="G244" s="200">
        <f t="shared" ref="G244:G265" si="168">IF(B244&gt;0,(1+(E244/B244))^(1/($C$6-$B$6))-1,0)</f>
        <v>1.3240755390206305E-2</v>
      </c>
    </row>
    <row r="245" spans="1:7" x14ac:dyDescent="0.2">
      <c r="A245" t="str">
        <f t="shared" si="164"/>
        <v>31 Science, engineering and technology associate professionals</v>
      </c>
      <c r="B245" s="11">
        <v>7.7154256309976095</v>
      </c>
      <c r="C245" s="11">
        <v>3.1295753406810252</v>
      </c>
      <c r="D245" s="11">
        <f t="shared" si="165"/>
        <v>-4.5858502903165839</v>
      </c>
      <c r="E245" s="11">
        <v>1.5017863638071396</v>
      </c>
      <c r="F245" s="11">
        <f t="shared" si="166"/>
        <v>-3.0840639265094443</v>
      </c>
      <c r="G245" s="200">
        <f>IF(B245&gt;0,(1+(E245/B245))^(1/($C$6-$B$6))-1,0)</f>
        <v>1.1927299762806598E-2</v>
      </c>
    </row>
    <row r="246" spans="1:7" x14ac:dyDescent="0.2">
      <c r="A246" t="str">
        <f t="shared" si="164"/>
        <v>32 Health and social care associate professionals</v>
      </c>
      <c r="B246" s="11">
        <v>4.179055937485689</v>
      </c>
      <c r="C246" s="11">
        <v>2.1701099325519349</v>
      </c>
      <c r="D246" s="11">
        <f t="shared" si="165"/>
        <v>-2.0089460049337542</v>
      </c>
      <c r="E246" s="11">
        <v>1.2258246558474015</v>
      </c>
      <c r="F246" s="11">
        <f t="shared" si="166"/>
        <v>-0.78312134908635267</v>
      </c>
      <c r="G246" s="200">
        <f t="shared" si="168"/>
        <v>1.7295666849810098E-2</v>
      </c>
    </row>
    <row r="247" spans="1:7" x14ac:dyDescent="0.2">
      <c r="A247" t="str">
        <f t="shared" si="164"/>
        <v>33 Protective service occupations</v>
      </c>
      <c r="B247" s="11">
        <v>7.8233534264623437</v>
      </c>
      <c r="C247" s="11">
        <v>7.3736223469147131</v>
      </c>
      <c r="D247" s="11">
        <f t="shared" si="165"/>
        <v>-0.44973107954763059</v>
      </c>
      <c r="E247" s="11">
        <v>2.715698513099666</v>
      </c>
      <c r="F247" s="11">
        <f t="shared" si="166"/>
        <v>2.2659674335520354</v>
      </c>
      <c r="G247" s="200">
        <f t="shared" si="168"/>
        <v>2.0063574587254829E-2</v>
      </c>
    </row>
    <row r="248" spans="1:7" x14ac:dyDescent="0.2">
      <c r="A248" t="str">
        <f t="shared" si="164"/>
        <v>34 Culture, media and sports occupations</v>
      </c>
      <c r="B248" s="11">
        <v>9.6191255179408852</v>
      </c>
      <c r="C248" s="11">
        <v>4.7610572480409861</v>
      </c>
      <c r="D248" s="11">
        <f t="shared" si="165"/>
        <v>-4.8580682698998991</v>
      </c>
      <c r="E248" s="11">
        <v>2.0906487622084104</v>
      </c>
      <c r="F248" s="11">
        <f t="shared" ref="F248:F249" si="169">SUM(D248:E248)</f>
        <v>-2.7674195076914887</v>
      </c>
      <c r="G248" s="200">
        <f t="shared" si="168"/>
        <v>1.3197700469451901E-2</v>
      </c>
    </row>
    <row r="249" spans="1:7" x14ac:dyDescent="0.2">
      <c r="A249" t="str">
        <f t="shared" si="164"/>
        <v>35 Business and public service associate professionals</v>
      </c>
      <c r="B249" s="11">
        <v>33.021327416301155</v>
      </c>
      <c r="C249" s="11">
        <v>11.942592428876699</v>
      </c>
      <c r="D249" s="11">
        <f t="shared" si="165"/>
        <v>-21.078734987424454</v>
      </c>
      <c r="E249" s="11">
        <v>6.5532525569946598</v>
      </c>
      <c r="F249" s="11">
        <f t="shared" si="169"/>
        <v>-14.525482430429793</v>
      </c>
      <c r="G249" s="200">
        <f t="shared" si="168"/>
        <v>1.2142013212349978E-2</v>
      </c>
    </row>
    <row r="250" spans="1:7" x14ac:dyDescent="0.2">
      <c r="A250" t="str">
        <f t="shared" si="164"/>
        <v>41 Administrative occupations</v>
      </c>
      <c r="B250" s="11">
        <v>40.130228508653197</v>
      </c>
      <c r="C250" s="11">
        <v>4.8241535741375037</v>
      </c>
      <c r="D250" s="11">
        <f t="shared" si="165"/>
        <v>-35.306074934515692</v>
      </c>
      <c r="E250" s="11">
        <v>5.75413412454499</v>
      </c>
      <c r="F250" s="11">
        <f t="shared" ref="F250:F253" si="170">SUM(D250:E250)</f>
        <v>-29.551940809970702</v>
      </c>
      <c r="G250" s="200">
        <f t="shared" si="168"/>
        <v>8.9729844945194426E-3</v>
      </c>
    </row>
    <row r="251" spans="1:7" x14ac:dyDescent="0.2">
      <c r="A251" t="str">
        <f t="shared" si="164"/>
        <v>42 Secretarial and related occupations</v>
      </c>
      <c r="B251" s="11">
        <v>17.551964198549964</v>
      </c>
      <c r="C251" s="11">
        <v>0.78934724493170316</v>
      </c>
      <c r="D251" s="11">
        <f t="shared" si="165"/>
        <v>-16.762616953618259</v>
      </c>
      <c r="E251" s="11">
        <v>2.516824655326197</v>
      </c>
      <c r="F251" s="11">
        <f t="shared" si="170"/>
        <v>-14.245792298292063</v>
      </c>
      <c r="G251" s="200">
        <f t="shared" si="168"/>
        <v>8.9733513519516528E-3</v>
      </c>
    </row>
    <row r="252" spans="1:7" x14ac:dyDescent="0.2">
      <c r="A252" t="str">
        <f t="shared" si="164"/>
        <v>51 Skilled agricultural and related trades</v>
      </c>
      <c r="B252" s="11">
        <v>4.4621208968253132</v>
      </c>
      <c r="C252" s="11">
        <v>5.832170681928754</v>
      </c>
      <c r="D252" s="11">
        <f t="shared" si="165"/>
        <v>1.3700497851034408</v>
      </c>
      <c r="E252" s="11">
        <v>2.2819428819495249</v>
      </c>
      <c r="F252" s="11">
        <f t="shared" si="170"/>
        <v>3.6519926670529657</v>
      </c>
      <c r="G252" s="200">
        <f t="shared" si="168"/>
        <v>2.7918515853687431E-2</v>
      </c>
    </row>
    <row r="253" spans="1:7" x14ac:dyDescent="0.2">
      <c r="A253" t="str">
        <f t="shared" si="164"/>
        <v>52 Skilled metal, electrical and electronic trades</v>
      </c>
      <c r="B253" s="11">
        <v>12.035489308886014</v>
      </c>
      <c r="C253" s="11">
        <v>5.7418554774112547</v>
      </c>
      <c r="D253" s="11">
        <f t="shared" si="165"/>
        <v>-6.2936338314747591</v>
      </c>
      <c r="E253" s="11">
        <v>3.0976639754198887</v>
      </c>
      <c r="F253" s="11">
        <f t="shared" si="170"/>
        <v>-3.1959698560548704</v>
      </c>
      <c r="G253" s="200">
        <f t="shared" si="168"/>
        <v>1.5385705858732779E-2</v>
      </c>
    </row>
    <row r="254" spans="1:7" x14ac:dyDescent="0.2">
      <c r="A254" t="str">
        <f t="shared" si="164"/>
        <v>53 Skilled construction and building trades</v>
      </c>
      <c r="B254" s="11">
        <v>17.858929941994305</v>
      </c>
      <c r="C254" s="11">
        <v>26.127691988941272</v>
      </c>
      <c r="D254" s="11">
        <f t="shared" si="165"/>
        <v>8.2687620469469678</v>
      </c>
      <c r="E254" s="11">
        <v>8.1656217364033488</v>
      </c>
      <c r="F254" s="11">
        <f t="shared" ref="F254" si="171">SUM(D254:E254)</f>
        <v>16.434383783350317</v>
      </c>
      <c r="G254" s="200">
        <f t="shared" si="168"/>
        <v>2.5420167921040404E-2</v>
      </c>
    </row>
    <row r="255" spans="1:7" x14ac:dyDescent="0.2">
      <c r="A255" t="str">
        <f t="shared" si="164"/>
        <v>54 Textiles, printing and other skilled trades</v>
      </c>
      <c r="B255" s="11">
        <v>25.681854673059402</v>
      </c>
      <c r="C255" s="11">
        <v>22.557639261821492</v>
      </c>
      <c r="D255" s="11">
        <f t="shared" si="165"/>
        <v>-3.124215411237909</v>
      </c>
      <c r="E255" s="11">
        <v>7.9946232255537248</v>
      </c>
      <c r="F255" s="11">
        <f t="shared" ref="F255" si="172">SUM(D255:E255)</f>
        <v>4.8704078143158158</v>
      </c>
      <c r="G255" s="200">
        <f t="shared" si="168"/>
        <v>1.8231868290133013E-2</v>
      </c>
    </row>
    <row r="256" spans="1:7" x14ac:dyDescent="0.2">
      <c r="A256" t="str">
        <f t="shared" si="164"/>
        <v>61 Caring personal service occupations</v>
      </c>
      <c r="B256" s="11">
        <v>11.369846898305711</v>
      </c>
      <c r="C256" s="11">
        <v>8.8091380733052631</v>
      </c>
      <c r="D256" s="11">
        <f>C256-B256</f>
        <v>-2.5607088250004484</v>
      </c>
      <c r="E256" s="11">
        <v>2.6027134349333552</v>
      </c>
      <c r="F256" s="11">
        <f>SUM(D256:E256)</f>
        <v>4.2004609932906778E-2</v>
      </c>
      <c r="G256" s="200">
        <f t="shared" si="168"/>
        <v>1.3836895019240014E-2</v>
      </c>
    </row>
    <row r="257" spans="1:7" x14ac:dyDescent="0.2">
      <c r="A257" t="str">
        <f t="shared" si="164"/>
        <v>62 Leisure, travel and related personal service occupations</v>
      </c>
      <c r="B257" s="11">
        <v>14.333456500866403</v>
      </c>
      <c r="C257" s="11">
        <v>11.502744544440661</v>
      </c>
      <c r="D257" s="11">
        <f t="shared" ref="D257:D263" si="173">C257-B257</f>
        <v>-2.8307119564257412</v>
      </c>
      <c r="E257" s="11">
        <v>4.9350073061389796</v>
      </c>
      <c r="F257" s="11">
        <f t="shared" ref="F257:F258" si="174">SUM(D257:E257)</f>
        <v>2.1042953497132384</v>
      </c>
      <c r="G257" s="200">
        <f t="shared" si="168"/>
        <v>1.9920710344079717E-2</v>
      </c>
    </row>
    <row r="258" spans="1:7" x14ac:dyDescent="0.2">
      <c r="A258" t="str">
        <f t="shared" si="164"/>
        <v>63 Community and civil enforcement occupations</v>
      </c>
      <c r="B258" s="11">
        <v>1.2094310371447023</v>
      </c>
      <c r="C258" s="11">
        <v>0.89257666471176833</v>
      </c>
      <c r="D258" s="11">
        <f t="shared" si="173"/>
        <v>-0.31685437243293402</v>
      </c>
      <c r="E258" s="11">
        <v>0.37115905751176581</v>
      </c>
      <c r="F258" s="11">
        <f t="shared" si="174"/>
        <v>5.4304685078831794E-2</v>
      </c>
      <c r="G258" s="200">
        <f t="shared" si="168"/>
        <v>1.8003356095885215E-2</v>
      </c>
    </row>
    <row r="259" spans="1:7" x14ac:dyDescent="0.2">
      <c r="A259" t="str">
        <f t="shared" si="164"/>
        <v>71 Sales occupations</v>
      </c>
      <c r="B259" s="11">
        <v>44.517994667406604</v>
      </c>
      <c r="C259" s="11">
        <v>9.4200414598863151</v>
      </c>
      <c r="D259" s="11">
        <f t="shared" si="173"/>
        <v>-35.097953207520291</v>
      </c>
      <c r="E259" s="11">
        <v>8.5652716112034533</v>
      </c>
      <c r="F259" s="11">
        <f t="shared" ref="F259:F260" si="175">SUM(D259:E259)</f>
        <v>-26.532681596316838</v>
      </c>
      <c r="G259" s="200">
        <f t="shared" si="168"/>
        <v>1.1800297972937024E-2</v>
      </c>
    </row>
    <row r="260" spans="1:7" x14ac:dyDescent="0.2">
      <c r="A260" t="str">
        <f t="shared" si="164"/>
        <v>72 Customer service occupations</v>
      </c>
      <c r="B260" s="11">
        <v>8.4804298629314285</v>
      </c>
      <c r="C260" s="11">
        <v>6.681691334593638</v>
      </c>
      <c r="D260" s="11">
        <f t="shared" si="173"/>
        <v>-1.7987385283377906</v>
      </c>
      <c r="E260" s="11">
        <v>2.2485079554924172</v>
      </c>
      <c r="F260" s="11">
        <f t="shared" si="175"/>
        <v>0.44976942715462664</v>
      </c>
      <c r="G260" s="200">
        <f t="shared" si="168"/>
        <v>1.5802453451553067E-2</v>
      </c>
    </row>
    <row r="261" spans="1:7" x14ac:dyDescent="0.2">
      <c r="A261" t="str">
        <f t="shared" si="164"/>
        <v>81 Process, plant and machine operatives</v>
      </c>
      <c r="B261" s="11">
        <v>7.675615858251418</v>
      </c>
      <c r="C261" s="11">
        <v>4.7506238564340535</v>
      </c>
      <c r="D261" s="11">
        <f t="shared" si="173"/>
        <v>-2.9249920018173645</v>
      </c>
      <c r="E261" s="11">
        <v>2.2151598695472776</v>
      </c>
      <c r="F261" s="11">
        <f t="shared" ref="F261:F262" si="176">SUM(D261:E261)</f>
        <v>-0.7098321322700869</v>
      </c>
      <c r="G261" s="200">
        <f t="shared" si="168"/>
        <v>1.7047277344724554E-2</v>
      </c>
    </row>
    <row r="262" spans="1:7" x14ac:dyDescent="0.2">
      <c r="A262" t="str">
        <f t="shared" si="164"/>
        <v>82 Transport and mobile machine drivers and operatives</v>
      </c>
      <c r="B262" s="11">
        <v>46.085453350305187</v>
      </c>
      <c r="C262" s="11">
        <v>36.270022691973502</v>
      </c>
      <c r="D262" s="11">
        <f t="shared" si="173"/>
        <v>-9.8154306583316853</v>
      </c>
      <c r="E262" s="11">
        <v>17.675591815370815</v>
      </c>
      <c r="F262" s="11">
        <f t="shared" si="176"/>
        <v>7.8601611570391299</v>
      </c>
      <c r="G262" s="200">
        <f t="shared" si="168"/>
        <v>2.1878913469827621E-2</v>
      </c>
    </row>
    <row r="263" spans="1:7" x14ac:dyDescent="0.2">
      <c r="A263" t="str">
        <f t="shared" si="164"/>
        <v>91 Elementary trades and related occupations</v>
      </c>
      <c r="B263" s="11">
        <v>11.194626037422303</v>
      </c>
      <c r="C263" s="11">
        <v>6.3191715216358011</v>
      </c>
      <c r="D263" s="11">
        <f t="shared" si="173"/>
        <v>-4.8754545157865019</v>
      </c>
      <c r="E263" s="11">
        <v>2.7020383282228488</v>
      </c>
      <c r="F263" s="11">
        <f t="shared" ref="F263" si="177">SUM(D263:E263)</f>
        <v>-2.1734161875636531</v>
      </c>
      <c r="G263" s="200">
        <f t="shared" si="168"/>
        <v>1.4518720289667719E-2</v>
      </c>
    </row>
    <row r="264" spans="1:7" x14ac:dyDescent="0.2">
      <c r="A264" t="str">
        <f t="shared" si="164"/>
        <v>92 Elementary administration and service occupations</v>
      </c>
      <c r="B264" s="11">
        <v>119.12523296129595</v>
      </c>
      <c r="C264" s="11">
        <v>67.775456773071724</v>
      </c>
      <c r="D264" s="11">
        <f t="shared" ref="D264" si="178">C264-B264</f>
        <v>-51.349776188224226</v>
      </c>
      <c r="E264" s="11">
        <v>35.934788165071225</v>
      </c>
      <c r="F264" s="11">
        <f t="shared" ref="F264" si="179">SUM(D264:E264)</f>
        <v>-15.414988023153001</v>
      </c>
      <c r="G264" s="200">
        <f t="shared" ref="G264" si="180">IF(B264&gt;0,(1+(E264/B264))^(1/($C$6-$B$6))-1,0)</f>
        <v>1.7731160363034348E-2</v>
      </c>
    </row>
    <row r="265" spans="1:7" x14ac:dyDescent="0.2">
      <c r="A265" t="str">
        <f t="shared" si="164"/>
        <v>All occupations</v>
      </c>
      <c r="B265" s="11">
        <f>SUM(B239:B264)</f>
        <v>548.75082422711466</v>
      </c>
      <c r="C265" s="11">
        <f t="shared" ref="C265:F265" si="181">SUM(C239:C264)</f>
        <v>298.97816591692015</v>
      </c>
      <c r="D265" s="11">
        <f t="shared" si="181"/>
        <v>-249.77265831019457</v>
      </c>
      <c r="E265" s="11">
        <f t="shared" si="181"/>
        <v>149.78330621145497</v>
      </c>
      <c r="F265" s="11">
        <f t="shared" si="181"/>
        <v>-99.989352098739573</v>
      </c>
      <c r="G265" s="200">
        <f t="shared" si="168"/>
        <v>1.621943473436005E-2</v>
      </c>
    </row>
    <row r="267" spans="1:7" ht="38.25" x14ac:dyDescent="0.2">
      <c r="A267" s="201" t="str">
        <f>CONCATENATE(name!F12," (Constrained)")</f>
        <v>No Qualification (Constrained)</v>
      </c>
      <c r="B267" s="74">
        <f t="shared" ref="B267:G267" si="182">B180</f>
        <v>2020</v>
      </c>
      <c r="C267" s="74">
        <f t="shared" si="182"/>
        <v>2035</v>
      </c>
      <c r="D267" s="87" t="str">
        <f t="shared" si="182"/>
        <v>Net Change</v>
      </c>
      <c r="E267" s="87" t="str">
        <f t="shared" si="182"/>
        <v>Replacement Demand level</v>
      </c>
      <c r="F267" s="87" t="str">
        <f t="shared" si="182"/>
        <v>Total Requirement</v>
      </c>
      <c r="G267" s="87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4.7927772944815707</v>
      </c>
      <c r="C268" s="11">
        <v>2.8488552012183552</v>
      </c>
      <c r="D268" s="11">
        <f>C268-B268</f>
        <v>-1.9439220932632155</v>
      </c>
      <c r="E268" s="11">
        <v>1.0577678693128689</v>
      </c>
      <c r="F268" s="11">
        <f>SUM(D268:E268)</f>
        <v>-0.8861542239503466</v>
      </c>
      <c r="G268" s="200">
        <f>IF(B268&gt;0,(1+(E268/B268))^(1/($C$6-$B$6))-1,0)</f>
        <v>1.3383757493130588E-2</v>
      </c>
    </row>
    <row r="269" spans="1:7" x14ac:dyDescent="0.2">
      <c r="A269" t="str">
        <f t="shared" si="183"/>
        <v>12 Other managers and proprietors</v>
      </c>
      <c r="B269" s="11">
        <v>4.0149055623496857</v>
      </c>
      <c r="C269" s="11">
        <v>2.4528338465996056</v>
      </c>
      <c r="D269" s="11">
        <f t="shared" ref="D269:D284" si="184">C269-B269</f>
        <v>-1.5620717157500801</v>
      </c>
      <c r="E269" s="11">
        <v>1.2005559254719675</v>
      </c>
      <c r="F269" s="11">
        <f t="shared" ref="F269:F276" si="185">SUM(D269:E269)</f>
        <v>-0.36151579027811254</v>
      </c>
      <c r="G269" s="200">
        <f t="shared" ref="G269:G271" si="186">IF(B269&gt;0,(1+(E269/B269))^(1/($C$6-$B$6))-1,0)</f>
        <v>1.7593897604006647E-2</v>
      </c>
    </row>
    <row r="270" spans="1:7" x14ac:dyDescent="0.2">
      <c r="A270" t="str">
        <f t="shared" si="183"/>
        <v>21 Science, research, engineering and technology professionals</v>
      </c>
      <c r="B270" s="11">
        <v>3.065628036016669</v>
      </c>
      <c r="C270" s="11">
        <v>2.9707313524127166</v>
      </c>
      <c r="D270" s="11">
        <f t="shared" si="184"/>
        <v>-9.4896683603952425E-2</v>
      </c>
      <c r="E270" s="11">
        <v>0.94930136618067429</v>
      </c>
      <c r="F270" s="11">
        <f t="shared" si="185"/>
        <v>0.85440468257672186</v>
      </c>
      <c r="G270" s="200">
        <f t="shared" si="186"/>
        <v>1.8147182063554368E-2</v>
      </c>
    </row>
    <row r="271" spans="1:7" x14ac:dyDescent="0.2">
      <c r="A271" t="str">
        <f t="shared" si="183"/>
        <v>22 Health professionals</v>
      </c>
      <c r="B271" s="11">
        <v>0.99512169390655025</v>
      </c>
      <c r="C271" s="11">
        <v>1.4181181744719533</v>
      </c>
      <c r="D271" s="11">
        <f t="shared" si="184"/>
        <v>0.42299648056540307</v>
      </c>
      <c r="E271" s="11">
        <v>0.47523301197353823</v>
      </c>
      <c r="F271" s="11">
        <f t="shared" si="185"/>
        <v>0.89822949253894135</v>
      </c>
      <c r="G271" s="200">
        <f t="shared" si="186"/>
        <v>2.6367901366437962E-2</v>
      </c>
    </row>
    <row r="272" spans="1:7" x14ac:dyDescent="0.2">
      <c r="A272" t="str">
        <f t="shared" si="183"/>
        <v>23 Teaching and other educational professionals</v>
      </c>
      <c r="B272" s="11">
        <v>1.0049451277653549</v>
      </c>
      <c r="C272" s="11">
        <v>0.65898204918755821</v>
      </c>
      <c r="D272" s="11">
        <f t="shared" si="184"/>
        <v>-0.34596307857779673</v>
      </c>
      <c r="E272" s="11">
        <v>0.31429404586635806</v>
      </c>
      <c r="F272" s="11">
        <f t="shared" si="185"/>
        <v>-3.1669032711438672E-2</v>
      </c>
      <c r="G272" s="200">
        <f>IF(B272&gt;0,(1+(E272/B272))^(1/($C$6-$B$6))-1,0)</f>
        <v>1.8307039403166137E-2</v>
      </c>
    </row>
    <row r="273" spans="1:7" x14ac:dyDescent="0.2">
      <c r="A273" t="str">
        <f t="shared" si="183"/>
        <v>24 Business, media and public service professionals</v>
      </c>
      <c r="B273" s="11">
        <v>4.2259064644352247</v>
      </c>
      <c r="C273" s="11">
        <v>2.3963186038659696</v>
      </c>
      <c r="D273" s="11">
        <f t="shared" si="184"/>
        <v>-1.829587860569255</v>
      </c>
      <c r="E273" s="11">
        <v>1.0846221501366233</v>
      </c>
      <c r="F273" s="11">
        <f t="shared" si="185"/>
        <v>-0.74496571043263171</v>
      </c>
      <c r="G273" s="200">
        <f t="shared" ref="G273" si="187">IF(B273&gt;0,(1+(E273/B273))^(1/($C$6-$B$6))-1,0)</f>
        <v>1.5347081608370061E-2</v>
      </c>
    </row>
    <row r="274" spans="1:7" x14ac:dyDescent="0.2">
      <c r="A274" t="str">
        <f t="shared" si="183"/>
        <v>31 Science, engineering and technology associate professionals</v>
      </c>
      <c r="B274" s="11">
        <v>2.0564754884008893</v>
      </c>
      <c r="C274" s="11">
        <v>3.058900736869965</v>
      </c>
      <c r="D274" s="11">
        <f t="shared" si="184"/>
        <v>1.0024252484690757</v>
      </c>
      <c r="E274" s="11">
        <v>0.93402111457748693</v>
      </c>
      <c r="F274" s="11">
        <f t="shared" si="185"/>
        <v>1.9364463630465627</v>
      </c>
      <c r="G274" s="200">
        <f>IF(B274&gt;0,(1+(E274/B274))^(1/($C$6-$B$6))-1,0)</f>
        <v>2.5277244171774349E-2</v>
      </c>
    </row>
    <row r="275" spans="1:7" x14ac:dyDescent="0.2">
      <c r="A275" t="str">
        <f t="shared" si="183"/>
        <v>32 Health and social care associate professionals</v>
      </c>
      <c r="B275" s="11">
        <v>0.65385289361620513</v>
      </c>
      <c r="C275" s="11">
        <v>0.76263341293702902</v>
      </c>
      <c r="D275" s="11">
        <f t="shared" si="184"/>
        <v>0.10878051932082389</v>
      </c>
      <c r="E275" s="11">
        <v>0.28226847309700298</v>
      </c>
      <c r="F275" s="11">
        <f t="shared" si="185"/>
        <v>0.39104899241782687</v>
      </c>
      <c r="G275" s="200">
        <f t="shared" ref="G275:G292" si="188">IF(B275&gt;0,(1+(E275/B275))^(1/($C$6-$B$6))-1,0)</f>
        <v>2.4212661909287281E-2</v>
      </c>
    </row>
    <row r="276" spans="1:7" x14ac:dyDescent="0.2">
      <c r="A276" t="str">
        <f t="shared" si="183"/>
        <v>33 Protective service occupations</v>
      </c>
      <c r="B276" s="11">
        <v>0.70815541831086404</v>
      </c>
      <c r="C276" s="11">
        <v>0.37454146865051396</v>
      </c>
      <c r="D276" s="11">
        <f t="shared" si="184"/>
        <v>-0.33361394966035007</v>
      </c>
      <c r="E276" s="11">
        <v>0.10307105721336678</v>
      </c>
      <c r="F276" s="11">
        <f t="shared" si="185"/>
        <v>-0.23054289244698328</v>
      </c>
      <c r="G276" s="200">
        <f t="shared" si="188"/>
        <v>9.1000683139308425E-3</v>
      </c>
    </row>
    <row r="277" spans="1:7" x14ac:dyDescent="0.2">
      <c r="A277" t="str">
        <f t="shared" si="183"/>
        <v>34 Culture, media and sports occupations</v>
      </c>
      <c r="B277" s="11">
        <v>2.661781050294989</v>
      </c>
      <c r="C277" s="11">
        <v>1.4067109988504236</v>
      </c>
      <c r="D277" s="11">
        <f t="shared" si="184"/>
        <v>-1.2550700514445654</v>
      </c>
      <c r="E277" s="11">
        <v>0.58280117575544577</v>
      </c>
      <c r="F277" s="11">
        <f t="shared" ref="F277:F278" si="189">SUM(D277:E277)</f>
        <v>-0.67226887568911964</v>
      </c>
      <c r="G277" s="200">
        <f t="shared" si="188"/>
        <v>1.3286905504218405E-2</v>
      </c>
    </row>
    <row r="278" spans="1:7" x14ac:dyDescent="0.2">
      <c r="A278" t="str">
        <f t="shared" si="183"/>
        <v>35 Business and public service associate professionals</v>
      </c>
      <c r="B278" s="11">
        <v>5.6521572002953127</v>
      </c>
      <c r="C278" s="11">
        <v>3.6960215306721795</v>
      </c>
      <c r="D278" s="11">
        <f t="shared" si="184"/>
        <v>-1.9561356696231331</v>
      </c>
      <c r="E278" s="11">
        <v>1.3268872248371633</v>
      </c>
      <c r="F278" s="11">
        <f t="shared" si="189"/>
        <v>-0.62924844478596986</v>
      </c>
      <c r="G278" s="200">
        <f t="shared" si="188"/>
        <v>1.4157598011038219E-2</v>
      </c>
    </row>
    <row r="279" spans="1:7" x14ac:dyDescent="0.2">
      <c r="A279" t="str">
        <f t="shared" si="183"/>
        <v>41 Administrative occupations</v>
      </c>
      <c r="B279" s="11">
        <v>7.5594805499164197</v>
      </c>
      <c r="C279" s="11">
        <v>3.1564848231913687</v>
      </c>
      <c r="D279" s="11">
        <f t="shared" si="184"/>
        <v>-4.4029957267250506</v>
      </c>
      <c r="E279" s="11">
        <v>1.4240348627182389</v>
      </c>
      <c r="F279" s="11">
        <f t="shared" ref="F279:F282" si="190">SUM(D279:E279)</f>
        <v>-2.9789608640068117</v>
      </c>
      <c r="G279" s="200">
        <f t="shared" si="188"/>
        <v>1.1572367669746342E-2</v>
      </c>
    </row>
    <row r="280" spans="1:7" x14ac:dyDescent="0.2">
      <c r="A280" t="str">
        <f t="shared" si="183"/>
        <v>42 Secretarial and related occupations</v>
      </c>
      <c r="B280" s="11">
        <v>4.0077598367939133</v>
      </c>
      <c r="C280" s="11">
        <v>2.4423447504112863</v>
      </c>
      <c r="D280" s="11">
        <f t="shared" si="184"/>
        <v>-1.5654150863826271</v>
      </c>
      <c r="E280" s="11">
        <v>1.4037499537690759</v>
      </c>
      <c r="F280" s="11">
        <f t="shared" si="190"/>
        <v>-0.1616651326135512</v>
      </c>
      <c r="G280" s="200">
        <f t="shared" si="188"/>
        <v>2.0221450905668625E-2</v>
      </c>
    </row>
    <row r="281" spans="1:7" x14ac:dyDescent="0.2">
      <c r="A281" t="str">
        <f t="shared" si="183"/>
        <v>51 Skilled agricultural and related trades</v>
      </c>
      <c r="B281" s="11">
        <v>1.7625669582022372</v>
      </c>
      <c r="C281" s="11">
        <v>0.58909527423584596</v>
      </c>
      <c r="D281" s="11">
        <f t="shared" si="184"/>
        <v>-1.1734716839663912</v>
      </c>
      <c r="E281" s="11">
        <v>0.47085373983014212</v>
      </c>
      <c r="F281" s="11">
        <f t="shared" si="190"/>
        <v>-0.70261794413624912</v>
      </c>
      <c r="G281" s="200">
        <f t="shared" si="188"/>
        <v>1.5909435946736661E-2</v>
      </c>
    </row>
    <row r="282" spans="1:7" x14ac:dyDescent="0.2">
      <c r="A282" t="str">
        <f t="shared" si="183"/>
        <v>52 Skilled metal, electrical and electronic trades</v>
      </c>
      <c r="B282" s="11">
        <v>4.2280130103165448</v>
      </c>
      <c r="C282" s="11">
        <v>1.7506701131857669</v>
      </c>
      <c r="D282" s="11">
        <f t="shared" si="184"/>
        <v>-2.4773428971307778</v>
      </c>
      <c r="E282" s="11">
        <v>1.0899417734495715</v>
      </c>
      <c r="F282" s="11">
        <f t="shared" si="190"/>
        <v>-1.3874011236812063</v>
      </c>
      <c r="G282" s="200">
        <f t="shared" si="188"/>
        <v>1.5407939927357894E-2</v>
      </c>
    </row>
    <row r="283" spans="1:7" x14ac:dyDescent="0.2">
      <c r="A283" t="str">
        <f t="shared" si="183"/>
        <v>53 Skilled construction and building trades</v>
      </c>
      <c r="B283" s="11">
        <v>6.8768632529672695</v>
      </c>
      <c r="C283" s="11">
        <v>0.80938598171702036</v>
      </c>
      <c r="D283" s="11">
        <f t="shared" si="184"/>
        <v>-6.0674772712502492</v>
      </c>
      <c r="E283" s="11">
        <v>1.0725574179034818</v>
      </c>
      <c r="F283" s="11">
        <f t="shared" ref="F283" si="191">SUM(D283:E283)</f>
        <v>-4.9949198533467669</v>
      </c>
      <c r="G283" s="200">
        <f t="shared" si="188"/>
        <v>9.709260576909573E-3</v>
      </c>
    </row>
    <row r="284" spans="1:7" x14ac:dyDescent="0.2">
      <c r="A284" t="str">
        <f t="shared" si="183"/>
        <v>54 Textiles, printing and other skilled trades</v>
      </c>
      <c r="B284" s="11">
        <v>7.616906089497367</v>
      </c>
      <c r="C284" s="11">
        <v>2.3202122866732702</v>
      </c>
      <c r="D284" s="11">
        <f t="shared" si="184"/>
        <v>-5.2966938028240964</v>
      </c>
      <c r="E284" s="11">
        <v>1.2190824390358022</v>
      </c>
      <c r="F284" s="11">
        <f t="shared" ref="F284" si="192">SUM(D284:E284)</f>
        <v>-4.0776113637882947</v>
      </c>
      <c r="G284" s="200">
        <f t="shared" si="188"/>
        <v>9.9466573999826835E-3</v>
      </c>
    </row>
    <row r="285" spans="1:7" x14ac:dyDescent="0.2">
      <c r="A285" t="str">
        <f t="shared" si="183"/>
        <v>61 Caring personal service occupations</v>
      </c>
      <c r="B285" s="11">
        <v>2.6325383300457976</v>
      </c>
      <c r="C285" s="11">
        <v>1.4999947882299833</v>
      </c>
      <c r="D285" s="11">
        <f>C285-B285</f>
        <v>-1.1325435418158143</v>
      </c>
      <c r="E285" s="11">
        <v>0.58509821111153082</v>
      </c>
      <c r="F285" s="11">
        <f>SUM(D285:E285)</f>
        <v>-0.54744533070428347</v>
      </c>
      <c r="G285" s="200">
        <f t="shared" si="188"/>
        <v>1.3469816239216614E-2</v>
      </c>
    </row>
    <row r="286" spans="1:7" x14ac:dyDescent="0.2">
      <c r="A286" t="str">
        <f t="shared" si="183"/>
        <v>62 Leisure, travel and related personal service occupations</v>
      </c>
      <c r="B286" s="11">
        <v>4.8608128399564867</v>
      </c>
      <c r="C286" s="11">
        <v>2.2830623898269979</v>
      </c>
      <c r="D286" s="11">
        <f t="shared" ref="D286:D292" si="193">C286-B286</f>
        <v>-2.5777504501294888</v>
      </c>
      <c r="E286" s="11">
        <v>1.059764567952505</v>
      </c>
      <c r="F286" s="11">
        <f t="shared" ref="F286:F287" si="194">SUM(D286:E286)</f>
        <v>-1.5179858821769838</v>
      </c>
      <c r="G286" s="200">
        <f t="shared" si="188"/>
        <v>1.3235375964060436E-2</v>
      </c>
    </row>
    <row r="287" spans="1:7" x14ac:dyDescent="0.2">
      <c r="A287" t="str">
        <f t="shared" si="183"/>
        <v>63 Community and civil enforcement occupations</v>
      </c>
      <c r="B287" s="11">
        <v>0.27037957385921751</v>
      </c>
      <c r="C287" s="11">
        <v>5.5784946243620182E-2</v>
      </c>
      <c r="D287" s="11">
        <f t="shared" si="193"/>
        <v>-0.21459462761559733</v>
      </c>
      <c r="E287" s="11">
        <v>2.8031396322544058E-2</v>
      </c>
      <c r="F287" s="11">
        <f t="shared" si="194"/>
        <v>-0.18656323129305327</v>
      </c>
      <c r="G287" s="200">
        <f t="shared" si="188"/>
        <v>6.5979934953332986E-3</v>
      </c>
    </row>
    <row r="288" spans="1:7" x14ac:dyDescent="0.2">
      <c r="A288" t="str">
        <f t="shared" si="183"/>
        <v>71 Sales occupations</v>
      </c>
      <c r="B288" s="11">
        <v>12.959013437888547</v>
      </c>
      <c r="C288" s="11">
        <v>2.1421171549702178</v>
      </c>
      <c r="D288" s="11">
        <f t="shared" si="193"/>
        <v>-10.816896282918329</v>
      </c>
      <c r="E288" s="11">
        <v>1.5535987754097407</v>
      </c>
      <c r="F288" s="11">
        <f t="shared" ref="F288:F289" si="195">SUM(D288:E288)</f>
        <v>-9.2632975075085877</v>
      </c>
      <c r="G288" s="200">
        <f t="shared" si="188"/>
        <v>7.5769955673188338E-3</v>
      </c>
    </row>
    <row r="289" spans="1:7" x14ac:dyDescent="0.2">
      <c r="A289" t="str">
        <f t="shared" si="183"/>
        <v>72 Customer service occupations</v>
      </c>
      <c r="B289" s="11">
        <v>2.436973668114355</v>
      </c>
      <c r="C289" s="11">
        <v>3.0182487453267259</v>
      </c>
      <c r="D289" s="11">
        <f t="shared" si="193"/>
        <v>0.58127507721237093</v>
      </c>
      <c r="E289" s="11">
        <v>0.98194795359555653</v>
      </c>
      <c r="F289" s="11">
        <f t="shared" si="195"/>
        <v>1.5632230308079276</v>
      </c>
      <c r="G289" s="200">
        <f t="shared" si="188"/>
        <v>2.2827871679469203E-2</v>
      </c>
    </row>
    <row r="290" spans="1:7" x14ac:dyDescent="0.2">
      <c r="A290" t="str">
        <f t="shared" si="183"/>
        <v>81 Process, plant and machine operatives</v>
      </c>
      <c r="B290" s="11">
        <v>2.5377321950849856</v>
      </c>
      <c r="C290" s="11">
        <v>1.0190925224853571</v>
      </c>
      <c r="D290" s="11">
        <f t="shared" si="193"/>
        <v>-1.5186396725996285</v>
      </c>
      <c r="E290" s="11">
        <v>0.45863858762870235</v>
      </c>
      <c r="F290" s="11">
        <f t="shared" ref="F290:F291" si="196">SUM(D290:E290)</f>
        <v>-1.060001084970926</v>
      </c>
      <c r="G290" s="200">
        <f t="shared" si="188"/>
        <v>1.1136957383803381E-2</v>
      </c>
    </row>
    <row r="291" spans="1:7" x14ac:dyDescent="0.2">
      <c r="A291" t="str">
        <f t="shared" si="183"/>
        <v>82 Transport and mobile machine drivers and operatives</v>
      </c>
      <c r="B291" s="11">
        <v>15.632831842515856</v>
      </c>
      <c r="C291" s="11">
        <v>5.3658514101026364</v>
      </c>
      <c r="D291" s="11">
        <f t="shared" si="193"/>
        <v>-10.26698043241322</v>
      </c>
      <c r="E291" s="11">
        <v>4.0486672816403795</v>
      </c>
      <c r="F291" s="11">
        <f t="shared" si="196"/>
        <v>-6.2183131507728406</v>
      </c>
      <c r="G291" s="200">
        <f t="shared" si="188"/>
        <v>1.5472190926182794E-2</v>
      </c>
    </row>
    <row r="292" spans="1:7" x14ac:dyDescent="0.2">
      <c r="A292" t="str">
        <f t="shared" si="183"/>
        <v>91 Elementary trades and related occupations</v>
      </c>
      <c r="B292" s="11">
        <v>4.8753065093678423</v>
      </c>
      <c r="C292" s="11">
        <v>2.4197237079451819</v>
      </c>
      <c r="D292" s="11">
        <f t="shared" si="193"/>
        <v>-2.4555828014226604</v>
      </c>
      <c r="E292" s="11">
        <v>0.93887671744762713</v>
      </c>
      <c r="F292" s="11">
        <f t="shared" ref="F292" si="197">SUM(D292:E292)</f>
        <v>-1.5167060839750333</v>
      </c>
      <c r="G292" s="200">
        <f t="shared" si="188"/>
        <v>1.1810353942338647E-2</v>
      </c>
    </row>
    <row r="293" spans="1:7" x14ac:dyDescent="0.2">
      <c r="A293" t="str">
        <f t="shared" si="183"/>
        <v>92 Elementary administration and service occupations</v>
      </c>
      <c r="B293" s="11">
        <v>37.183847576329455</v>
      </c>
      <c r="C293" s="11">
        <v>9.9545297856199699</v>
      </c>
      <c r="D293" s="11">
        <f t="shared" ref="D293" si="198">C293-B293</f>
        <v>-27.229317790709487</v>
      </c>
      <c r="E293" s="11">
        <v>5.5499866305175551</v>
      </c>
      <c r="F293" s="11">
        <f t="shared" ref="F293" si="199">SUM(D293:E293)</f>
        <v>-21.679331160191932</v>
      </c>
      <c r="G293" s="200">
        <f>IF(B293&gt;0,(1+(E293/B293))^(1/($C$6-$B$6))-1,0)</f>
        <v>9.317575139081713E-3</v>
      </c>
    </row>
    <row r="294" spans="1:7" x14ac:dyDescent="0.2">
      <c r="A294" s="23" t="str">
        <f t="shared" si="183"/>
        <v>All occupations</v>
      </c>
      <c r="B294" s="33">
        <f>SUM(B268:B293)</f>
        <v>145.27273190072961</v>
      </c>
      <c r="C294" s="33">
        <f>SUM(C268:C293)</f>
        <v>60.871246055901508</v>
      </c>
      <c r="D294" s="33">
        <f>SUM(D268:D293)</f>
        <v>-84.401485844828088</v>
      </c>
      <c r="E294" s="33">
        <f>SUM(E268:E293)</f>
        <v>30.195653722754948</v>
      </c>
      <c r="F294" s="33">
        <f>SUM(F268:F293)</f>
        <v>-54.205832122073147</v>
      </c>
      <c r="G294" s="234">
        <f>IF(B294&gt;0,(1+(E294/B294))^(1/($C$6-$B$6))-1,0)</f>
        <v>1.2669317818925441E-2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78" orientation="portrait" r:id="rId1"/>
  <headerFooter alignWithMargins="0"/>
  <rowBreaks count="6" manualBreakCount="6">
    <brk id="44" min="23" max="29" man="1"/>
    <brk id="61" min="8" max="13" man="1"/>
    <brk id="62" max="6" man="1"/>
    <brk id="120" max="6" man="1"/>
    <brk id="178" max="6" man="1"/>
    <brk id="236" max="6" man="1"/>
  </rowBreaks>
  <colBreaks count="1" manualBreakCount="1">
    <brk id="8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0"/>
    <col min="15" max="15" width="44.140625" customWidth="1"/>
    <col min="16" max="17" width="16.85546875" customWidth="1"/>
  </cols>
  <sheetData>
    <row r="1" spans="1:17" ht="15.75" x14ac:dyDescent="0.25">
      <c r="A1" s="79" t="str">
        <f>CONCATENATE("Replacement Demand Figure 1  Replacement Demand by Occupation Group (SOC 2020), ",P4,", ",Info!B5)</f>
        <v>Replacement Demand Figure 1  Replacement Demand by Occupation Group (SOC 2020), 2020-2035, London</v>
      </c>
    </row>
    <row r="2" spans="1:17" x14ac:dyDescent="0.2">
      <c r="A2" s="362" t="s">
        <v>538</v>
      </c>
    </row>
    <row r="3" spans="1:17" x14ac:dyDescent="0.2">
      <c r="O3" s="45" t="s">
        <v>426</v>
      </c>
    </row>
    <row r="4" spans="1:17" x14ac:dyDescent="0.2">
      <c r="P4" s="15" t="str">
        <f>'Occ T1'!H4</f>
        <v>2020-2035</v>
      </c>
    </row>
    <row r="5" spans="1:17" x14ac:dyDescent="0.2">
      <c r="P5" s="15" t="str">
        <f>CONCATENATE('Occ T1'!H5," ",'Occ T1'!H6)</f>
        <v>Net Change</v>
      </c>
      <c r="Q5" s="15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3.2205922941874405</v>
      </c>
      <c r="Q7" s="11">
        <f>'Occ T1'!J16</f>
        <v>269.18695783296761</v>
      </c>
    </row>
    <row r="8" spans="1:17" x14ac:dyDescent="0.2">
      <c r="O8" t="str">
        <f>name!E11</f>
        <v>Process, plant and machine operatives</v>
      </c>
      <c r="P8" s="11">
        <f>'Occ T1'!H15</f>
        <v>28.220919863917288</v>
      </c>
      <c r="Q8" s="11">
        <f>'Occ T1'!J15</f>
        <v>151.57012570937644</v>
      </c>
    </row>
    <row r="9" spans="1:17" x14ac:dyDescent="0.2">
      <c r="O9" t="str">
        <f>name!E10</f>
        <v>Sales and customer service occupations</v>
      </c>
      <c r="P9" s="11">
        <f>'Occ T1'!H14</f>
        <v>-0.59280896810463446</v>
      </c>
      <c r="Q9" s="11">
        <f>'Occ T1'!J14</f>
        <v>164.47410104790319</v>
      </c>
    </row>
    <row r="10" spans="1:17" x14ac:dyDescent="0.2">
      <c r="O10" t="str">
        <f>name!E9</f>
        <v>Caring, leisure and other service occupations</v>
      </c>
      <c r="P10" s="11">
        <f>'Occ T1'!H13</f>
        <v>50.053900905329442</v>
      </c>
      <c r="Q10" s="11">
        <f>'Occ T1'!J13</f>
        <v>258.85361091833619</v>
      </c>
    </row>
    <row r="11" spans="1:17" x14ac:dyDescent="0.2">
      <c r="O11" t="str">
        <f>name!E8</f>
        <v>Skilled trades occupations</v>
      </c>
      <c r="P11" s="11">
        <f>'Occ T1'!H12</f>
        <v>46.761527738080076</v>
      </c>
      <c r="Q11" s="11">
        <f>'Occ T1'!J12</f>
        <v>218.33539267489004</v>
      </c>
    </row>
    <row r="12" spans="1:17" x14ac:dyDescent="0.2">
      <c r="O12" t="str">
        <f>name!E7</f>
        <v>Administrative and secretarial occupations</v>
      </c>
      <c r="P12" s="11">
        <f>'Occ T1'!H11</f>
        <v>-78.205832388018848</v>
      </c>
      <c r="Q12" s="11">
        <f>'Occ T1'!J11</f>
        <v>152.03723371657767</v>
      </c>
    </row>
    <row r="13" spans="1:17" x14ac:dyDescent="0.2">
      <c r="O13" t="str">
        <f>name!E6</f>
        <v>Associate professional occupations</v>
      </c>
      <c r="P13" s="11">
        <f>'Occ T1'!H10</f>
        <v>65.39076451066444</v>
      </c>
      <c r="Q13" s="11">
        <f>'Occ T1'!J10</f>
        <v>576.59994229670076</v>
      </c>
    </row>
    <row r="14" spans="1:17" x14ac:dyDescent="0.2">
      <c r="O14" t="str">
        <f>name!E5</f>
        <v>Professional occupations</v>
      </c>
      <c r="P14" s="11">
        <f>'Occ T1'!H9</f>
        <v>328.15140844438588</v>
      </c>
      <c r="Q14" s="11">
        <f>'Occ T1'!J9</f>
        <v>1280.1730657354292</v>
      </c>
    </row>
    <row r="15" spans="1:17" x14ac:dyDescent="0.2">
      <c r="O15" t="str">
        <f>name!E4</f>
        <v>Managers, directors and senior officials</v>
      </c>
      <c r="P15" s="11">
        <f>'Occ T1'!H8</f>
        <v>100.35352760169098</v>
      </c>
      <c r="Q15" s="11">
        <f>'Occ T1'!J8</f>
        <v>514.02803229834512</v>
      </c>
    </row>
    <row r="34" spans="1:17" ht="15.75" x14ac:dyDescent="0.25">
      <c r="A34" s="79" t="str">
        <f>CONCATENATE("Replacement Demand Figure 1.1  Replacement Demand by Occupation (SOC 2020), ",P35,", ",Info!B5)</f>
        <v>Replacement Demand Figure 1.1  Replacement Demand by Occupation (SOC 2020), 2020-2035, London</v>
      </c>
      <c r="O34" s="45" t="s">
        <v>426</v>
      </c>
    </row>
    <row r="35" spans="1:17" x14ac:dyDescent="0.2">
      <c r="P35" s="15" t="str">
        <f>'Occ T1'!H4</f>
        <v>2020-2035</v>
      </c>
    </row>
    <row r="36" spans="1:17" x14ac:dyDescent="0.2">
      <c r="P36" s="15" t="str">
        <f>CONCATENATE('Occ T1'!H5," ",'Occ T1'!H6)</f>
        <v>Net Change</v>
      </c>
      <c r="Q36" s="15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16.642273917947023</v>
      </c>
      <c r="Q37" s="11">
        <f>'Occ T2'!J8</f>
        <v>285.30858778138725</v>
      </c>
    </row>
    <row r="38" spans="1:17" x14ac:dyDescent="0.2">
      <c r="O38" s="10" t="str">
        <f>name!D5</f>
        <v>12 Other managers and proprietors</v>
      </c>
      <c r="P38" s="11">
        <f>'Occ T2'!H9</f>
        <v>83.711253683744047</v>
      </c>
      <c r="Q38" s="11">
        <f>'Occ T2'!J9</f>
        <v>228.71944451695799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87.731004275463022</v>
      </c>
      <c r="Q39" s="11">
        <f>'Occ T2'!J10</f>
        <v>273.54559348809687</v>
      </c>
    </row>
    <row r="40" spans="1:17" x14ac:dyDescent="0.2">
      <c r="O40" s="10" t="str">
        <f>name!D7</f>
        <v>22 Health professionals</v>
      </c>
      <c r="P40" s="11">
        <f>'Occ T2'!H11</f>
        <v>24.768766466038869</v>
      </c>
      <c r="Q40" s="11">
        <f>'Occ T2'!J11</f>
        <v>186.64951426813084</v>
      </c>
    </row>
    <row r="41" spans="1:17" x14ac:dyDescent="0.2">
      <c r="O41" s="10" t="str">
        <f>name!D8</f>
        <v>23 Teaching and other educational professionals</v>
      </c>
      <c r="P41" s="11">
        <f>'Occ T2'!H12</f>
        <v>34.659957418558406</v>
      </c>
      <c r="Q41" s="11">
        <f>'Occ T2'!J12</f>
        <v>232.9858197848082</v>
      </c>
    </row>
    <row r="42" spans="1:17" x14ac:dyDescent="0.2">
      <c r="O42" s="10" t="str">
        <f>name!D9</f>
        <v>24 Business, media and public service professionals</v>
      </c>
      <c r="P42" s="11">
        <f>'Occ T2'!H13</f>
        <v>180.99168028432575</v>
      </c>
      <c r="Q42" s="11">
        <f>'Occ T2'!J13</f>
        <v>586.99213819439342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-1.7176329840366975</v>
      </c>
      <c r="Q43" s="11">
        <f>'Occ T2'!J14</f>
        <v>40.529678593080021</v>
      </c>
    </row>
    <row r="44" spans="1:17" x14ac:dyDescent="0.2">
      <c r="O44" s="10" t="str">
        <f>name!D11</f>
        <v>32 Health and social care associate professionals</v>
      </c>
      <c r="P44" s="11">
        <f>'Occ T2'!H15</f>
        <v>3.3630844646808526</v>
      </c>
      <c r="Q44" s="11">
        <f>'Occ T2'!J15</f>
        <v>65.705459686804431</v>
      </c>
    </row>
    <row r="45" spans="1:17" x14ac:dyDescent="0.2">
      <c r="O45" s="10" t="str">
        <f>name!D12</f>
        <v>33 Protective service occupations</v>
      </c>
      <c r="P45" s="11">
        <f>'Occ T2'!H16</f>
        <v>25.799277619357383</v>
      </c>
      <c r="Q45" s="11">
        <f>'Occ T2'!J16</f>
        <v>58.067507617761173</v>
      </c>
    </row>
    <row r="46" spans="1:17" x14ac:dyDescent="0.2">
      <c r="O46" s="10" t="str">
        <f>name!D13</f>
        <v>34 Culture, media and sports occupations</v>
      </c>
      <c r="P46" s="11">
        <f>'Occ T2'!H17</f>
        <v>34.094880115172089</v>
      </c>
      <c r="Q46" s="11">
        <f>'Occ T2'!J17</f>
        <v>155.90537814508255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3.8511552954906847</v>
      </c>
      <c r="Q47" s="11">
        <f>'Occ T2'!J18</f>
        <v>256.39191825397245</v>
      </c>
    </row>
    <row r="48" spans="1:17" x14ac:dyDescent="0.2">
      <c r="O48" s="10" t="str">
        <f>name!D15</f>
        <v>41 Administrative occupations</v>
      </c>
      <c r="P48" s="11">
        <f>'Occ T2'!H19</f>
        <v>-68.015637264586644</v>
      </c>
      <c r="Q48" s="11">
        <f>'Occ T2'!J19</f>
        <v>114.76573786186597</v>
      </c>
    </row>
    <row r="49" spans="15:17" x14ac:dyDescent="0.2">
      <c r="O49" s="10" t="str">
        <f>name!D16</f>
        <v>42 Secretarial and related occupations</v>
      </c>
      <c r="P49" s="11">
        <f>'Occ T2'!H20</f>
        <v>-10.190195123432233</v>
      </c>
      <c r="Q49" s="11">
        <f>'Occ T2'!J20</f>
        <v>37.271495854711674</v>
      </c>
    </row>
    <row r="50" spans="15:17" x14ac:dyDescent="0.2">
      <c r="O50" s="10" t="str">
        <f>name!D17</f>
        <v>51 Skilled agricultural and related trades</v>
      </c>
      <c r="P50" s="11">
        <f>'Occ T2'!H21</f>
        <v>7.2502245720960268</v>
      </c>
      <c r="Q50" s="11">
        <f>'Occ T2'!J21</f>
        <v>26.007095725949167</v>
      </c>
    </row>
    <row r="51" spans="15:17" x14ac:dyDescent="0.2">
      <c r="O51" s="10" t="str">
        <f>name!D18</f>
        <v>52 Skilled metal, electrical and electronic trades</v>
      </c>
      <c r="P51" s="11">
        <f>'Occ T2'!H22</f>
        <v>0.79225371216502083</v>
      </c>
      <c r="Q51" s="11">
        <f>'Occ T2'!J22</f>
        <v>46.120242148720102</v>
      </c>
    </row>
    <row r="52" spans="15:17" x14ac:dyDescent="0.2">
      <c r="O52" s="10" t="str">
        <f>name!D19</f>
        <v>53 Skilled construction and building trades</v>
      </c>
      <c r="P52" s="11">
        <f>'Occ T2'!H23</f>
        <v>25.214282216333601</v>
      </c>
      <c r="Q52" s="11">
        <f>'Occ T2'!J23</f>
        <v>81.541938875991391</v>
      </c>
    </row>
    <row r="53" spans="15:17" x14ac:dyDescent="0.2">
      <c r="O53" s="10" t="str">
        <f>name!D20</f>
        <v>54 Textiles, printing and other skilled trades</v>
      </c>
      <c r="P53" s="11">
        <f>'Occ T2'!H24</f>
        <v>13.504767237485424</v>
      </c>
      <c r="Q53" s="11">
        <f>'Occ T2'!J24</f>
        <v>64.666115924229388</v>
      </c>
    </row>
    <row r="54" spans="15:17" x14ac:dyDescent="0.2">
      <c r="O54" s="10" t="str">
        <f>name!D21</f>
        <v>61 Caring personal service occupations</v>
      </c>
      <c r="P54" s="11">
        <f>'Occ T2'!H25</f>
        <v>36.515259559435719</v>
      </c>
      <c r="Q54" s="11">
        <f>'Occ T2'!J25</f>
        <v>186.61896777777221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14.287823757126247</v>
      </c>
      <c r="Q55" s="11">
        <f>'Occ T2'!J26</f>
        <v>69.899921368657431</v>
      </c>
    </row>
    <row r="56" spans="15:17" x14ac:dyDescent="0.2">
      <c r="O56" s="10" t="str">
        <f>name!D23</f>
        <v>63 Community and civil enforcement occupations</v>
      </c>
      <c r="P56" s="11">
        <f>'Occ T2'!H27</f>
        <v>-0.74918241123257179</v>
      </c>
      <c r="Q56" s="11">
        <f>'Occ T2'!J27</f>
        <v>2.3347217719064739</v>
      </c>
    </row>
    <row r="57" spans="15:17" x14ac:dyDescent="0.2">
      <c r="O57" s="10" t="str">
        <f>name!D24</f>
        <v>71 Sales occupations</v>
      </c>
      <c r="P57" s="11">
        <f>'Occ T2'!H28</f>
        <v>-33.424625420297446</v>
      </c>
      <c r="Q57" s="11">
        <f>'Occ T2'!J28</f>
        <v>81.546688126592358</v>
      </c>
    </row>
    <row r="58" spans="15:17" x14ac:dyDescent="0.2">
      <c r="O58" s="10" t="str">
        <f>name!D25</f>
        <v>72 Customer service occupations</v>
      </c>
      <c r="P58" s="11">
        <f>'Occ T2'!H29</f>
        <v>32.831816452192797</v>
      </c>
      <c r="Q58" s="11">
        <f>'Occ T2'!J29</f>
        <v>82.927412921310818</v>
      </c>
    </row>
    <row r="59" spans="15:17" x14ac:dyDescent="0.2">
      <c r="O59" s="10" t="str">
        <f>name!D26</f>
        <v>81 Process, plant and machine operatives</v>
      </c>
      <c r="P59" s="11">
        <f>'Occ T2'!H30</f>
        <v>9.8930954599275189</v>
      </c>
      <c r="Q59" s="11">
        <f>'Occ T2'!J30</f>
        <v>25.750423851526289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18.32782440398978</v>
      </c>
      <c r="Q60" s="11">
        <f>'Occ T2'!J31</f>
        <v>125.81970185785016</v>
      </c>
    </row>
    <row r="61" spans="15:17" x14ac:dyDescent="0.2">
      <c r="O61" s="10" t="str">
        <f>name!D28</f>
        <v>91 Elementary trades and related occupations</v>
      </c>
      <c r="P61" s="11">
        <f>'Occ T2'!H32</f>
        <v>-8.5936962311807612</v>
      </c>
      <c r="Q61" s="11">
        <f>'Occ T2'!J32</f>
        <v>2.8312302773545337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11.814288525368227</v>
      </c>
      <c r="Q62" s="11">
        <f>'Occ T2'!J33</f>
        <v>266.35572755561304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543.35400000213122</v>
      </c>
      <c r="Q64" s="11">
        <f>'Occ T2'!J35</f>
        <v>3585.2584622305267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" width="7.140625" style="13" bestFit="1" customWidth="1"/>
    <col min="5" max="5" width="5.7109375" style="13" customWidth="1"/>
    <col min="6" max="8" width="5.7109375" style="13" bestFit="1" customWidth="1"/>
    <col min="9" max="9" width="5.7109375" style="13" customWidth="1"/>
    <col min="10" max="12" width="7.140625" style="13" bestFit="1" customWidth="1"/>
    <col min="13" max="13" width="5.7109375" style="13" customWidth="1"/>
    <col min="14" max="16" width="7.140625" style="13" bestFit="1" customWidth="1"/>
    <col min="17" max="17" width="5.85546875" style="13" customWidth="1"/>
    <col min="18" max="20" width="5.7109375" style="13" bestFit="1" customWidth="1"/>
    <col min="21" max="21" width="5.7109375" style="13" customWidth="1"/>
    <col min="22" max="24" width="5.7109375" style="13" bestFit="1" customWidth="1"/>
    <col min="25" max="25" width="5.7109375" style="13" customWidth="1"/>
    <col min="26" max="28" width="5.7109375" style="13" bestFit="1" customWidth="1"/>
    <col min="29" max="29" width="5.7109375" style="13" customWidth="1"/>
    <col min="30" max="32" width="5.7109375" style="13" bestFit="1" customWidth="1"/>
    <col min="33" max="33" width="5.7109375" style="13" customWidth="1"/>
    <col min="34" max="36" width="5.7109375" style="13" bestFit="1" customWidth="1"/>
    <col min="37" max="37" width="5.7109375" style="13" customWidth="1"/>
    <col min="38" max="39" width="5.7109375" style="13" bestFit="1" customWidth="1"/>
    <col min="40" max="40" width="4.7109375" style="13" bestFit="1" customWidth="1"/>
    <col min="41" max="16384" width="9.140625" style="13"/>
  </cols>
  <sheetData>
    <row r="1" spans="1:40" ht="15.75" x14ac:dyDescent="0.25">
      <c r="A1" s="18" t="str">
        <f>CONCATENATE("Basic Table 1  Employment by Industry Sector, Occupation Group and Qualification, ",B$5,"-",D$5,", ",Info!B5)</f>
        <v>Basic Table 1  Employment by Industry Sector, Occupation Group and Qualification, 2020-2035, London</v>
      </c>
    </row>
    <row r="2" spans="1:40" ht="12.75" customHeight="1" x14ac:dyDescent="0.2">
      <c r="A2" s="181" t="s">
        <v>542</v>
      </c>
    </row>
    <row r="3" spans="1:40" ht="12.75" customHeight="1" x14ac:dyDescent="0.25">
      <c r="A3" s="18"/>
      <c r="AN3" s="37" t="s">
        <v>35</v>
      </c>
    </row>
    <row r="4" spans="1:40" ht="24.75" customHeight="1" x14ac:dyDescent="0.2">
      <c r="A4" s="77"/>
      <c r="B4" s="379" t="str">
        <f>name!F3</f>
        <v>All qualifications</v>
      </c>
      <c r="C4" s="379"/>
      <c r="D4" s="379"/>
      <c r="E4" s="77"/>
      <c r="F4" s="380" t="str">
        <f>name!F4</f>
        <v>RQF8 Doctorate</v>
      </c>
      <c r="G4" s="380"/>
      <c r="H4" s="380"/>
      <c r="I4" s="77"/>
      <c r="J4" s="380" t="str">
        <f>name!F5</f>
        <v>RQF7 Other higher degree</v>
      </c>
      <c r="K4" s="380"/>
      <c r="L4" s="380"/>
      <c r="M4" s="77"/>
      <c r="N4" s="380" t="str">
        <f>name!F6</f>
        <v>RQF6 First degree</v>
      </c>
      <c r="O4" s="380"/>
      <c r="P4" s="380"/>
      <c r="Q4" s="77"/>
      <c r="R4" s="380" t="str">
        <f>name!F7</f>
        <v>RQF5 Foundation degree;Nursing;Teaching</v>
      </c>
      <c r="S4" s="380"/>
      <c r="T4" s="380"/>
      <c r="U4" s="77"/>
      <c r="V4" s="380" t="str">
        <f>name!F8</f>
        <v>RQF4 HE below degree level</v>
      </c>
      <c r="W4" s="380"/>
      <c r="X4" s="380"/>
      <c r="Y4" s="77"/>
      <c r="Z4" s="380" t="str">
        <f>name!F9</f>
        <v>RQF3 A level &amp; equivalent</v>
      </c>
      <c r="AA4" s="380"/>
      <c r="AB4" s="380"/>
      <c r="AC4" s="77"/>
      <c r="AD4" s="380" t="str">
        <f>name!F10</f>
        <v>RQF2 GCSE(A-C) &amp; equivalent</v>
      </c>
      <c r="AE4" s="380"/>
      <c r="AF4" s="380"/>
      <c r="AG4" s="77"/>
      <c r="AH4" s="380" t="str">
        <f>name!F11</f>
        <v>RQF1 GCSE(below grade C) &amp; equivalent</v>
      </c>
      <c r="AI4" s="380"/>
      <c r="AJ4" s="380"/>
      <c r="AK4" s="77"/>
      <c r="AL4" s="380" t="str">
        <f>name!F12</f>
        <v>No Qualification</v>
      </c>
      <c r="AM4" s="380"/>
      <c r="AN4" s="380"/>
    </row>
    <row r="5" spans="1:40" x14ac:dyDescent="0.2">
      <c r="A5" s="38"/>
      <c r="B5" s="41">
        <v>2020</v>
      </c>
      <c r="C5" s="41">
        <v>2025</v>
      </c>
      <c r="D5" s="41">
        <v>2035</v>
      </c>
      <c r="E5" s="38"/>
      <c r="F5" s="34">
        <f>B5</f>
        <v>2020</v>
      </c>
      <c r="G5" s="34">
        <f>C5</f>
        <v>2025</v>
      </c>
      <c r="H5" s="34">
        <f>D5</f>
        <v>2035</v>
      </c>
      <c r="I5" s="38"/>
      <c r="J5" s="34">
        <f>B5</f>
        <v>2020</v>
      </c>
      <c r="K5" s="34">
        <f>C5</f>
        <v>2025</v>
      </c>
      <c r="L5" s="34">
        <f>D5</f>
        <v>2035</v>
      </c>
      <c r="M5" s="38"/>
      <c r="N5" s="34">
        <f>B5</f>
        <v>2020</v>
      </c>
      <c r="O5" s="34">
        <f>C5</f>
        <v>2025</v>
      </c>
      <c r="P5" s="34">
        <f>D5</f>
        <v>2035</v>
      </c>
      <c r="Q5" s="38"/>
      <c r="R5" s="34">
        <f>F5</f>
        <v>2020</v>
      </c>
      <c r="S5" s="34">
        <f>G5</f>
        <v>2025</v>
      </c>
      <c r="T5" s="34">
        <f>H5</f>
        <v>2035</v>
      </c>
      <c r="U5" s="38"/>
      <c r="V5" s="34">
        <f>J5</f>
        <v>2020</v>
      </c>
      <c r="W5" s="34">
        <f>K5</f>
        <v>2025</v>
      </c>
      <c r="X5" s="34">
        <f>L5</f>
        <v>2035</v>
      </c>
      <c r="Y5" s="38"/>
      <c r="Z5" s="34">
        <f>N5</f>
        <v>2020</v>
      </c>
      <c r="AA5" s="34">
        <f>O5</f>
        <v>2025</v>
      </c>
      <c r="AB5" s="34">
        <f>P5</f>
        <v>2035</v>
      </c>
      <c r="AC5" s="38"/>
      <c r="AD5" s="34">
        <f>R5</f>
        <v>2020</v>
      </c>
      <c r="AE5" s="34">
        <f>S5</f>
        <v>2025</v>
      </c>
      <c r="AF5" s="34">
        <f>T5</f>
        <v>2035</v>
      </c>
      <c r="AG5" s="38"/>
      <c r="AH5" s="34">
        <f>V5</f>
        <v>2020</v>
      </c>
      <c r="AI5" s="34">
        <f>W5</f>
        <v>2025</v>
      </c>
      <c r="AJ5" s="34">
        <f>X5</f>
        <v>2035</v>
      </c>
      <c r="AK5" s="38"/>
      <c r="AL5" s="34">
        <f>Z5</f>
        <v>2020</v>
      </c>
      <c r="AM5" s="34">
        <f>AA5</f>
        <v>2025</v>
      </c>
      <c r="AN5" s="34">
        <f>AB5</f>
        <v>2035</v>
      </c>
    </row>
    <row r="7" spans="1:40" x14ac:dyDescent="0.2">
      <c r="A7" s="1" t="str">
        <f>name!C3</f>
        <v>All industries</v>
      </c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R7" s="76"/>
      <c r="S7" s="76"/>
      <c r="T7" s="76"/>
      <c r="V7" s="76"/>
      <c r="W7" s="76"/>
      <c r="X7" s="76"/>
      <c r="Z7" s="76"/>
      <c r="AA7" s="76"/>
      <c r="AB7" s="76"/>
      <c r="AD7" s="76"/>
      <c r="AE7" s="76"/>
      <c r="AF7" s="76"/>
      <c r="AH7" s="76"/>
      <c r="AI7" s="76"/>
      <c r="AJ7" s="76"/>
      <c r="AL7" s="76"/>
      <c r="AM7" s="76"/>
      <c r="AN7" s="76"/>
    </row>
    <row r="8" spans="1:40" x14ac:dyDescent="0.2">
      <c r="A8" s="13" t="str">
        <f>name!E3</f>
        <v>All occupations</v>
      </c>
      <c r="B8" s="305">
        <f>SUM(B9:B17)</f>
        <v>5937.3810000053318</v>
      </c>
      <c r="C8" s="305">
        <f>SUM(C9:C17)</f>
        <v>6179.2980000107009</v>
      </c>
      <c r="D8" s="305">
        <f>SUM(D9:D17)</f>
        <v>6480.7350000074612</v>
      </c>
      <c r="E8" s="304"/>
      <c r="F8" s="305">
        <f>SUM(F9:F17)</f>
        <v>161.65072151993158</v>
      </c>
      <c r="G8" s="305">
        <f>SUM(G9:G17)</f>
        <v>220.43123967367549</v>
      </c>
      <c r="H8" s="305">
        <f>SUM(H9:H17)</f>
        <v>331.30684385995266</v>
      </c>
      <c r="I8" s="304"/>
      <c r="J8" s="305">
        <f>SUM(J9:J17)</f>
        <v>1286.8258493021124</v>
      </c>
      <c r="K8" s="305">
        <f>SUM(K9:K17)</f>
        <v>1743.2941601736093</v>
      </c>
      <c r="L8" s="305">
        <f>SUM(L9:L17)</f>
        <v>2634.5906837165371</v>
      </c>
      <c r="M8" s="304"/>
      <c r="N8" s="305">
        <f>SUM(N9:N17)</f>
        <v>1631.9926000135549</v>
      </c>
      <c r="O8" s="305">
        <f>SUM(O9:O17)</f>
        <v>1592.6488249222448</v>
      </c>
      <c r="P8" s="305">
        <f>SUM(P9:P17)</f>
        <v>1477.546226951029</v>
      </c>
      <c r="Q8" s="306"/>
      <c r="R8" s="305">
        <f>SUM(R9:R17)</f>
        <v>382.35442465949791</v>
      </c>
      <c r="S8" s="305">
        <f>SUM(S9:S17)</f>
        <v>361.14111819799552</v>
      </c>
      <c r="T8" s="305">
        <f>SUM(T9:T17)</f>
        <v>354.71033219107585</v>
      </c>
      <c r="U8" s="306"/>
      <c r="V8" s="305">
        <f>SUM(V9:V17)</f>
        <v>392.2444178209484</v>
      </c>
      <c r="W8" s="305">
        <f>SUM(W9:W17)</f>
        <v>384.71534320950991</v>
      </c>
      <c r="X8" s="305">
        <f>SUM(X9:X17)</f>
        <v>384.76558566144189</v>
      </c>
      <c r="Y8" s="306"/>
      <c r="Z8" s="305">
        <f>SUM(Z9:Z17)</f>
        <v>758.16476382285578</v>
      </c>
      <c r="AA8" s="305">
        <f>SUM(AA9:AA17)</f>
        <v>675.75964302509726</v>
      </c>
      <c r="AB8" s="305">
        <f>SUM(AB9:AB17)</f>
        <v>526.90691520085545</v>
      </c>
      <c r="AC8" s="306"/>
      <c r="AD8" s="305">
        <f>SUM(AD9:AD17)</f>
        <v>630.12466673858637</v>
      </c>
      <c r="AE8" s="305">
        <f>SUM(AE9:AE17)</f>
        <v>599.72142626944105</v>
      </c>
      <c r="AF8" s="305">
        <f>SUM(AF9:AF17)</f>
        <v>411.05900045374852</v>
      </c>
      <c r="AG8" s="306"/>
      <c r="AH8" s="305">
        <f>SUM(AH9:AH17)</f>
        <v>548.75082422711466</v>
      </c>
      <c r="AI8" s="305">
        <f>SUM(AI9:AI17)</f>
        <v>483.97524488789162</v>
      </c>
      <c r="AJ8" s="305">
        <f>SUM(AJ9:AJ17)</f>
        <v>298.97816591692015</v>
      </c>
      <c r="AK8" s="306"/>
      <c r="AL8" s="305">
        <f>SUM(AL9:AL17)</f>
        <v>145.27273190072964</v>
      </c>
      <c r="AM8" s="305">
        <f>SUM(AM9:AM17)</f>
        <v>117.61099965123555</v>
      </c>
      <c r="AN8" s="305">
        <f>SUM(AN9:AN17)</f>
        <v>60.871246055901516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725.07323238495678</v>
      </c>
      <c r="C9" s="304">
        <f t="shared" ref="B9:D17" si="0">SUM(C21,C33,C51,C63,C75,C93)</f>
        <v>754.09062631299366</v>
      </c>
      <c r="D9" s="304">
        <f t="shared" si="0"/>
        <v>825.4267599866447</v>
      </c>
      <c r="E9" s="304"/>
      <c r="F9" s="304">
        <f t="shared" ref="F9:H17" si="1">SUM(F21,F33,F51,F63,F75,F93)</f>
        <v>19.039531050327071</v>
      </c>
      <c r="G9" s="304">
        <f t="shared" si="1"/>
        <v>27.752832613228584</v>
      </c>
      <c r="H9" s="304">
        <f t="shared" si="1"/>
        <v>46.20636403409636</v>
      </c>
      <c r="I9" s="304"/>
      <c r="J9" s="304">
        <f t="shared" ref="J9:L17" si="2">SUM(J21,J33,J51,J63,J75,J93)</f>
        <v>164.33045569004889</v>
      </c>
      <c r="K9" s="304">
        <f t="shared" si="2"/>
        <v>225.68097907988903</v>
      </c>
      <c r="L9" s="304">
        <f t="shared" si="2"/>
        <v>361.94305015299852</v>
      </c>
      <c r="M9" s="304"/>
      <c r="N9" s="304">
        <f t="shared" ref="N9:P17" si="3">SUM(N21,N33,N51,N63,N75,N93)</f>
        <v>238.67506456302763</v>
      </c>
      <c r="O9" s="304">
        <f t="shared" si="3"/>
        <v>229.9122300317448</v>
      </c>
      <c r="P9" s="304">
        <f t="shared" si="3"/>
        <v>217.49568474878797</v>
      </c>
      <c r="Q9" s="306"/>
      <c r="R9" s="304">
        <f t="shared" ref="R9:T9" si="4">SUM(R21,R33,R51,R63,R75,R93)</f>
        <v>42.115625848022844</v>
      </c>
      <c r="S9" s="304">
        <f t="shared" si="4"/>
        <v>39.652940700730042</v>
      </c>
      <c r="T9" s="304">
        <f t="shared" si="4"/>
        <v>37.864508319459745</v>
      </c>
      <c r="U9" s="306"/>
      <c r="V9" s="304">
        <f t="shared" ref="V9:X9" si="5">SUM(V21,V33,V51,V63,V75,V93)</f>
        <v>63.241607182959555</v>
      </c>
      <c r="W9" s="304">
        <f t="shared" si="5"/>
        <v>59.691812947395263</v>
      </c>
      <c r="X9" s="304">
        <f t="shared" si="5"/>
        <v>55.489340687674989</v>
      </c>
      <c r="Y9" s="306"/>
      <c r="Z9" s="304">
        <f t="shared" ref="Z9:AB9" si="6">SUM(Z21,Z33,Z51,Z63,Z75,Z93)</f>
        <v>78.904181497751054</v>
      </c>
      <c r="AA9" s="304">
        <f t="shared" si="6"/>
        <v>62.662866634016616</v>
      </c>
      <c r="AB9" s="304">
        <f t="shared" si="6"/>
        <v>45.134040080271134</v>
      </c>
      <c r="AC9" s="306"/>
      <c r="AD9" s="304">
        <f>SUM(AD21,AD33,AD51,AD63,AD75,AD93)</f>
        <v>56.688523771729734</v>
      </c>
      <c r="AE9" s="304">
        <f t="shared" ref="AE9:AF9" si="7">SUM(AE21,AE33,AE51,AE63,AE75,AE93)</f>
        <v>50.755058669226798</v>
      </c>
      <c r="AF9" s="304">
        <f t="shared" si="7"/>
        <v>26.586590006350601</v>
      </c>
      <c r="AG9" s="306"/>
      <c r="AH9" s="304">
        <f t="shared" ref="AH9:AJ9" si="8">SUM(AH21,AH33,AH51,AH63,AH75,AH93)</f>
        <v>53.270559924258642</v>
      </c>
      <c r="AI9" s="304">
        <f t="shared" si="8"/>
        <v>49.932338044211782</v>
      </c>
      <c r="AJ9" s="304">
        <f t="shared" si="8"/>
        <v>29.405492909187494</v>
      </c>
      <c r="AK9" s="306"/>
      <c r="AL9" s="304">
        <f t="shared" ref="AL9:AN9" si="9">SUM(AL21,AL33,AL51,AL63,AL75,AL93)</f>
        <v>8.8076828568312564</v>
      </c>
      <c r="AM9" s="304">
        <f t="shared" si="9"/>
        <v>8.0495675925507388</v>
      </c>
      <c r="AN9" s="304">
        <f t="shared" si="9"/>
        <v>5.301689047817959</v>
      </c>
    </row>
    <row r="10" spans="1:40" x14ac:dyDescent="0.2">
      <c r="A10" s="13" t="str">
        <f>name!E5</f>
        <v>Professional occupations</v>
      </c>
      <c r="B10" s="304">
        <f t="shared" si="0"/>
        <v>1814.2132888802107</v>
      </c>
      <c r="C10" s="304">
        <f t="shared" si="0"/>
        <v>1977.1952508240411</v>
      </c>
      <c r="D10" s="304">
        <f t="shared" si="0"/>
        <v>2142.3646973245986</v>
      </c>
      <c r="E10" s="304"/>
      <c r="F10" s="304">
        <f t="shared" si="1"/>
        <v>110.62262760164677</v>
      </c>
      <c r="G10" s="304">
        <f t="shared" si="1"/>
        <v>146.40406137953403</v>
      </c>
      <c r="H10" s="304">
        <f t="shared" si="1"/>
        <v>205.31979820105852</v>
      </c>
      <c r="I10" s="304"/>
      <c r="J10" s="304">
        <f t="shared" si="2"/>
        <v>682.89862208667216</v>
      </c>
      <c r="K10" s="304">
        <f t="shared" si="2"/>
        <v>895.60602943264098</v>
      </c>
      <c r="L10" s="304">
        <f t="shared" si="2"/>
        <v>1229.1172384292684</v>
      </c>
      <c r="M10" s="304"/>
      <c r="N10" s="304">
        <f t="shared" si="3"/>
        <v>625.64274652862412</v>
      </c>
      <c r="O10" s="304">
        <f t="shared" si="3"/>
        <v>585.06331197855206</v>
      </c>
      <c r="P10" s="304">
        <f t="shared" si="3"/>
        <v>461.89037829610436</v>
      </c>
      <c r="Q10" s="306"/>
      <c r="R10" s="304">
        <f t="shared" ref="R10:T10" si="10">SUM(R22,R34,R52,R64,R76,R94)</f>
        <v>80.113506729351442</v>
      </c>
      <c r="S10" s="304">
        <f t="shared" si="10"/>
        <v>62.545150864217774</v>
      </c>
      <c r="T10" s="304">
        <f t="shared" si="10"/>
        <v>46.322477717052045</v>
      </c>
      <c r="U10" s="306"/>
      <c r="V10" s="304">
        <f t="shared" ref="V10:X10" si="11">SUM(V22,V34,V52,V64,V76,V94)</f>
        <v>86.07894302184171</v>
      </c>
      <c r="W10" s="304">
        <f t="shared" si="11"/>
        <v>81.062975551656052</v>
      </c>
      <c r="X10" s="304">
        <f t="shared" si="11"/>
        <v>69.212662389008798</v>
      </c>
      <c r="Y10" s="306"/>
      <c r="Z10" s="304">
        <f t="shared" ref="Z10:AB10" si="12">SUM(Z22,Z34,Z52,Z64,Z76,Z94)</f>
        <v>102.34522608976552</v>
      </c>
      <c r="AA10" s="304">
        <f t="shared" si="12"/>
        <v>89.488015347703609</v>
      </c>
      <c r="AB10" s="304">
        <f t="shared" si="12"/>
        <v>63.635286120897696</v>
      </c>
      <c r="AC10" s="306"/>
      <c r="AD10" s="304">
        <f t="shared" ref="AD10:AF10" si="13">SUM(AD22,AD34,AD52,AD64,AD76,AD94)</f>
        <v>65.810713828414364</v>
      </c>
      <c r="AE10" s="304">
        <f t="shared" si="13"/>
        <v>61.64346913647789</v>
      </c>
      <c r="AF10" s="304">
        <f t="shared" si="13"/>
        <v>37.521315429828157</v>
      </c>
      <c r="AG10" s="306"/>
      <c r="AH10" s="304">
        <f t="shared" ref="AH10:AJ10" si="14">SUM(AH22,AH34,AH52,AH64,AH76,AH94)</f>
        <v>51.409301671770471</v>
      </c>
      <c r="AI10" s="304">
        <f t="shared" si="14"/>
        <v>45.348638554408538</v>
      </c>
      <c r="AJ10" s="304">
        <f t="shared" si="14"/>
        <v>21.901390561442589</v>
      </c>
      <c r="AK10" s="306"/>
      <c r="AL10" s="304">
        <f t="shared" ref="AL10:AN10" si="15">SUM(AL22,AL34,AL52,AL64,AL76,AL94)</f>
        <v>9.2916013221237996</v>
      </c>
      <c r="AM10" s="304">
        <f t="shared" si="15"/>
        <v>10.033598578850057</v>
      </c>
      <c r="AN10" s="304">
        <f t="shared" si="15"/>
        <v>7.4441501799381937</v>
      </c>
    </row>
    <row r="11" spans="1:40" x14ac:dyDescent="0.2">
      <c r="A11" s="13" t="str">
        <f>name!E6</f>
        <v>Associate professional occupations</v>
      </c>
      <c r="B11" s="304">
        <f>SUM(B23,B35,B53,B65,B77,B95)</f>
        <v>1085.477927029003</v>
      </c>
      <c r="C11" s="304">
        <f t="shared" si="0"/>
        <v>1083.2466314386861</v>
      </c>
      <c r="D11" s="304">
        <f>SUM(D23,D35,D53,D65,D77,D95)</f>
        <v>1150.8686915396665</v>
      </c>
      <c r="E11" s="304"/>
      <c r="F11" s="304">
        <f t="shared" si="1"/>
        <v>20.768355444681244</v>
      </c>
      <c r="G11" s="304">
        <f t="shared" si="1"/>
        <v>28.593786200332584</v>
      </c>
      <c r="H11" s="304">
        <f t="shared" si="1"/>
        <v>46.833212320279173</v>
      </c>
      <c r="I11" s="304"/>
      <c r="J11" s="304">
        <f t="shared" si="2"/>
        <v>258.69143813164828</v>
      </c>
      <c r="K11" s="304">
        <f t="shared" si="2"/>
        <v>341.27847466167412</v>
      </c>
      <c r="L11" s="304">
        <f t="shared" si="2"/>
        <v>514.98148243558819</v>
      </c>
      <c r="M11" s="304"/>
      <c r="N11" s="304">
        <f t="shared" si="3"/>
        <v>373.59252672518994</v>
      </c>
      <c r="O11" s="304">
        <f t="shared" si="3"/>
        <v>348.67611101760241</v>
      </c>
      <c r="P11" s="304">
        <f t="shared" si="3"/>
        <v>313.98342761125508</v>
      </c>
      <c r="Q11" s="306"/>
      <c r="R11" s="304">
        <f t="shared" ref="R11:T11" si="16">SUM(R23,R35,R53,R65,R77,R95)</f>
        <v>90.64406897777458</v>
      </c>
      <c r="S11" s="304">
        <f t="shared" si="16"/>
        <v>81.900298601779426</v>
      </c>
      <c r="T11" s="304">
        <f t="shared" si="16"/>
        <v>76.961029343149164</v>
      </c>
      <c r="U11" s="306"/>
      <c r="V11" s="304">
        <f t="shared" ref="V11:X11" si="17">SUM(V23,V35,V53,V65,V77,V95)</f>
        <v>73.074079160677201</v>
      </c>
      <c r="W11" s="304">
        <f t="shared" si="17"/>
        <v>63.621273288170237</v>
      </c>
      <c r="X11" s="304">
        <f t="shared" si="17"/>
        <v>56.253341136562916</v>
      </c>
      <c r="Y11" s="306"/>
      <c r="Z11" s="304">
        <f t="shared" ref="Z11:AB11" si="18">SUM(Z23,Z35,Z53,Z65,Z77,Z95)</f>
        <v>114.55627947875877</v>
      </c>
      <c r="AA11" s="304">
        <f t="shared" si="18"/>
        <v>91.164241890654864</v>
      </c>
      <c r="AB11" s="304">
        <f t="shared" si="18"/>
        <v>65.377830263519854</v>
      </c>
      <c r="AC11" s="306"/>
      <c r="AD11" s="304">
        <f t="shared" ref="AD11:AF11" si="19">SUM(AD23,AD35,AD53,AD65,AD77,AD95)</f>
        <v>80.060469130167007</v>
      </c>
      <c r="AE11" s="304">
        <f t="shared" si="19"/>
        <v>66.603984550978993</v>
      </c>
      <c r="AF11" s="304">
        <f t="shared" si="19"/>
        <v>37.802602984266578</v>
      </c>
      <c r="AG11" s="306"/>
      <c r="AH11" s="304">
        <f t="shared" ref="AH11:AJ11" si="20">SUM(AH23,AH35,AH53,AH65,AH77,AH95)</f>
        <v>62.358287929187668</v>
      </c>
      <c r="AI11" s="304">
        <f t="shared" si="20"/>
        <v>50.792581071275322</v>
      </c>
      <c r="AJ11" s="304">
        <f t="shared" si="20"/>
        <v>29.37695729706536</v>
      </c>
      <c r="AK11" s="306"/>
      <c r="AL11" s="304">
        <f t="shared" ref="AL11:AN11" si="21">SUM(AL23,AL35,AL53,AL65,AL77,AL95)</f>
        <v>11.73242205091826</v>
      </c>
      <c r="AM11" s="304">
        <f t="shared" si="21"/>
        <v>10.615880156218076</v>
      </c>
      <c r="AN11" s="304">
        <f t="shared" si="21"/>
        <v>9.298808147980111</v>
      </c>
    </row>
    <row r="12" spans="1:40" x14ac:dyDescent="0.2">
      <c r="A12" s="13" t="str">
        <f>name!E7</f>
        <v>Administrative and secretarial occupations</v>
      </c>
      <c r="B12" s="304">
        <f t="shared" si="0"/>
        <v>492.3576307502081</v>
      </c>
      <c r="C12" s="304">
        <f t="shared" si="0"/>
        <v>453.85535692930006</v>
      </c>
      <c r="D12" s="304">
        <f t="shared" si="0"/>
        <v>414.15179836218846</v>
      </c>
      <c r="E12" s="304"/>
      <c r="F12" s="304">
        <f t="shared" si="1"/>
        <v>4.6605121639564766</v>
      </c>
      <c r="G12" s="304">
        <f t="shared" si="1"/>
        <v>6.7907081271492862</v>
      </c>
      <c r="H12" s="304">
        <f t="shared" si="1"/>
        <v>12.270736301288965</v>
      </c>
      <c r="I12" s="304"/>
      <c r="J12" s="304">
        <f t="shared" si="2"/>
        <v>60.661880113508161</v>
      </c>
      <c r="K12" s="304">
        <f t="shared" si="2"/>
        <v>84.736383413067315</v>
      </c>
      <c r="L12" s="304">
        <f t="shared" si="2"/>
        <v>134.33810160294556</v>
      </c>
      <c r="M12" s="304"/>
      <c r="N12" s="304">
        <f t="shared" si="3"/>
        <v>130.14531767189067</v>
      </c>
      <c r="O12" s="304">
        <f t="shared" si="3"/>
        <v>132.86520998815212</v>
      </c>
      <c r="P12" s="304">
        <f t="shared" si="3"/>
        <v>132.69943620556256</v>
      </c>
      <c r="Q12" s="306"/>
      <c r="R12" s="304">
        <f t="shared" ref="R12:T12" si="22">SUM(R24,R36,R54,R66,R78,R96)</f>
        <v>43.539439432596609</v>
      </c>
      <c r="S12" s="304">
        <f t="shared" si="22"/>
        <v>43.256660661322243</v>
      </c>
      <c r="T12" s="304">
        <f t="shared" si="22"/>
        <v>41.540282179394268</v>
      </c>
      <c r="U12" s="306"/>
      <c r="V12" s="304">
        <f t="shared" ref="V12:X12" si="23">SUM(V24,V36,V54,V66,V78,V96)</f>
        <v>40.53468027181912</v>
      </c>
      <c r="W12" s="304">
        <f t="shared" si="23"/>
        <v>37.771691396313045</v>
      </c>
      <c r="X12" s="304">
        <f t="shared" si="23"/>
        <v>33.574518088790462</v>
      </c>
      <c r="Y12" s="306"/>
      <c r="Z12" s="304">
        <f t="shared" ref="Z12:AA12" si="24">SUM(Z24,Z36,Z54,Z66,Z78,Z96)</f>
        <v>74.89255174700908</v>
      </c>
      <c r="AA12" s="304">
        <f t="shared" si="24"/>
        <v>61.761053556428074</v>
      </c>
      <c r="AB12" s="304">
        <f>SUM(AB24,AB36,AB54,AB66,AB78,AB96)</f>
        <v>30.086804375990003</v>
      </c>
      <c r="AC12" s="306"/>
      <c r="AD12" s="304">
        <f t="shared" ref="AD12:AE12" si="25">SUM(AD24,AD36,AD54,AD66,AD78,AD96)</f>
        <v>68.673816255514538</v>
      </c>
      <c r="AE12" s="304">
        <f t="shared" si="25"/>
        <v>50.072498981628087</v>
      </c>
      <c r="AF12" s="304">
        <f>SUM(AF24,AF36,AF54,AF66,AF78,AF96)</f>
        <v>18.429589215544819</v>
      </c>
      <c r="AG12" s="306"/>
      <c r="AH12" s="304">
        <f t="shared" ref="AH12:AI12" si="26">SUM(AH24,AH36,AH54,AH66,AH78,AH96)</f>
        <v>57.682192707203129</v>
      </c>
      <c r="AI12" s="304">
        <f t="shared" si="26"/>
        <v>26.794380029528988</v>
      </c>
      <c r="AJ12" s="304">
        <f>SUM(AJ24,AJ36,AJ54,AJ66,AJ78,AJ96)</f>
        <v>5.6135008190692082</v>
      </c>
      <c r="AK12" s="306"/>
      <c r="AL12" s="304">
        <f t="shared" ref="AL12:AM12" si="27">SUM(AL24,AL36,AL54,AL66,AL78,AL96)</f>
        <v>11.56724038671033</v>
      </c>
      <c r="AM12" s="304">
        <f t="shared" si="27"/>
        <v>9.8067707757108806</v>
      </c>
      <c r="AN12" s="304">
        <f>SUM(AN24,AN36,AN54,AN66,AN78,AN96)</f>
        <v>5.5988295736026545</v>
      </c>
    </row>
    <row r="13" spans="1:40" x14ac:dyDescent="0.2">
      <c r="A13" s="13" t="str">
        <f>name!E8</f>
        <v>Skilled trades occupations</v>
      </c>
      <c r="B13" s="304">
        <f t="shared" si="0"/>
        <v>361.80344341909836</v>
      </c>
      <c r="C13" s="304">
        <f t="shared" si="0"/>
        <v>389.33143485034338</v>
      </c>
      <c r="D13" s="304">
        <f t="shared" si="0"/>
        <v>408.56497115717895</v>
      </c>
      <c r="E13" s="304"/>
      <c r="F13" s="304">
        <f t="shared" si="1"/>
        <v>1.3256026793043867</v>
      </c>
      <c r="G13" s="304">
        <f t="shared" si="1"/>
        <v>2.0308357746964263</v>
      </c>
      <c r="H13" s="304">
        <f t="shared" si="1"/>
        <v>3.5902274210779299</v>
      </c>
      <c r="I13" s="304"/>
      <c r="J13" s="304">
        <f t="shared" si="2"/>
        <v>17.884354283188351</v>
      </c>
      <c r="K13" s="304">
        <f t="shared" si="2"/>
        <v>31.082451389788126</v>
      </c>
      <c r="L13" s="304">
        <f t="shared" si="2"/>
        <v>62.651239598177604</v>
      </c>
      <c r="M13" s="304"/>
      <c r="N13" s="304">
        <f t="shared" si="3"/>
        <v>38.696390905581865</v>
      </c>
      <c r="O13" s="304">
        <f t="shared" si="3"/>
        <v>46.896089089537924</v>
      </c>
      <c r="P13" s="304">
        <f t="shared" si="3"/>
        <v>59.375000164070791</v>
      </c>
      <c r="Q13" s="306"/>
      <c r="R13" s="304">
        <f t="shared" ref="R13:T13" si="28">SUM(R25,R37,R55,R67,R79,R97)</f>
        <v>16.773797555047818</v>
      </c>
      <c r="S13" s="304">
        <f t="shared" si="28"/>
        <v>19.059945394204266</v>
      </c>
      <c r="T13" s="304">
        <f t="shared" si="28"/>
        <v>23.614972235974758</v>
      </c>
      <c r="U13" s="306"/>
      <c r="V13" s="304">
        <f t="shared" ref="V13:X13" si="29">SUM(V25,V37,V55,V67,V79,V97)</f>
        <v>30.944809011529227</v>
      </c>
      <c r="W13" s="304">
        <f t="shared" si="29"/>
        <v>36.575466784557214</v>
      </c>
      <c r="X13" s="304">
        <f t="shared" si="29"/>
        <v>46.858703202669084</v>
      </c>
      <c r="Y13" s="306"/>
      <c r="Z13" s="304">
        <f t="shared" ref="Z13:AB13" si="30">SUM(Z25,Z37,Z55,Z67,Z79,Z97)</f>
        <v>101.30251217598452</v>
      </c>
      <c r="AA13" s="304">
        <f t="shared" si="30"/>
        <v>91.795911682916397</v>
      </c>
      <c r="AB13" s="304">
        <f t="shared" si="30"/>
        <v>75.215471334999265</v>
      </c>
      <c r="AC13" s="306"/>
      <c r="AD13" s="304">
        <f t="shared" ref="AD13:AF13" si="31">SUM(AD25,AD37,AD55,AD67,AD79,AD97)</f>
        <v>74.353232676713787</v>
      </c>
      <c r="AE13" s="304">
        <f t="shared" si="31"/>
        <v>78.681012623751784</v>
      </c>
      <c r="AF13" s="304">
        <f t="shared" si="31"/>
        <v>71.530636134294767</v>
      </c>
      <c r="AG13" s="306"/>
      <c r="AH13" s="304">
        <f t="shared" ref="AH13:AJ13" si="32">SUM(AH25,AH37,AH55,AH67,AH79,AH97)</f>
        <v>60.038394820765006</v>
      </c>
      <c r="AI13" s="304">
        <f t="shared" si="32"/>
        <v>66.644303670245989</v>
      </c>
      <c r="AJ13" s="304">
        <f t="shared" si="32"/>
        <v>60.259357410102773</v>
      </c>
      <c r="AK13" s="306"/>
      <c r="AL13" s="304">
        <f t="shared" ref="AL13:AN13" si="33">SUM(AL25,AL37,AL55,AL67,AL79,AL97)</f>
        <v>20.484349310983422</v>
      </c>
      <c r="AM13" s="304">
        <f t="shared" si="33"/>
        <v>16.565418440645331</v>
      </c>
      <c r="AN13" s="304">
        <f t="shared" si="33"/>
        <v>5.469363655811903</v>
      </c>
    </row>
    <row r="14" spans="1:40" x14ac:dyDescent="0.2">
      <c r="A14" s="13" t="str">
        <f>name!E9</f>
        <v>Caring, leisure and other service occupations</v>
      </c>
      <c r="B14" s="304">
        <f t="shared" si="0"/>
        <v>358.39420959597032</v>
      </c>
      <c r="C14" s="304">
        <f t="shared" si="0"/>
        <v>384.84661935634108</v>
      </c>
      <c r="D14" s="304">
        <f t="shared" si="0"/>
        <v>408.44811050129942</v>
      </c>
      <c r="E14" s="304"/>
      <c r="F14" s="304">
        <f t="shared" si="1"/>
        <v>0.83160517535274048</v>
      </c>
      <c r="G14" s="304">
        <f t="shared" si="1"/>
        <v>1.4229851264516231</v>
      </c>
      <c r="H14" s="304">
        <f t="shared" si="1"/>
        <v>2.8060181633408678</v>
      </c>
      <c r="I14" s="304"/>
      <c r="J14" s="304">
        <f t="shared" si="2"/>
        <v>29.62163800691831</v>
      </c>
      <c r="K14" s="304">
        <f t="shared" si="2"/>
        <v>46.497814924328324</v>
      </c>
      <c r="L14" s="304">
        <f t="shared" si="2"/>
        <v>86.859864987433355</v>
      </c>
      <c r="M14" s="304"/>
      <c r="N14" s="304">
        <f t="shared" si="3"/>
        <v>61.381332082216275</v>
      </c>
      <c r="O14" s="304">
        <f t="shared" si="3"/>
        <v>67.194041031403685</v>
      </c>
      <c r="P14" s="304">
        <f t="shared" si="3"/>
        <v>76.357741527601661</v>
      </c>
      <c r="Q14" s="306"/>
      <c r="R14" s="304">
        <f>SUM(R26,R38,R56,R68,R80,R98)</f>
        <v>45.891299122023241</v>
      </c>
      <c r="S14" s="304">
        <f t="shared" ref="S14:T14" si="34">SUM(S26,S38,S56,S68,S80,S98)</f>
        <v>45.586585477174047</v>
      </c>
      <c r="T14" s="304">
        <f t="shared" si="34"/>
        <v>45.720596212862958</v>
      </c>
      <c r="U14" s="306"/>
      <c r="V14" s="304">
        <f t="shared" ref="V14:X14" si="35">SUM(V26,V38,V56,V68,V80,V98)</f>
        <v>33.585220295916265</v>
      </c>
      <c r="W14" s="304">
        <f t="shared" si="35"/>
        <v>35.165459281141509</v>
      </c>
      <c r="X14" s="304">
        <f t="shared" si="35"/>
        <v>40.394966505147309</v>
      </c>
      <c r="Y14" s="306"/>
      <c r="Z14" s="304">
        <f t="shared" ref="Z14:AB14" si="36">SUM(Z26,Z38,Z56,Z68,Z80,Z98)</f>
        <v>90.108031320183471</v>
      </c>
      <c r="AA14" s="304">
        <f t="shared" si="36"/>
        <v>96.078410197075684</v>
      </c>
      <c r="AB14" s="304">
        <f t="shared" si="36"/>
        <v>90.001926248846758</v>
      </c>
      <c r="AC14" s="306"/>
      <c r="AD14" s="304">
        <f t="shared" ref="AD14:AF14" si="37">SUM(AD26,AD38,AD56,AD68,AD80,AD98)</f>
        <v>62.298618413181742</v>
      </c>
      <c r="AE14" s="304">
        <f t="shared" si="37"/>
        <v>61.883127662132857</v>
      </c>
      <c r="AF14" s="304">
        <f t="shared" si="37"/>
        <v>41.263695449308202</v>
      </c>
      <c r="AG14" s="306"/>
      <c r="AH14" s="304">
        <f t="shared" ref="AH14:AJ14" si="38">SUM(AH26,AH38,AH56,AH68,AH80,AH98)</f>
        <v>26.912734436316818</v>
      </c>
      <c r="AI14" s="304">
        <f t="shared" si="38"/>
        <v>24.229792428890324</v>
      </c>
      <c r="AJ14" s="304">
        <f t="shared" si="38"/>
        <v>21.204459282457687</v>
      </c>
      <c r="AK14" s="306"/>
      <c r="AL14" s="304">
        <f t="shared" ref="AL14:AN14" si="39">SUM(AL26,AL38,AL56,AL68,AL80,AL98)</f>
        <v>7.763730743861502</v>
      </c>
      <c r="AM14" s="304">
        <f t="shared" si="39"/>
        <v>6.7884032277430073</v>
      </c>
      <c r="AN14" s="304">
        <f t="shared" si="39"/>
        <v>3.8388421243006019</v>
      </c>
    </row>
    <row r="15" spans="1:40" x14ac:dyDescent="0.2">
      <c r="A15" s="13" t="str">
        <f>name!E10</f>
        <v>Sales and customer service occupations</v>
      </c>
      <c r="B15" s="304">
        <f t="shared" si="0"/>
        <v>362.0244682540864</v>
      </c>
      <c r="C15" s="304">
        <f t="shared" si="0"/>
        <v>363.25597157186519</v>
      </c>
      <c r="D15" s="304">
        <f t="shared" si="0"/>
        <v>361.43165928598216</v>
      </c>
      <c r="E15" s="304"/>
      <c r="F15" s="304">
        <f t="shared" si="1"/>
        <v>2.1468851850902491</v>
      </c>
      <c r="G15" s="304">
        <f t="shared" si="1"/>
        <v>3.3053025679342118</v>
      </c>
      <c r="H15" s="304">
        <f t="shared" si="1"/>
        <v>5.9812631326984969</v>
      </c>
      <c r="I15" s="304"/>
      <c r="J15" s="304">
        <f t="shared" si="2"/>
        <v>31.400179155808384</v>
      </c>
      <c r="K15" s="304">
        <f t="shared" si="2"/>
        <v>48.366600750368953</v>
      </c>
      <c r="L15" s="304">
        <f t="shared" si="2"/>
        <v>93.382029665787243</v>
      </c>
      <c r="M15" s="304"/>
      <c r="N15" s="304">
        <f t="shared" si="3"/>
        <v>75.665978917889248</v>
      </c>
      <c r="O15" s="304">
        <f t="shared" si="3"/>
        <v>81.144874575053251</v>
      </c>
      <c r="P15" s="304">
        <f t="shared" si="3"/>
        <v>91.192952312462864</v>
      </c>
      <c r="Q15" s="306"/>
      <c r="R15" s="304">
        <f t="shared" ref="R15:T15" si="40">SUM(R27,R39,R57,R69,R81,R99)</f>
        <v>22.700218416006297</v>
      </c>
      <c r="S15" s="304">
        <f t="shared" si="40"/>
        <v>23.735672995151802</v>
      </c>
      <c r="T15" s="304">
        <f t="shared" si="40"/>
        <v>26.632557400485698</v>
      </c>
      <c r="U15" s="306"/>
      <c r="V15" s="304">
        <f t="shared" ref="V15:X15" si="41">SUM(V27,V39,V57,V69,V81,V99)</f>
        <v>21.210050050333113</v>
      </c>
      <c r="W15" s="304">
        <f t="shared" si="41"/>
        <v>22.166633072495742</v>
      </c>
      <c r="X15" s="304">
        <f t="shared" si="41"/>
        <v>23.558197385956756</v>
      </c>
      <c r="Y15" s="306"/>
      <c r="Z15" s="304">
        <f t="shared" ref="Z15:AB15" si="42">SUM(Z27,Z39,Z57,Z69,Z81,Z99)</f>
        <v>77.861035274263628</v>
      </c>
      <c r="AA15" s="304">
        <f t="shared" si="42"/>
        <v>71.84902407774203</v>
      </c>
      <c r="AB15" s="304">
        <f t="shared" si="42"/>
        <v>59.223412393498073</v>
      </c>
      <c r="AC15" s="306"/>
      <c r="AD15" s="304">
        <f t="shared" ref="AD15:AF15" si="43">SUM(AD27,AD39,AD57,AD69,AD81,AD99)</f>
        <v>62.64570961835458</v>
      </c>
      <c r="AE15" s="304">
        <f t="shared" si="43"/>
        <v>58.219413919762481</v>
      </c>
      <c r="AF15" s="304">
        <f t="shared" si="43"/>
        <v>40.199148300316146</v>
      </c>
      <c r="AG15" s="306"/>
      <c r="AH15" s="304">
        <f t="shared" ref="AH15:AJ15" si="44">SUM(AH27,AH39,AH57,AH69,AH81,AH99)</f>
        <v>52.998424530338021</v>
      </c>
      <c r="AI15" s="304">
        <f t="shared" si="44"/>
        <v>42.653528764768446</v>
      </c>
      <c r="AJ15" s="304">
        <f t="shared" si="44"/>
        <v>16.101732794479943</v>
      </c>
      <c r="AK15" s="306"/>
      <c r="AL15" s="304">
        <f t="shared" ref="AL15:AN15" si="45">SUM(AL27,AL39,AL57,AL69,AL81,AL99)</f>
        <v>15.395987106002901</v>
      </c>
      <c r="AM15" s="304">
        <f t="shared" si="45"/>
        <v>11.814920848588256</v>
      </c>
      <c r="AN15" s="304">
        <f t="shared" si="45"/>
        <v>5.1603659002969424</v>
      </c>
    </row>
    <row r="16" spans="1:40" x14ac:dyDescent="0.2">
      <c r="A16" s="13" t="str">
        <f>name!E11</f>
        <v>Process, plant and machine operatives</v>
      </c>
      <c r="B16" s="304">
        <f t="shared" si="0"/>
        <v>214.55161905876446</v>
      </c>
      <c r="C16" s="304">
        <f t="shared" si="0"/>
        <v>242.99268893146009</v>
      </c>
      <c r="D16" s="304">
        <f t="shared" si="0"/>
        <v>242.77253892268209</v>
      </c>
      <c r="E16" s="304"/>
      <c r="F16" s="304">
        <f t="shared" si="1"/>
        <v>1.5099246070958519</v>
      </c>
      <c r="G16" s="304">
        <f t="shared" si="1"/>
        <v>2.9570668188995959</v>
      </c>
      <c r="H16" s="304">
        <f t="shared" si="1"/>
        <v>6.2245291218486392</v>
      </c>
      <c r="I16" s="304"/>
      <c r="J16" s="304">
        <f t="shared" si="2"/>
        <v>10.240076625703361</v>
      </c>
      <c r="K16" s="304">
        <f t="shared" si="2"/>
        <v>18.228518720773788</v>
      </c>
      <c r="L16" s="304">
        <f t="shared" si="2"/>
        <v>37.733202734595892</v>
      </c>
      <c r="M16" s="304"/>
      <c r="N16" s="304">
        <f t="shared" si="3"/>
        <v>18.715624664305192</v>
      </c>
      <c r="O16" s="304">
        <f t="shared" si="3"/>
        <v>23.530823001585865</v>
      </c>
      <c r="P16" s="304">
        <f t="shared" si="3"/>
        <v>29.71967096382544</v>
      </c>
      <c r="Q16" s="306"/>
      <c r="R16" s="304">
        <f t="shared" ref="R16:T16" si="46">SUM(R28,R40,R58,R70,R82,R100)</f>
        <v>8.9513562745239703</v>
      </c>
      <c r="S16" s="304">
        <f t="shared" si="46"/>
        <v>11.389725909001509</v>
      </c>
      <c r="T16" s="304">
        <f t="shared" si="46"/>
        <v>14.371718344730004</v>
      </c>
      <c r="U16" s="306"/>
      <c r="V16" s="304">
        <f t="shared" ref="V16:X16" si="47">SUM(V28,V40,V58,V70,V82,V100)</f>
        <v>15.142365768480877</v>
      </c>
      <c r="W16" s="304">
        <f t="shared" si="47"/>
        <v>18.347862683310787</v>
      </c>
      <c r="X16" s="304">
        <f t="shared" si="47"/>
        <v>21.748295224509139</v>
      </c>
      <c r="Y16" s="306"/>
      <c r="Z16" s="304">
        <f t="shared" ref="Z16:AB16" si="48">SUM(Z28,Z40,Z58,Z70,Z82,Z100)</f>
        <v>40.000404323209665</v>
      </c>
      <c r="AA16" s="304">
        <f t="shared" si="48"/>
        <v>39.433718041064161</v>
      </c>
      <c r="AB16" s="304">
        <f t="shared" si="48"/>
        <v>34.685977172684524</v>
      </c>
      <c r="AC16" s="306"/>
      <c r="AD16" s="304">
        <f t="shared" ref="AD16:AF16" si="49">SUM(AD28,AD40,AD58,AD70,AD82,AD100)</f>
        <v>48.060233549288071</v>
      </c>
      <c r="AE16" s="304">
        <f t="shared" si="49"/>
        <v>57.338579702397901</v>
      </c>
      <c r="AF16" s="304">
        <f t="shared" si="49"/>
        <v>50.883554879492841</v>
      </c>
      <c r="AG16" s="306"/>
      <c r="AH16" s="304">
        <f t="shared" ref="AH16:AJ16" si="50">SUM(AH28,AH40,AH58,AH70,AH82,AH100)</f>
        <v>53.761069208556634</v>
      </c>
      <c r="AI16" s="304">
        <f t="shared" si="50"/>
        <v>56.834909024136053</v>
      </c>
      <c r="AJ16" s="304">
        <f t="shared" si="50"/>
        <v>41.020646548407584</v>
      </c>
      <c r="AK16" s="306"/>
      <c r="AL16" s="304">
        <f t="shared" ref="AL16:AN16" si="51">SUM(AL28,AL40,AL58,AL70,AL82,AL100)</f>
        <v>18.17056403760084</v>
      </c>
      <c r="AM16" s="304">
        <f t="shared" si="51"/>
        <v>14.931485030290448</v>
      </c>
      <c r="AN16" s="304">
        <f t="shared" si="51"/>
        <v>6.3849439325879933</v>
      </c>
    </row>
    <row r="17" spans="1:40" x14ac:dyDescent="0.2">
      <c r="A17" s="13" t="str">
        <f>name!E12</f>
        <v>Elementary occupations</v>
      </c>
      <c r="B17" s="304">
        <f t="shared" si="0"/>
        <v>523.48518063303402</v>
      </c>
      <c r="C17" s="304">
        <f t="shared" si="0"/>
        <v>530.48341979566953</v>
      </c>
      <c r="D17" s="304">
        <f t="shared" si="0"/>
        <v>526.70577292722078</v>
      </c>
      <c r="E17" s="304"/>
      <c r="F17" s="304">
        <f t="shared" si="1"/>
        <v>0.74567761247679809</v>
      </c>
      <c r="G17" s="304">
        <f t="shared" si="1"/>
        <v>1.1736610654491861</v>
      </c>
      <c r="H17" s="304">
        <f t="shared" si="1"/>
        <v>2.074695164263697</v>
      </c>
      <c r="I17" s="304"/>
      <c r="J17" s="304">
        <f t="shared" si="2"/>
        <v>31.097205208616263</v>
      </c>
      <c r="K17" s="304">
        <f t="shared" si="2"/>
        <v>51.81690780107855</v>
      </c>
      <c r="L17" s="304">
        <f t="shared" si="2"/>
        <v>113.58447410974208</v>
      </c>
      <c r="M17" s="304"/>
      <c r="N17" s="304">
        <f t="shared" si="3"/>
        <v>69.477617954830251</v>
      </c>
      <c r="O17" s="304">
        <f t="shared" si="3"/>
        <v>77.36613420861238</v>
      </c>
      <c r="P17" s="304">
        <f t="shared" si="3"/>
        <v>94.831935121358214</v>
      </c>
      <c r="Q17" s="306"/>
      <c r="R17" s="304">
        <f t="shared" ref="R17:T17" si="52">SUM(R29,R41,R59,R71,R83,R101)</f>
        <v>31.625112304151145</v>
      </c>
      <c r="S17" s="304">
        <f t="shared" si="52"/>
        <v>34.014137594414365</v>
      </c>
      <c r="T17" s="304">
        <f t="shared" si="52"/>
        <v>41.682190437967193</v>
      </c>
      <c r="U17" s="306"/>
      <c r="V17" s="304">
        <f t="shared" ref="V17:X17" si="53">SUM(V29,V41,V59,V71,V83,V101)</f>
        <v>28.432663057391316</v>
      </c>
      <c r="W17" s="304">
        <f t="shared" si="53"/>
        <v>30.312168204470066</v>
      </c>
      <c r="X17" s="304">
        <f t="shared" si="53"/>
        <v>37.675561041122485</v>
      </c>
      <c r="Y17" s="306"/>
      <c r="Z17" s="304">
        <f t="shared" ref="Z17:AB17" si="54">SUM(Z29,Z41,Z59,Z71,Z83,Z101)</f>
        <v>78.194541915930188</v>
      </c>
      <c r="AA17" s="304">
        <f t="shared" si="54"/>
        <v>71.526401597495806</v>
      </c>
      <c r="AB17" s="304">
        <f t="shared" si="54"/>
        <v>63.546167210148106</v>
      </c>
      <c r="AC17" s="306"/>
      <c r="AD17" s="304">
        <f t="shared" ref="AD17:AF17" si="55">SUM(AD29,AD41,AD59,AD71,AD83,AD101)</f>
        <v>111.53334949522255</v>
      </c>
      <c r="AE17" s="304">
        <f t="shared" si="55"/>
        <v>114.52428102308431</v>
      </c>
      <c r="AF17" s="304">
        <f t="shared" si="55"/>
        <v>86.841868054346392</v>
      </c>
      <c r="AG17" s="306"/>
      <c r="AH17" s="304">
        <f t="shared" ref="AH17:AJ17" si="56">SUM(AH29,AH41,AH59,AH71,AH83,AH101)</f>
        <v>130.31985899871825</v>
      </c>
      <c r="AI17" s="304">
        <f t="shared" si="56"/>
        <v>120.74477330042617</v>
      </c>
      <c r="AJ17" s="304">
        <f t="shared" si="56"/>
        <v>74.094628294707476</v>
      </c>
      <c r="AK17" s="306"/>
      <c r="AL17" s="304">
        <f t="shared" ref="AL17:AN17" si="57">SUM(AL29,AL41,AL59,AL71,AL83,AL101)</f>
        <v>42.059154085697323</v>
      </c>
      <c r="AM17" s="304">
        <f t="shared" si="57"/>
        <v>29.004955000638741</v>
      </c>
      <c r="AN17" s="304">
        <f t="shared" si="57"/>
        <v>12.374253493565147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32.877999999813746</v>
      </c>
      <c r="C20" s="305">
        <f>SUM(C21:C29)</f>
        <v>33.681999999911213</v>
      </c>
      <c r="D20" s="305">
        <f>SUM(D21:D29)</f>
        <v>36.091999999708378</v>
      </c>
      <c r="E20" s="304"/>
      <c r="F20" s="305">
        <f>SUM(F21:F29)</f>
        <v>1.0613449485113289</v>
      </c>
      <c r="G20" s="305">
        <f>SUM(G21:G29)</f>
        <v>1.4930629714837864</v>
      </c>
      <c r="H20" s="305">
        <f>SUM(H21:H29)</f>
        <v>2.4091143242644106</v>
      </c>
      <c r="I20" s="304"/>
      <c r="J20" s="305">
        <f>SUM(J21:J29)</f>
        <v>5.9841816019052185</v>
      </c>
      <c r="K20" s="305">
        <f>SUM(K21:K29)</f>
        <v>7.8885697227194997</v>
      </c>
      <c r="L20" s="305">
        <f>SUM(L21:L29)</f>
        <v>11.79953109649399</v>
      </c>
      <c r="M20" s="304"/>
      <c r="N20" s="305">
        <f>SUM(N21:N29)</f>
        <v>7.4863201903220622</v>
      </c>
      <c r="O20" s="305">
        <f>SUM(O21:O29)</f>
        <v>7.1943209361717964</v>
      </c>
      <c r="P20" s="305">
        <f>SUM(P21:P29)</f>
        <v>7.0557993368185601</v>
      </c>
      <c r="Q20" s="306"/>
      <c r="R20" s="305">
        <f>SUM(R21:R29)</f>
        <v>1.1237158235915625</v>
      </c>
      <c r="S20" s="305">
        <f>SUM(S21:S29)</f>
        <v>1.0568196171218318</v>
      </c>
      <c r="T20" s="305">
        <f>SUM(T21:T29)</f>
        <v>1.0192984249057346</v>
      </c>
      <c r="U20" s="306"/>
      <c r="V20" s="305">
        <f>SUM(V21:V29)</f>
        <v>3.1934630875464394</v>
      </c>
      <c r="W20" s="305">
        <f>SUM(W21:W29)</f>
        <v>3.1078675022327178</v>
      </c>
      <c r="X20" s="305">
        <f>SUM(X21:X29)</f>
        <v>3.2301059619902124</v>
      </c>
      <c r="Y20" s="306"/>
      <c r="Z20" s="305">
        <f>SUM(Z21:Z29)</f>
        <v>4.8215593979332585</v>
      </c>
      <c r="AA20" s="305">
        <f>SUM(AA21:AA29)</f>
        <v>3.8445472323944982</v>
      </c>
      <c r="AB20" s="305">
        <f>SUM(AB21:AB29)</f>
        <v>3.0803957656843903</v>
      </c>
      <c r="AC20" s="306"/>
      <c r="AD20" s="305">
        <f>SUM(AD21:AD29)</f>
        <v>4.202850188791448</v>
      </c>
      <c r="AE20" s="305">
        <f>SUM(AE21:AE29)</f>
        <v>4.1354671845904978</v>
      </c>
      <c r="AF20" s="305">
        <f>SUM(AF21:AF29)</f>
        <v>3.6079462638699047</v>
      </c>
      <c r="AG20" s="306"/>
      <c r="AH20" s="305">
        <f>SUM(AH21:AH29)</f>
        <v>3.6918285091400804</v>
      </c>
      <c r="AI20" s="305">
        <f>SUM(AI21:AI29)</f>
        <v>3.6527465275677562</v>
      </c>
      <c r="AJ20" s="305">
        <f>SUM(AJ21:AJ29)</f>
        <v>3.2122536878044947</v>
      </c>
      <c r="AK20" s="306"/>
      <c r="AL20" s="305">
        <f>SUM(AL21:AL29)</f>
        <v>1.312736252072354</v>
      </c>
      <c r="AM20" s="305">
        <f>SUM(AM21:AM29)</f>
        <v>1.3085983056288342</v>
      </c>
      <c r="AN20" s="305">
        <f>SUM(AN21:AN29)</f>
        <v>0.67755513787668087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5.2853728025716675</v>
      </c>
      <c r="C21" s="304">
        <f t="shared" ref="C21:D21" si="59">SUM(G21,K21,O21,S21,W21,AA21,AE21,AI21,AM21)</f>
        <v>5.4662422373556581</v>
      </c>
      <c r="D21" s="304">
        <f t="shared" si="59"/>
        <v>6.058937878234353</v>
      </c>
      <c r="E21" s="304"/>
      <c r="F21" s="304">
        <v>0.2761672279530466</v>
      </c>
      <c r="G21" s="304">
        <v>0.38646895477212317</v>
      </c>
      <c r="H21" s="304">
        <v>0.58169359104229534</v>
      </c>
      <c r="I21" s="304"/>
      <c r="J21" s="304">
        <v>1.7097870111621543</v>
      </c>
      <c r="K21" s="304">
        <v>2.2039015742550392</v>
      </c>
      <c r="L21" s="304">
        <v>3.2584508091951792</v>
      </c>
      <c r="M21" s="304"/>
      <c r="N21" s="304">
        <v>1.4630098926223718</v>
      </c>
      <c r="O21" s="304">
        <v>1.2930171377320443</v>
      </c>
      <c r="P21" s="304">
        <v>1.1606960937354933</v>
      </c>
      <c r="Q21" s="306"/>
      <c r="R21" s="304">
        <v>0.22074721523702828</v>
      </c>
      <c r="S21" s="304">
        <v>0.18429394689622364</v>
      </c>
      <c r="T21" s="304">
        <v>0.14207283292812437</v>
      </c>
      <c r="U21" s="306"/>
      <c r="V21" s="304">
        <v>0.42487083041856094</v>
      </c>
      <c r="W21" s="304">
        <v>0.33354726419804376</v>
      </c>
      <c r="X21" s="304">
        <v>0.24067120663275848</v>
      </c>
      <c r="Y21" s="306"/>
      <c r="Z21" s="304">
        <v>0.29757624494534662</v>
      </c>
      <c r="AA21" s="304">
        <v>0.22482061704752043</v>
      </c>
      <c r="AB21" s="304">
        <v>0.15785064140396002</v>
      </c>
      <c r="AC21" s="306"/>
      <c r="AD21" s="304">
        <v>0.36694637292068627</v>
      </c>
      <c r="AE21" s="304">
        <v>0.33736720133881626</v>
      </c>
      <c r="AF21" s="304">
        <v>0.19841438054076718</v>
      </c>
      <c r="AG21" s="306"/>
      <c r="AH21" s="304">
        <v>0.3249932734813768</v>
      </c>
      <c r="AI21" s="304">
        <v>0.28326953526405291</v>
      </c>
      <c r="AJ21" s="304">
        <v>0.22085448757565884</v>
      </c>
      <c r="AK21" s="306"/>
      <c r="AL21" s="304">
        <v>0.20127473383109518</v>
      </c>
      <c r="AM21" s="304">
        <v>0.21955600585179394</v>
      </c>
      <c r="AN21" s="304">
        <v>9.8233835180115914E-2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8.0002054330412182</v>
      </c>
      <c r="C22" s="304">
        <f t="shared" ref="C22:C29" si="61">SUM(G22,K22,O22,S22,W22,AA22,AE22,AI22,AM22)</f>
        <v>8.431826896819496</v>
      </c>
      <c r="D22" s="304">
        <f t="shared" ref="D22:D29" si="62">SUM(H22,L22,P22,T22,X22,AB22,AF22,AJ22,AN22)</f>
        <v>9.3544658431580014</v>
      </c>
      <c r="E22" s="304"/>
      <c r="F22" s="304">
        <v>0.49503941538966162</v>
      </c>
      <c r="G22" s="304">
        <v>0.69357627961677992</v>
      </c>
      <c r="H22" s="304">
        <v>1.0533075899442652</v>
      </c>
      <c r="I22" s="304"/>
      <c r="J22" s="304">
        <v>2.2760501215085878</v>
      </c>
      <c r="K22" s="304">
        <v>2.9385528388204789</v>
      </c>
      <c r="L22" s="304">
        <v>4.1283628408665578</v>
      </c>
      <c r="M22" s="304"/>
      <c r="N22" s="304">
        <v>2.6836350498961865</v>
      </c>
      <c r="O22" s="304">
        <v>2.5443446267358403</v>
      </c>
      <c r="P22" s="304">
        <v>2.3537782509231069</v>
      </c>
      <c r="Q22" s="306"/>
      <c r="R22" s="304">
        <v>0.25582511958525012</v>
      </c>
      <c r="S22" s="304">
        <v>0.23246384665052364</v>
      </c>
      <c r="T22" s="304">
        <v>0.20124604682153427</v>
      </c>
      <c r="U22" s="306"/>
      <c r="V22" s="304">
        <v>0.9517234388583099</v>
      </c>
      <c r="W22" s="304">
        <v>0.88281908258284092</v>
      </c>
      <c r="X22" s="304">
        <v>0.84915860653413311</v>
      </c>
      <c r="Y22" s="306"/>
      <c r="Z22" s="304">
        <v>0.57104527344642819</v>
      </c>
      <c r="AA22" s="304">
        <v>0.42384003183083824</v>
      </c>
      <c r="AB22" s="304">
        <v>0.27322927068466552</v>
      </c>
      <c r="AC22" s="306"/>
      <c r="AD22" s="304">
        <v>0.29343888516247624</v>
      </c>
      <c r="AE22" s="304">
        <v>0.22138466497395307</v>
      </c>
      <c r="AF22" s="304">
        <v>0.15897825246826863</v>
      </c>
      <c r="AG22" s="306"/>
      <c r="AH22" s="304">
        <v>0.33804654723334743</v>
      </c>
      <c r="AI22" s="304">
        <v>0.34786676950451456</v>
      </c>
      <c r="AJ22" s="304">
        <v>0.25801610432246924</v>
      </c>
      <c r="AK22" s="306"/>
      <c r="AL22" s="304">
        <v>0.13540158196097068</v>
      </c>
      <c r="AM22" s="304">
        <v>0.14697875610372535</v>
      </c>
      <c r="AN22" s="304">
        <v>7.8388880593003502E-2</v>
      </c>
    </row>
    <row r="23" spans="1:40" x14ac:dyDescent="0.2">
      <c r="A23" s="13" t="str">
        <f t="shared" si="58"/>
        <v>Associate professional occupations</v>
      </c>
      <c r="B23" s="304">
        <f t="shared" si="60"/>
        <v>5.4899838981942084</v>
      </c>
      <c r="C23" s="304">
        <f t="shared" si="61"/>
        <v>5.3755779655918996</v>
      </c>
      <c r="D23" s="304">
        <f t="shared" si="62"/>
        <v>6.0459812130336044</v>
      </c>
      <c r="E23" s="304"/>
      <c r="F23" s="304">
        <v>0.1780434466545622</v>
      </c>
      <c r="G23" s="304">
        <v>0.24263061552564213</v>
      </c>
      <c r="H23" s="304">
        <v>0.4427606957564067</v>
      </c>
      <c r="I23" s="304"/>
      <c r="J23" s="304">
        <v>0.8638721960593444</v>
      </c>
      <c r="K23" s="304">
        <v>1.0744403960323885</v>
      </c>
      <c r="L23" s="304">
        <v>1.6158047644331437</v>
      </c>
      <c r="M23" s="304"/>
      <c r="N23" s="304">
        <v>1.7409028656622281</v>
      </c>
      <c r="O23" s="304">
        <v>1.6472417700838442</v>
      </c>
      <c r="P23" s="304">
        <v>1.7034719216434056</v>
      </c>
      <c r="Q23" s="306"/>
      <c r="R23" s="304">
        <v>0.17309150663398545</v>
      </c>
      <c r="S23" s="304">
        <v>0.15765482986833126</v>
      </c>
      <c r="T23" s="304">
        <v>0.16826800261385721</v>
      </c>
      <c r="U23" s="306"/>
      <c r="V23" s="304">
        <v>0.87259976307915266</v>
      </c>
      <c r="W23" s="304">
        <v>0.88585954781078569</v>
      </c>
      <c r="X23" s="304">
        <v>1.0134953543339664</v>
      </c>
      <c r="Y23" s="306"/>
      <c r="Z23" s="304">
        <v>0.85192864119060718</v>
      </c>
      <c r="AA23" s="304">
        <v>0.6265042491412568</v>
      </c>
      <c r="AB23" s="304">
        <v>0.51532020066959017</v>
      </c>
      <c r="AC23" s="306"/>
      <c r="AD23" s="304">
        <v>0.28871894800662101</v>
      </c>
      <c r="AE23" s="304">
        <v>0.20428213850456256</v>
      </c>
      <c r="AF23" s="304">
        <v>0.12444148029107213</v>
      </c>
      <c r="AG23" s="306"/>
      <c r="AH23" s="304">
        <v>0.41395497747997029</v>
      </c>
      <c r="AI23" s="304">
        <v>0.41113319309265978</v>
      </c>
      <c r="AJ23" s="304">
        <v>0.32569934264923722</v>
      </c>
      <c r="AK23" s="306"/>
      <c r="AL23" s="304">
        <v>0.10687155342773734</v>
      </c>
      <c r="AM23" s="304">
        <v>0.12583122553242937</v>
      </c>
      <c r="AN23" s="304">
        <v>0.13671945064292618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2.2108784092402374</v>
      </c>
      <c r="C24" s="304">
        <f t="shared" si="61"/>
        <v>1.9483233789545227</v>
      </c>
      <c r="D24" s="304">
        <f t="shared" si="62"/>
        <v>1.6626994822950525</v>
      </c>
      <c r="E24" s="304"/>
      <c r="F24" s="304">
        <v>1.1842468311560357E-2</v>
      </c>
      <c r="G24" s="304">
        <v>1.3946111527038065E-2</v>
      </c>
      <c r="H24" s="304">
        <v>2.2391008461680063E-2</v>
      </c>
      <c r="I24" s="304"/>
      <c r="J24" s="304">
        <v>0.33908026418017129</v>
      </c>
      <c r="K24" s="304">
        <v>0.4260745360675332</v>
      </c>
      <c r="L24" s="304">
        <v>0.64569420249674225</v>
      </c>
      <c r="M24" s="304"/>
      <c r="N24" s="304">
        <v>0.5652561486603479</v>
      </c>
      <c r="O24" s="304">
        <v>0.51100607985791835</v>
      </c>
      <c r="P24" s="304">
        <v>0.46920619245766304</v>
      </c>
      <c r="Q24" s="306"/>
      <c r="R24" s="304">
        <v>9.4372303256063592E-2</v>
      </c>
      <c r="S24" s="304">
        <v>7.8558437716938087E-2</v>
      </c>
      <c r="T24" s="304">
        <v>5.3810685284161559E-2</v>
      </c>
      <c r="U24" s="306"/>
      <c r="V24" s="304">
        <v>0.2347244957662534</v>
      </c>
      <c r="W24" s="304">
        <v>0.19235081636089826</v>
      </c>
      <c r="X24" s="304">
        <v>0.13414065254251847</v>
      </c>
      <c r="Y24" s="306"/>
      <c r="Z24" s="304">
        <v>0.32210731960116179</v>
      </c>
      <c r="AA24" s="304">
        <v>0.23691726294368873</v>
      </c>
      <c r="AB24" s="304">
        <v>0.11623476442346686</v>
      </c>
      <c r="AC24" s="306"/>
      <c r="AD24" s="304">
        <v>0.2381623716702502</v>
      </c>
      <c r="AE24" s="304">
        <v>0.15866619267281826</v>
      </c>
      <c r="AF24" s="304">
        <v>6.3277733714045908E-2</v>
      </c>
      <c r="AG24" s="306"/>
      <c r="AH24" s="304">
        <v>0.29301996815686682</v>
      </c>
      <c r="AI24" s="304">
        <v>0.22409618214863278</v>
      </c>
      <c r="AJ24" s="304">
        <v>8.5475187987059983E-2</v>
      </c>
      <c r="AK24" s="306"/>
      <c r="AL24" s="304">
        <v>0.11231306963756219</v>
      </c>
      <c r="AM24" s="304">
        <v>0.10670775965905707</v>
      </c>
      <c r="AN24" s="304">
        <v>7.2469054927714424E-2</v>
      </c>
    </row>
    <row r="25" spans="1:40" x14ac:dyDescent="0.2">
      <c r="A25" s="13" t="str">
        <f t="shared" si="58"/>
        <v>Skilled trades occupations</v>
      </c>
      <c r="B25" s="304">
        <f t="shared" si="60"/>
        <v>3.913029070272136</v>
      </c>
      <c r="C25" s="304">
        <f t="shared" si="61"/>
        <v>4.0142598453149807</v>
      </c>
      <c r="D25" s="304">
        <f t="shared" si="62"/>
        <v>4.0019333384669569</v>
      </c>
      <c r="E25" s="304"/>
      <c r="F25" s="304">
        <v>5.1040062004675854E-2</v>
      </c>
      <c r="G25" s="304">
        <v>9.1358605812227836E-2</v>
      </c>
      <c r="H25" s="304">
        <v>0.19515365299272588</v>
      </c>
      <c r="I25" s="304"/>
      <c r="J25" s="304">
        <v>0.35778540767872868</v>
      </c>
      <c r="K25" s="304">
        <v>0.58290271732237431</v>
      </c>
      <c r="L25" s="304">
        <v>0.94527239613063863</v>
      </c>
      <c r="M25" s="304"/>
      <c r="N25" s="304">
        <v>0.54629921713223906</v>
      </c>
      <c r="O25" s="304">
        <v>0.66916505793121361</v>
      </c>
      <c r="P25" s="304">
        <v>0.78302034866201731</v>
      </c>
      <c r="Q25" s="306"/>
      <c r="R25" s="304">
        <v>0.10622982626723321</v>
      </c>
      <c r="S25" s="304">
        <v>0.11023012064887459</v>
      </c>
      <c r="T25" s="304">
        <v>0.10713455804461752</v>
      </c>
      <c r="U25" s="306"/>
      <c r="V25" s="304">
        <v>0.47487078473500677</v>
      </c>
      <c r="W25" s="304">
        <v>0.55106570233704788</v>
      </c>
      <c r="X25" s="304">
        <v>0.70127230640978899</v>
      </c>
      <c r="Y25" s="306"/>
      <c r="Z25" s="304">
        <v>1.1999815941722369</v>
      </c>
      <c r="AA25" s="304">
        <v>0.84152020491901025</v>
      </c>
      <c r="AB25" s="304">
        <v>0.47799403289798192</v>
      </c>
      <c r="AC25" s="306"/>
      <c r="AD25" s="304">
        <v>0.54884521654055451</v>
      </c>
      <c r="AE25" s="304">
        <v>0.47575726483215081</v>
      </c>
      <c r="AF25" s="304">
        <v>0.21631551230248636</v>
      </c>
      <c r="AG25" s="306"/>
      <c r="AH25" s="304">
        <v>0.48034953751815557</v>
      </c>
      <c r="AI25" s="304">
        <v>0.52018657826224513</v>
      </c>
      <c r="AJ25" s="304">
        <v>0.50947046390610407</v>
      </c>
      <c r="AK25" s="306"/>
      <c r="AL25" s="304">
        <v>0.14762742422330544</v>
      </c>
      <c r="AM25" s="304">
        <v>0.17207359324983637</v>
      </c>
      <c r="AN25" s="304">
        <v>6.6300067120596315E-2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0.65303886250016219</v>
      </c>
      <c r="C26" s="304">
        <f t="shared" si="61"/>
        <v>0.76259699061808384</v>
      </c>
      <c r="D26" s="304">
        <f t="shared" si="62"/>
        <v>0.96986882274232122</v>
      </c>
      <c r="E26" s="304"/>
      <c r="F26" s="304">
        <v>1.6434968159312339E-2</v>
      </c>
      <c r="G26" s="304">
        <v>2.3505586685751499E-2</v>
      </c>
      <c r="H26" s="304">
        <v>4.2953802169252507E-2</v>
      </c>
      <c r="I26" s="304"/>
      <c r="J26" s="304">
        <v>0.10402463841326852</v>
      </c>
      <c r="K26" s="304">
        <v>0.15632858102826958</v>
      </c>
      <c r="L26" s="304">
        <v>0.28050930058397067</v>
      </c>
      <c r="M26" s="304"/>
      <c r="N26" s="304">
        <v>0.10854067986211247</v>
      </c>
      <c r="O26" s="304">
        <v>0.11459844043760392</v>
      </c>
      <c r="P26" s="304">
        <v>0.11611686664200102</v>
      </c>
      <c r="Q26" s="306"/>
      <c r="R26" s="304">
        <v>3.0363031258822955E-2</v>
      </c>
      <c r="S26" s="304">
        <v>2.9217229807959374E-2</v>
      </c>
      <c r="T26" s="304">
        <v>2.8287993359363519E-2</v>
      </c>
      <c r="U26" s="306"/>
      <c r="V26" s="304">
        <v>3.4211965770166615E-2</v>
      </c>
      <c r="W26" s="304">
        <v>3.8438264522600275E-2</v>
      </c>
      <c r="X26" s="304">
        <v>4.1155925585082999E-2</v>
      </c>
      <c r="Y26" s="306"/>
      <c r="Z26" s="304">
        <v>0.14357224718171976</v>
      </c>
      <c r="AA26" s="304">
        <v>0.14429260079115058</v>
      </c>
      <c r="AB26" s="304">
        <v>0.14957101399104317</v>
      </c>
      <c r="AC26" s="306"/>
      <c r="AD26" s="304">
        <v>8.3629382830838886E-2</v>
      </c>
      <c r="AE26" s="304">
        <v>9.7996029041822114E-2</v>
      </c>
      <c r="AF26" s="304">
        <v>0.10281633198261718</v>
      </c>
      <c r="AG26" s="306"/>
      <c r="AH26" s="304">
        <v>9.0670063203788356E-2</v>
      </c>
      <c r="AI26" s="304">
        <v>0.10700174892231054</v>
      </c>
      <c r="AJ26" s="304">
        <v>0.14331609088268568</v>
      </c>
      <c r="AK26" s="306"/>
      <c r="AL26" s="304">
        <v>4.1591885820132277E-2</v>
      </c>
      <c r="AM26" s="304">
        <v>5.1218509380615965E-2</v>
      </c>
      <c r="AN26" s="304">
        <v>6.5141497546304522E-2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1.3292085299052578</v>
      </c>
      <c r="C27" s="304">
        <f t="shared" si="61"/>
        <v>1.3616085518963925</v>
      </c>
      <c r="D27" s="304">
        <f t="shared" si="62"/>
        <v>1.4389649264959001</v>
      </c>
      <c r="E27" s="304"/>
      <c r="F27" s="304">
        <v>3.2035841905672963E-2</v>
      </c>
      <c r="G27" s="304">
        <v>4.0281575816786493E-2</v>
      </c>
      <c r="H27" s="304">
        <v>6.764458311935824E-2</v>
      </c>
      <c r="I27" s="304"/>
      <c r="J27" s="304">
        <v>0.1270229535389695</v>
      </c>
      <c r="K27" s="304">
        <v>0.17427698900015737</v>
      </c>
      <c r="L27" s="304">
        <v>0.28211643624440752</v>
      </c>
      <c r="M27" s="304"/>
      <c r="N27" s="304">
        <v>0.23093419870913726</v>
      </c>
      <c r="O27" s="304">
        <v>0.24118840784462217</v>
      </c>
      <c r="P27" s="304">
        <v>0.25980370737298347</v>
      </c>
      <c r="Q27" s="306"/>
      <c r="R27" s="304">
        <v>0.13716622560789349</v>
      </c>
      <c r="S27" s="304">
        <v>0.14514834995844417</v>
      </c>
      <c r="T27" s="304">
        <v>0.16993361706445356</v>
      </c>
      <c r="U27" s="306"/>
      <c r="V27" s="304">
        <v>9.1610247270135392E-2</v>
      </c>
      <c r="W27" s="304">
        <v>9.6166465609258331E-2</v>
      </c>
      <c r="X27" s="304">
        <v>9.925307127582568E-2</v>
      </c>
      <c r="Y27" s="306"/>
      <c r="Z27" s="304">
        <v>0.27556425259181472</v>
      </c>
      <c r="AA27" s="304">
        <v>0.29738411945539811</v>
      </c>
      <c r="AB27" s="304">
        <v>0.31411246857606351</v>
      </c>
      <c r="AC27" s="306"/>
      <c r="AD27" s="304">
        <v>0.16859281884789593</v>
      </c>
      <c r="AE27" s="304">
        <v>0.14578898452912778</v>
      </c>
      <c r="AF27" s="304">
        <v>9.8252912604325587E-2</v>
      </c>
      <c r="AG27" s="306"/>
      <c r="AH27" s="304">
        <v>0.19979445358581291</v>
      </c>
      <c r="AI27" s="304">
        <v>0.16723050389822311</v>
      </c>
      <c r="AJ27" s="304">
        <v>0.12575575304778577</v>
      </c>
      <c r="AK27" s="306"/>
      <c r="AL27" s="304">
        <v>6.6487537847925451E-2</v>
      </c>
      <c r="AM27" s="304">
        <v>5.4143155784374924E-2</v>
      </c>
      <c r="AN27" s="304">
        <v>2.2092377190696674E-2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3.1298373037577076</v>
      </c>
      <c r="C28" s="304">
        <f t="shared" si="61"/>
        <v>3.3334483101521339</v>
      </c>
      <c r="D28" s="304">
        <f t="shared" si="62"/>
        <v>3.5622309948659852</v>
      </c>
      <c r="E28" s="304"/>
      <c r="F28" s="304">
        <v>4.0817887729130263E-4</v>
      </c>
      <c r="G28" s="304">
        <v>8.4917060376956419E-4</v>
      </c>
      <c r="H28" s="304">
        <v>2.3738514653741981E-3</v>
      </c>
      <c r="I28" s="304"/>
      <c r="J28" s="304">
        <v>0.16722693567085445</v>
      </c>
      <c r="K28" s="304">
        <v>0.28254122203334125</v>
      </c>
      <c r="L28" s="304">
        <v>0.56362623693180358</v>
      </c>
      <c r="M28" s="304"/>
      <c r="N28" s="304">
        <v>0.1365005866194782</v>
      </c>
      <c r="O28" s="304">
        <v>0.16488030409822427</v>
      </c>
      <c r="P28" s="304">
        <v>0.202747652224325</v>
      </c>
      <c r="Q28" s="306"/>
      <c r="R28" s="304">
        <v>0.10047548747860373</v>
      </c>
      <c r="S28" s="304">
        <v>0.11473529383911855</v>
      </c>
      <c r="T28" s="304">
        <v>0.14477225855660728</v>
      </c>
      <c r="U28" s="306"/>
      <c r="V28" s="304">
        <v>8.9519282923704105E-2</v>
      </c>
      <c r="W28" s="304">
        <v>0.10660751083987595</v>
      </c>
      <c r="X28" s="304">
        <v>0.12108330124942722</v>
      </c>
      <c r="Y28" s="306"/>
      <c r="Z28" s="304">
        <v>0.784772003772504</v>
      </c>
      <c r="AA28" s="304">
        <v>0.7722721108152435</v>
      </c>
      <c r="AB28" s="304">
        <v>0.87756002294984103</v>
      </c>
      <c r="AC28" s="306"/>
      <c r="AD28" s="304">
        <v>1.0312244521472436</v>
      </c>
      <c r="AE28" s="304">
        <v>1.1732971937809122</v>
      </c>
      <c r="AF28" s="304">
        <v>1.3085797880322638</v>
      </c>
      <c r="AG28" s="306"/>
      <c r="AH28" s="304">
        <v>0.40307955257542244</v>
      </c>
      <c r="AI28" s="304">
        <v>0.33907077252865619</v>
      </c>
      <c r="AJ28" s="304">
        <v>0.22367707427925315</v>
      </c>
      <c r="AK28" s="306"/>
      <c r="AL28" s="304">
        <v>0.41663082369260601</v>
      </c>
      <c r="AM28" s="304">
        <v>0.37919473161299289</v>
      </c>
      <c r="AN28" s="304">
        <v>0.11781080917708962</v>
      </c>
    </row>
    <row r="29" spans="1:40" x14ac:dyDescent="0.2">
      <c r="A29" s="13" t="str">
        <f t="shared" si="58"/>
        <v>Elementary occupations</v>
      </c>
      <c r="B29" s="304">
        <f t="shared" si="60"/>
        <v>2.8664456903311555</v>
      </c>
      <c r="C29" s="304">
        <f t="shared" si="61"/>
        <v>2.9881158232080516</v>
      </c>
      <c r="D29" s="304">
        <f t="shared" si="62"/>
        <v>2.9969175004161994</v>
      </c>
      <c r="E29" s="304"/>
      <c r="F29" s="304">
        <v>3.3333925554563314E-4</v>
      </c>
      <c r="G29" s="304">
        <v>4.4607112366788548E-4</v>
      </c>
      <c r="H29" s="304">
        <v>8.3554931305240149E-4</v>
      </c>
      <c r="I29" s="304"/>
      <c r="J29" s="304">
        <v>3.9332073693138563E-2</v>
      </c>
      <c r="K29" s="304">
        <v>4.955086815991791E-2</v>
      </c>
      <c r="L29" s="304">
        <v>7.9694109611545674E-2</v>
      </c>
      <c r="M29" s="304"/>
      <c r="N29" s="304">
        <v>1.1241551157960734E-2</v>
      </c>
      <c r="O29" s="304">
        <v>8.8791114504846082E-3</v>
      </c>
      <c r="P29" s="304">
        <v>6.9583031575653964E-3</v>
      </c>
      <c r="Q29" s="306"/>
      <c r="R29" s="304">
        <v>5.445108266681575E-3</v>
      </c>
      <c r="S29" s="304">
        <v>4.5175617354184308E-3</v>
      </c>
      <c r="T29" s="304">
        <v>3.7724302330153507E-3</v>
      </c>
      <c r="U29" s="306"/>
      <c r="V29" s="304">
        <v>1.9332278725149407E-2</v>
      </c>
      <c r="W29" s="304">
        <v>2.1012847971366058E-2</v>
      </c>
      <c r="X29" s="304">
        <v>2.9875537426710813E-2</v>
      </c>
      <c r="Y29" s="306"/>
      <c r="Z29" s="304">
        <v>0.3750118210314391</v>
      </c>
      <c r="AA29" s="304">
        <v>0.27699603545039209</v>
      </c>
      <c r="AB29" s="304">
        <v>0.19852335008777791</v>
      </c>
      <c r="AC29" s="306"/>
      <c r="AD29" s="304">
        <v>1.1832917406648813</v>
      </c>
      <c r="AE29" s="304">
        <v>1.3209275149163344</v>
      </c>
      <c r="AF29" s="304">
        <v>1.3368698719340579</v>
      </c>
      <c r="AG29" s="306"/>
      <c r="AH29" s="304">
        <v>1.1479201359053401</v>
      </c>
      <c r="AI29" s="304">
        <v>1.2528912439464619</v>
      </c>
      <c r="AJ29" s="304">
        <v>1.3199891831542405</v>
      </c>
      <c r="AK29" s="306"/>
      <c r="AL29" s="304">
        <v>8.4537641631019234E-2</v>
      </c>
      <c r="AM29" s="304">
        <v>5.289456845400832E-2</v>
      </c>
      <c r="AN29" s="304">
        <v>2.0399165498233611E-2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146.30099999872095</v>
      </c>
      <c r="C32" s="305">
        <f>SUM(C33:C41)</f>
        <v>143.15799999989972</v>
      </c>
      <c r="D32" s="305">
        <f>SUM(D33:D41)</f>
        <v>132.75099999898191</v>
      </c>
      <c r="E32" s="304"/>
      <c r="F32" s="305">
        <f>SUM(F33:F41)</f>
        <v>2.9988896897870378</v>
      </c>
      <c r="G32" s="305">
        <f>SUM(G33:G41)</f>
        <v>3.9168173396301875</v>
      </c>
      <c r="H32" s="305">
        <f>SUM(H33:H41)</f>
        <v>5.304407581038447</v>
      </c>
      <c r="I32" s="304"/>
      <c r="J32" s="305">
        <f>SUM(J33:J41)</f>
        <v>21.29167454293318</v>
      </c>
      <c r="K32" s="305">
        <f>SUM(K33:K41)</f>
        <v>28.553057308841936</v>
      </c>
      <c r="L32" s="305">
        <f>SUM(L33:L41)</f>
        <v>41.759520020663338</v>
      </c>
      <c r="M32" s="304"/>
      <c r="N32" s="305">
        <f>SUM(N33:N41)</f>
        <v>32.951875223411911</v>
      </c>
      <c r="O32" s="305">
        <f>SUM(O33:O41)</f>
        <v>31.589088645747985</v>
      </c>
      <c r="P32" s="305">
        <f>SUM(P33:P41)</f>
        <v>28.008759958705173</v>
      </c>
      <c r="Q32" s="306"/>
      <c r="R32" s="305">
        <f>SUM(R33:R41)</f>
        <v>9.0240011294125981</v>
      </c>
      <c r="S32" s="305">
        <f>SUM(S33:S41)</f>
        <v>8.9199741081543031</v>
      </c>
      <c r="T32" s="305">
        <f>SUM(T33:T41)</f>
        <v>8.455372058378039</v>
      </c>
      <c r="U32" s="306"/>
      <c r="V32" s="305">
        <f>SUM(V33:V41)</f>
        <v>15.808095509138772</v>
      </c>
      <c r="W32" s="305">
        <f>SUM(W33:W41)</f>
        <v>15.411672295775144</v>
      </c>
      <c r="X32" s="305">
        <f>SUM(X33:X41)</f>
        <v>14.322875527503767</v>
      </c>
      <c r="Y32" s="306"/>
      <c r="Z32" s="305">
        <f>SUM(Z33:Z41)</f>
        <v>22.531112089728754</v>
      </c>
      <c r="AA32" s="305">
        <f>SUM(AA33:AA41)</f>
        <v>18.250041951152316</v>
      </c>
      <c r="AB32" s="305">
        <f>SUM(AB33:AB41)</f>
        <v>12.146919224749531</v>
      </c>
      <c r="AC32" s="306"/>
      <c r="AD32" s="305">
        <f>SUM(AD33:AD41)</f>
        <v>17.439189002077388</v>
      </c>
      <c r="AE32" s="305">
        <f>SUM(AE33:AE41)</f>
        <v>15.760198964672535</v>
      </c>
      <c r="AF32" s="305">
        <f>SUM(AF33:AF41)</f>
        <v>9.5659903946997247</v>
      </c>
      <c r="AG32" s="306"/>
      <c r="AH32" s="305">
        <f>SUM(AH33:AH41)</f>
        <v>18.49868373754251</v>
      </c>
      <c r="AI32" s="305">
        <f>SUM(AI33:AI41)</f>
        <v>15.957239290895982</v>
      </c>
      <c r="AJ32" s="305">
        <f>SUM(AJ33:AJ41)</f>
        <v>10.629876338119406</v>
      </c>
      <c r="AK32" s="306"/>
      <c r="AL32" s="305">
        <f>SUM(AL33:AL41)</f>
        <v>5.7574790746888027</v>
      </c>
      <c r="AM32" s="305">
        <f>SUM(AM33:AM41)</f>
        <v>4.7999100950293219</v>
      </c>
      <c r="AN32" s="305">
        <f>SUM(AN33:AN41)</f>
        <v>2.5572788951244707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25.591125817854575</v>
      </c>
      <c r="C33" s="304">
        <f t="shared" ref="C33:C41" si="64">SUM(G33,K33,O33,S33,W33,AA33,AE33,AI33,AM33)</f>
        <v>24.703208134670415</v>
      </c>
      <c r="D33" s="304">
        <f t="shared" ref="D33:D40" si="65">SUM(H33,L33,P33,T33,X33,AB33,AF33,AJ33,AN33)</f>
        <v>24.433995877129494</v>
      </c>
      <c r="E33" s="304"/>
      <c r="F33" s="304">
        <v>0.56597159491740945</v>
      </c>
      <c r="G33" s="304">
        <v>0.68057773118401999</v>
      </c>
      <c r="H33" s="304">
        <v>0.94162553025807272</v>
      </c>
      <c r="I33" s="304"/>
      <c r="J33" s="304">
        <v>4.3048422845221523</v>
      </c>
      <c r="K33" s="304">
        <v>5.7958990544580731</v>
      </c>
      <c r="L33" s="304">
        <v>8.6562631949106557</v>
      </c>
      <c r="M33" s="304"/>
      <c r="N33" s="304">
        <v>8.502267537716806</v>
      </c>
      <c r="O33" s="304">
        <v>8.0391015647022552</v>
      </c>
      <c r="P33" s="304">
        <v>7.3370852918094212</v>
      </c>
      <c r="Q33" s="306"/>
      <c r="R33" s="304">
        <v>1.8502679891882192</v>
      </c>
      <c r="S33" s="304">
        <v>1.7449922371028252</v>
      </c>
      <c r="T33" s="304">
        <v>1.5912191633022068</v>
      </c>
      <c r="U33" s="306"/>
      <c r="V33" s="304">
        <v>3.6508925864947779</v>
      </c>
      <c r="W33" s="304">
        <v>3.2790118399122785</v>
      </c>
      <c r="X33" s="304">
        <v>2.8652193003368387</v>
      </c>
      <c r="Y33" s="306"/>
      <c r="Z33" s="304">
        <v>2.5814788647893305</v>
      </c>
      <c r="AA33" s="304">
        <v>1.7776625450863506</v>
      </c>
      <c r="AB33" s="304">
        <v>0.98737499114075622</v>
      </c>
      <c r="AC33" s="306"/>
      <c r="AD33" s="304">
        <v>1.9407681038759506</v>
      </c>
      <c r="AE33" s="304">
        <v>1.6207420013522342</v>
      </c>
      <c r="AF33" s="304">
        <v>0.85629072099429138</v>
      </c>
      <c r="AG33" s="306"/>
      <c r="AH33" s="304">
        <v>1.6002253133571887</v>
      </c>
      <c r="AI33" s="304">
        <v>1.202270747298871</v>
      </c>
      <c r="AJ33" s="304">
        <v>0.77185725739668998</v>
      </c>
      <c r="AK33" s="306"/>
      <c r="AL33" s="304">
        <v>0.59441154299273968</v>
      </c>
      <c r="AM33" s="304">
        <v>0.56295041357350584</v>
      </c>
      <c r="AN33" s="304">
        <v>0.42706042698056157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27.050744726202485</v>
      </c>
      <c r="C34" s="304">
        <f t="shared" si="64"/>
        <v>28.46703019623256</v>
      </c>
      <c r="D34" s="304">
        <f t="shared" si="65"/>
        <v>28.155060798273102</v>
      </c>
      <c r="E34" s="304"/>
      <c r="F34" s="304">
        <v>1.4465361544203059</v>
      </c>
      <c r="G34" s="304">
        <v>1.9727417688276239</v>
      </c>
      <c r="H34" s="304">
        <v>2.5962813400277334</v>
      </c>
      <c r="I34" s="304"/>
      <c r="J34" s="304">
        <v>7.0587081919301662</v>
      </c>
      <c r="K34" s="304">
        <v>9.5083959765496768</v>
      </c>
      <c r="L34" s="304">
        <v>12.966159933388241</v>
      </c>
      <c r="M34" s="304"/>
      <c r="N34" s="304">
        <v>8.1428326506841024</v>
      </c>
      <c r="O34" s="304">
        <v>7.557167675316923</v>
      </c>
      <c r="P34" s="304">
        <v>5.7484947863403644</v>
      </c>
      <c r="Q34" s="306"/>
      <c r="R34" s="304">
        <v>1.2690599585043059</v>
      </c>
      <c r="S34" s="304">
        <v>1.2337738566034404</v>
      </c>
      <c r="T34" s="304">
        <v>1.0822785412664346</v>
      </c>
      <c r="U34" s="306"/>
      <c r="V34" s="304">
        <v>3.3349684971483526</v>
      </c>
      <c r="W34" s="304">
        <v>3.1796261177274716</v>
      </c>
      <c r="X34" s="304">
        <v>2.6868964022170521</v>
      </c>
      <c r="Y34" s="306"/>
      <c r="Z34" s="304">
        <v>2.9696414086508693</v>
      </c>
      <c r="AA34" s="304">
        <v>2.488256442369396</v>
      </c>
      <c r="AB34" s="304">
        <v>1.6761103882968669</v>
      </c>
      <c r="AC34" s="306"/>
      <c r="AD34" s="304">
        <v>1.3148142201779807</v>
      </c>
      <c r="AE34" s="304">
        <v>1.1018642639993548</v>
      </c>
      <c r="AF34" s="304">
        <v>0.43170323604505817</v>
      </c>
      <c r="AG34" s="306"/>
      <c r="AH34" s="304">
        <v>1.1725903919309448</v>
      </c>
      <c r="AI34" s="304">
        <v>1.0303078074545573</v>
      </c>
      <c r="AJ34" s="304">
        <v>0.5898387132709848</v>
      </c>
      <c r="AK34" s="306"/>
      <c r="AL34" s="304">
        <v>0.34159325275545688</v>
      </c>
      <c r="AM34" s="304">
        <v>0.3948962873841147</v>
      </c>
      <c r="AN34" s="304">
        <v>0.3772974574203678</v>
      </c>
    </row>
    <row r="35" spans="1:40" x14ac:dyDescent="0.2">
      <c r="A35" s="13" t="str">
        <f t="shared" si="63"/>
        <v>Associate professional occupations</v>
      </c>
      <c r="B35" s="304">
        <f t="shared" si="66"/>
        <v>26.201692073933089</v>
      </c>
      <c r="C35" s="304">
        <f t="shared" si="64"/>
        <v>24.730176095775391</v>
      </c>
      <c r="D35" s="304">
        <f t="shared" si="65"/>
        <v>23.750198927134434</v>
      </c>
      <c r="E35" s="304"/>
      <c r="F35" s="304">
        <v>0.59037224390179888</v>
      </c>
      <c r="G35" s="304">
        <v>0.71616730718659749</v>
      </c>
      <c r="H35" s="304">
        <v>0.98725557886083293</v>
      </c>
      <c r="I35" s="304"/>
      <c r="J35" s="304">
        <v>5.234444963583603</v>
      </c>
      <c r="K35" s="304">
        <v>6.3342759198682117</v>
      </c>
      <c r="L35" s="304">
        <v>8.8453059489610251</v>
      </c>
      <c r="M35" s="304"/>
      <c r="N35" s="304">
        <v>8.2839140119202508</v>
      </c>
      <c r="O35" s="304">
        <v>7.5216516577076131</v>
      </c>
      <c r="P35" s="304">
        <v>6.3732819306348798</v>
      </c>
      <c r="Q35" s="306"/>
      <c r="R35" s="304">
        <v>2.0483824365568228</v>
      </c>
      <c r="S35" s="304">
        <v>2.0330740711504136</v>
      </c>
      <c r="T35" s="304">
        <v>1.9583603792481568</v>
      </c>
      <c r="U35" s="306"/>
      <c r="V35" s="304">
        <v>2.4821801876822804</v>
      </c>
      <c r="W35" s="304">
        <v>2.2501087321074658</v>
      </c>
      <c r="X35" s="304">
        <v>2.1022461579737373</v>
      </c>
      <c r="Y35" s="306"/>
      <c r="Z35" s="304">
        <v>3.8242349440052306</v>
      </c>
      <c r="AA35" s="304">
        <v>3.0332219460507157</v>
      </c>
      <c r="AB35" s="304">
        <v>1.9749537685537444</v>
      </c>
      <c r="AC35" s="306"/>
      <c r="AD35" s="304">
        <v>2.0578339989355516</v>
      </c>
      <c r="AE35" s="304">
        <v>1.6983240312868031</v>
      </c>
      <c r="AF35" s="304">
        <v>0.87786563095323322</v>
      </c>
      <c r="AG35" s="306"/>
      <c r="AH35" s="304">
        <v>1.4149724023556978</v>
      </c>
      <c r="AI35" s="304">
        <v>0.88758950705492135</v>
      </c>
      <c r="AJ35" s="304">
        <v>0.46625660101427358</v>
      </c>
      <c r="AK35" s="306"/>
      <c r="AL35" s="304">
        <v>0.2653568849918499</v>
      </c>
      <c r="AM35" s="304">
        <v>0.25576292336264961</v>
      </c>
      <c r="AN35" s="304">
        <v>0.16467293093455471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12.63011578126987</v>
      </c>
      <c r="C36" s="304">
        <f t="shared" si="64"/>
        <v>11.437628615148688</v>
      </c>
      <c r="D36" s="304">
        <f t="shared" si="65"/>
        <v>9.8231125963463874</v>
      </c>
      <c r="E36" s="304"/>
      <c r="F36" s="304">
        <v>8.1297097267472904E-2</v>
      </c>
      <c r="G36" s="304">
        <v>0.10712442801373591</v>
      </c>
      <c r="H36" s="304">
        <v>0.16574712121393989</v>
      </c>
      <c r="I36" s="304"/>
      <c r="J36" s="304">
        <v>1.415435370175758</v>
      </c>
      <c r="K36" s="304">
        <v>1.8061527040274838</v>
      </c>
      <c r="L36" s="304">
        <v>2.8571852081119977</v>
      </c>
      <c r="M36" s="304"/>
      <c r="N36" s="304">
        <v>2.1924517990089831</v>
      </c>
      <c r="O36" s="304">
        <v>2.0776384216679662</v>
      </c>
      <c r="P36" s="304">
        <v>1.9385393416129775</v>
      </c>
      <c r="Q36" s="306"/>
      <c r="R36" s="304">
        <v>1.2477742634489983</v>
      </c>
      <c r="S36" s="304">
        <v>1.2220871235849284</v>
      </c>
      <c r="T36" s="304">
        <v>1.1912159470348818</v>
      </c>
      <c r="U36" s="306"/>
      <c r="V36" s="304">
        <v>1.5243952707494159</v>
      </c>
      <c r="W36" s="304">
        <v>1.4616653162621314</v>
      </c>
      <c r="X36" s="304">
        <v>1.5142276793046017</v>
      </c>
      <c r="Y36" s="306"/>
      <c r="Z36" s="304">
        <v>2.1124873614034718</v>
      </c>
      <c r="AA36" s="304">
        <v>1.7642384659362791</v>
      </c>
      <c r="AB36" s="304">
        <v>1.1694839158740371</v>
      </c>
      <c r="AC36" s="306"/>
      <c r="AD36" s="304">
        <v>2.2288568329399081</v>
      </c>
      <c r="AE36" s="304">
        <v>1.7267611467843245</v>
      </c>
      <c r="AF36" s="304">
        <v>0.69499458936253256</v>
      </c>
      <c r="AG36" s="306"/>
      <c r="AH36" s="304">
        <v>1.6348529112786141</v>
      </c>
      <c r="AI36" s="304">
        <v>1.1279912711798046</v>
      </c>
      <c r="AJ36" s="304">
        <v>0.24512410346520769</v>
      </c>
      <c r="AK36" s="306"/>
      <c r="AL36" s="304">
        <v>0.19256487499724831</v>
      </c>
      <c r="AM36" s="304">
        <v>0.14396973769203358</v>
      </c>
      <c r="AN36" s="304">
        <v>4.6594690366209203E-2</v>
      </c>
    </row>
    <row r="37" spans="1:40" x14ac:dyDescent="0.2">
      <c r="A37" s="13" t="str">
        <f t="shared" si="63"/>
        <v>Skilled trades occupations</v>
      </c>
      <c r="B37" s="304">
        <f t="shared" si="66"/>
        <v>22.8142460933535</v>
      </c>
      <c r="C37" s="304">
        <f t="shared" si="64"/>
        <v>21.675444862294221</v>
      </c>
      <c r="D37" s="304">
        <f t="shared" si="65"/>
        <v>17.82547826692349</v>
      </c>
      <c r="E37" s="304"/>
      <c r="F37" s="304">
        <v>0.17523183460018113</v>
      </c>
      <c r="G37" s="304">
        <v>0.25175001387320572</v>
      </c>
      <c r="H37" s="304">
        <v>0.33482580476503182</v>
      </c>
      <c r="I37" s="304"/>
      <c r="J37" s="304">
        <v>1.516282290821763</v>
      </c>
      <c r="K37" s="304">
        <v>2.429223623030067</v>
      </c>
      <c r="L37" s="304">
        <v>4.1173324327413505</v>
      </c>
      <c r="M37" s="304"/>
      <c r="N37" s="304">
        <v>2.6493768751953803</v>
      </c>
      <c r="O37" s="304">
        <v>2.9511314291191644</v>
      </c>
      <c r="P37" s="304">
        <v>3.0082837428900064</v>
      </c>
      <c r="Q37" s="306"/>
      <c r="R37" s="304">
        <v>1.0888444483514876</v>
      </c>
      <c r="S37" s="304">
        <v>1.1314889015435261</v>
      </c>
      <c r="T37" s="304">
        <v>1.1300702834478888</v>
      </c>
      <c r="U37" s="306"/>
      <c r="V37" s="304">
        <v>2.2927084382538414</v>
      </c>
      <c r="W37" s="304">
        <v>2.3493380089986227</v>
      </c>
      <c r="X37" s="304">
        <v>2.2676216919619319</v>
      </c>
      <c r="Y37" s="306"/>
      <c r="Z37" s="304">
        <v>5.9316051383913448</v>
      </c>
      <c r="AA37" s="304">
        <v>4.4577910718660672</v>
      </c>
      <c r="AB37" s="304">
        <v>2.6418160634091024</v>
      </c>
      <c r="AC37" s="306"/>
      <c r="AD37" s="304">
        <v>3.9513738829525096</v>
      </c>
      <c r="AE37" s="304">
        <v>3.6136018226258568</v>
      </c>
      <c r="AF37" s="304">
        <v>1.9731152124358473</v>
      </c>
      <c r="AG37" s="306"/>
      <c r="AH37" s="304">
        <v>3.7189420106096511</v>
      </c>
      <c r="AI37" s="304">
        <v>3.3236515287354367</v>
      </c>
      <c r="AJ37" s="304">
        <v>2.0058113646909805</v>
      </c>
      <c r="AK37" s="306"/>
      <c r="AL37" s="304">
        <v>1.4898811741773399</v>
      </c>
      <c r="AM37" s="304">
        <v>1.1674684625022758</v>
      </c>
      <c r="AN37" s="304">
        <v>0.34660167058135127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2.1686462493049912</v>
      </c>
      <c r="C38" s="304">
        <f t="shared" si="64"/>
        <v>2.3061256007566362</v>
      </c>
      <c r="D38" s="304">
        <f t="shared" si="65"/>
        <v>2.2346866911903138</v>
      </c>
      <c r="E38" s="304"/>
      <c r="F38" s="304">
        <v>4.4406822792945236E-2</v>
      </c>
      <c r="G38" s="304">
        <v>4.9859267493828192E-2</v>
      </c>
      <c r="H38" s="304">
        <v>6.3112904969317457E-2</v>
      </c>
      <c r="I38" s="304"/>
      <c r="J38" s="304">
        <v>8.0331396128904192E-2</v>
      </c>
      <c r="K38" s="304">
        <v>0.11922751463185326</v>
      </c>
      <c r="L38" s="304">
        <v>0.1775028702705671</v>
      </c>
      <c r="M38" s="304"/>
      <c r="N38" s="304">
        <v>0.28023092810486677</v>
      </c>
      <c r="O38" s="304">
        <v>0.25916981161949199</v>
      </c>
      <c r="P38" s="304">
        <v>0.21759334276798342</v>
      </c>
      <c r="Q38" s="306"/>
      <c r="R38" s="304">
        <v>8.5509561622658159E-2</v>
      </c>
      <c r="S38" s="304">
        <v>7.6591576136157455E-2</v>
      </c>
      <c r="T38" s="304">
        <v>6.6056779464701593E-2</v>
      </c>
      <c r="U38" s="306"/>
      <c r="V38" s="304">
        <v>0.27805971026473086</v>
      </c>
      <c r="W38" s="304">
        <v>0.29829075580576458</v>
      </c>
      <c r="X38" s="304">
        <v>0.30935065006570955</v>
      </c>
      <c r="Y38" s="306"/>
      <c r="Z38" s="304">
        <v>0.27680269745469888</v>
      </c>
      <c r="AA38" s="304">
        <v>0.26517905403178921</v>
      </c>
      <c r="AB38" s="304">
        <v>0.20577897881845772</v>
      </c>
      <c r="AC38" s="306"/>
      <c r="AD38" s="304">
        <v>0.31908488280976161</v>
      </c>
      <c r="AE38" s="304">
        <v>0.32744352637888685</v>
      </c>
      <c r="AF38" s="304">
        <v>0.26233609311948924</v>
      </c>
      <c r="AG38" s="306"/>
      <c r="AH38" s="304">
        <v>0.68342189835496814</v>
      </c>
      <c r="AI38" s="304">
        <v>0.78354085033987875</v>
      </c>
      <c r="AJ38" s="304">
        <v>0.82950562353912993</v>
      </c>
      <c r="AK38" s="306"/>
      <c r="AL38" s="304">
        <v>0.12079835177145758</v>
      </c>
      <c r="AM38" s="304">
        <v>0.12682324431898562</v>
      </c>
      <c r="AN38" s="304">
        <v>0.10344944817495774</v>
      </c>
    </row>
    <row r="39" spans="1:40" x14ac:dyDescent="0.2">
      <c r="A39" s="13" t="str">
        <f t="shared" si="63"/>
        <v>Sales and customer service occupations</v>
      </c>
      <c r="B39" s="304">
        <f t="shared" si="66"/>
        <v>5.3095129453894119</v>
      </c>
      <c r="C39" s="304">
        <f t="shared" si="64"/>
        <v>5.36594080061949</v>
      </c>
      <c r="D39" s="304">
        <f t="shared" si="65"/>
        <v>4.9696074086490061</v>
      </c>
      <c r="E39" s="304"/>
      <c r="F39" s="304">
        <v>5.2109914640460039E-2</v>
      </c>
      <c r="G39" s="304">
        <v>6.6421286234901913E-2</v>
      </c>
      <c r="H39" s="304">
        <v>9.3249807049671798E-2</v>
      </c>
      <c r="I39" s="304"/>
      <c r="J39" s="304">
        <v>0.78733531187979455</v>
      </c>
      <c r="K39" s="304">
        <v>1.0767146349845631</v>
      </c>
      <c r="L39" s="304">
        <v>1.4888900783727763</v>
      </c>
      <c r="M39" s="304"/>
      <c r="N39" s="304">
        <v>1.2574772140792096</v>
      </c>
      <c r="O39" s="304">
        <v>1.3189572851054152</v>
      </c>
      <c r="P39" s="304">
        <v>1.2303812838153358</v>
      </c>
      <c r="Q39" s="306"/>
      <c r="R39" s="304">
        <v>0.38094712138518799</v>
      </c>
      <c r="S39" s="304">
        <v>0.40183446263495159</v>
      </c>
      <c r="T39" s="304">
        <v>0.36344414679560877</v>
      </c>
      <c r="U39" s="306"/>
      <c r="V39" s="304">
        <v>0.44729443146019288</v>
      </c>
      <c r="W39" s="304">
        <v>0.47351048651082839</v>
      </c>
      <c r="X39" s="304">
        <v>0.45049497715570158</v>
      </c>
      <c r="Y39" s="306"/>
      <c r="Z39" s="304">
        <v>0.97789190308215235</v>
      </c>
      <c r="AA39" s="304">
        <v>0.85734692500717458</v>
      </c>
      <c r="AB39" s="304">
        <v>0.60302733475853543</v>
      </c>
      <c r="AC39" s="306"/>
      <c r="AD39" s="304">
        <v>0.712405325495577</v>
      </c>
      <c r="AE39" s="304">
        <v>0.667325102610551</v>
      </c>
      <c r="AF39" s="304">
        <v>0.45946096372967055</v>
      </c>
      <c r="AG39" s="306"/>
      <c r="AH39" s="304">
        <v>0.42039809815850598</v>
      </c>
      <c r="AI39" s="304">
        <v>0.24839415980888468</v>
      </c>
      <c r="AJ39" s="304">
        <v>0.10534810222020928</v>
      </c>
      <c r="AK39" s="306"/>
      <c r="AL39" s="304">
        <v>0.27365362520833159</v>
      </c>
      <c r="AM39" s="304">
        <v>0.25543645772221946</v>
      </c>
      <c r="AN39" s="304">
        <v>0.17531071475149693</v>
      </c>
    </row>
    <row r="40" spans="1:40" x14ac:dyDescent="0.2">
      <c r="A40" s="13" t="str">
        <f t="shared" si="63"/>
        <v>Process, plant and machine operatives</v>
      </c>
      <c r="B40" s="304">
        <f t="shared" si="66"/>
        <v>14.543917992579031</v>
      </c>
      <c r="C40" s="304">
        <f t="shared" si="64"/>
        <v>15.580617249669732</v>
      </c>
      <c r="D40" s="304">
        <f t="shared" si="65"/>
        <v>14.456643759984269</v>
      </c>
      <c r="E40" s="304"/>
      <c r="F40" s="304">
        <v>2.6892710528711578E-2</v>
      </c>
      <c r="G40" s="304">
        <v>4.9525788270550847E-2</v>
      </c>
      <c r="H40" s="304">
        <v>8.5619197746403253E-2</v>
      </c>
      <c r="I40" s="304"/>
      <c r="J40" s="304">
        <v>0.73192313946586618</v>
      </c>
      <c r="K40" s="304">
        <v>1.2387581237874301</v>
      </c>
      <c r="L40" s="304">
        <v>2.2616184191264965</v>
      </c>
      <c r="M40" s="304"/>
      <c r="N40" s="304">
        <v>0.84408600075532803</v>
      </c>
      <c r="O40" s="304">
        <v>1.0739449668689498</v>
      </c>
      <c r="P40" s="304">
        <v>1.3663290921403253</v>
      </c>
      <c r="Q40" s="306"/>
      <c r="R40" s="305">
        <v>0.50108080748162431</v>
      </c>
      <c r="S40" s="305">
        <v>0.56529478962795088</v>
      </c>
      <c r="T40" s="305">
        <v>0.55353228995501436</v>
      </c>
      <c r="U40" s="306"/>
      <c r="V40" s="305">
        <v>1.3220507739685363</v>
      </c>
      <c r="W40" s="305">
        <v>1.6716268333487683</v>
      </c>
      <c r="X40" s="305">
        <v>1.7189179026429739</v>
      </c>
      <c r="Y40" s="306"/>
      <c r="Z40" s="305">
        <v>2.7899028976090716</v>
      </c>
      <c r="AA40" s="305">
        <v>2.7548398761148509</v>
      </c>
      <c r="AB40" s="305">
        <v>2.2113645835739768</v>
      </c>
      <c r="AC40" s="306"/>
      <c r="AD40" s="305">
        <v>2.6545662192263051</v>
      </c>
      <c r="AE40" s="305">
        <v>2.8373769269319746</v>
      </c>
      <c r="AF40" s="305">
        <v>2.2519322334070715</v>
      </c>
      <c r="AG40" s="306"/>
      <c r="AH40" s="305">
        <v>4.2871893824679139</v>
      </c>
      <c r="AI40" s="305">
        <v>4.2304382258098157</v>
      </c>
      <c r="AJ40" s="305">
        <v>3.4323809873136439</v>
      </c>
      <c r="AK40" s="306"/>
      <c r="AL40" s="305">
        <v>1.3862260610756729</v>
      </c>
      <c r="AM40" s="305">
        <v>1.1588117189094411</v>
      </c>
      <c r="AN40" s="305">
        <v>0.57494905407836328</v>
      </c>
    </row>
    <row r="41" spans="1:40" x14ac:dyDescent="0.2">
      <c r="A41" s="38" t="str">
        <f t="shared" si="63"/>
        <v>Elementary occupations</v>
      </c>
      <c r="B41" s="307">
        <f t="shared" si="66"/>
        <v>9.9909983188340163</v>
      </c>
      <c r="C41" s="307">
        <f t="shared" si="64"/>
        <v>8.8918284447325835</v>
      </c>
      <c r="D41" s="307">
        <f>SUM(H41,L41,P41,T41,X41,AB41,AF41,AJ41,AN41)</f>
        <v>7.102215673351397</v>
      </c>
      <c r="E41" s="307"/>
      <c r="F41" s="307">
        <v>1.6071316717752793E-2</v>
      </c>
      <c r="G41" s="307">
        <v>2.2649748545723818E-2</v>
      </c>
      <c r="H41" s="307">
        <v>3.6690296147443742E-2</v>
      </c>
      <c r="I41" s="307"/>
      <c r="J41" s="307">
        <v>0.16237159442517549</v>
      </c>
      <c r="K41" s="307">
        <v>0.24440975750458022</v>
      </c>
      <c r="L41" s="307">
        <v>0.38926193478022586</v>
      </c>
      <c r="M41" s="307"/>
      <c r="N41" s="307">
        <v>0.79923820594698702</v>
      </c>
      <c r="O41" s="307">
        <v>0.79032583364020337</v>
      </c>
      <c r="P41" s="307">
        <v>0.78877114669387838</v>
      </c>
      <c r="Q41" s="308"/>
      <c r="R41" s="307">
        <v>0.55213454287329278</v>
      </c>
      <c r="S41" s="307">
        <v>0.51083708977011077</v>
      </c>
      <c r="T41" s="307">
        <v>0.51919452786314557</v>
      </c>
      <c r="U41" s="308"/>
      <c r="V41" s="307">
        <v>0.4755456131166429</v>
      </c>
      <c r="W41" s="307">
        <v>0.44849420510181398</v>
      </c>
      <c r="X41" s="307">
        <v>0.40790076584522128</v>
      </c>
      <c r="Y41" s="308"/>
      <c r="Z41" s="307">
        <v>1.0670668743425868</v>
      </c>
      <c r="AA41" s="307">
        <v>0.85150562468969226</v>
      </c>
      <c r="AB41" s="307">
        <v>0.67700920032405598</v>
      </c>
      <c r="AC41" s="308"/>
      <c r="AD41" s="307">
        <v>2.2594855356638441</v>
      </c>
      <c r="AE41" s="307">
        <v>2.1667601427025489</v>
      </c>
      <c r="AF41" s="307">
        <v>1.7582917146525303</v>
      </c>
      <c r="AG41" s="308"/>
      <c r="AH41" s="307">
        <v>3.5660913290290281</v>
      </c>
      <c r="AI41" s="307">
        <v>3.1230551932138133</v>
      </c>
      <c r="AJ41" s="307">
        <v>2.183753585208287</v>
      </c>
      <c r="AK41" s="308"/>
      <c r="AL41" s="307">
        <v>1.0929933067187068</v>
      </c>
      <c r="AM41" s="307">
        <v>0.73379084956409613</v>
      </c>
      <c r="AN41" s="307">
        <v>0.34134250183660847</v>
      </c>
    </row>
    <row r="42" spans="1:40" x14ac:dyDescent="0.2">
      <c r="B42" s="31"/>
      <c r="C42" s="31"/>
      <c r="D42" s="31"/>
    </row>
    <row r="43" spans="1:40" ht="15.75" x14ac:dyDescent="0.25">
      <c r="A43" s="18" t="str">
        <f>CONCATENATE(A1," (Continued)")</f>
        <v>Basic Table 1  Employment by Industry Sector, Occupation Group and Qualification, 2020-2035, London (Continued)</v>
      </c>
    </row>
    <row r="44" spans="1:40" ht="12.75" customHeight="1" x14ac:dyDescent="0.25">
      <c r="A44" s="18"/>
    </row>
    <row r="45" spans="1:40" ht="12.75" customHeight="1" x14ac:dyDescent="0.25">
      <c r="A45" s="18"/>
    </row>
    <row r="46" spans="1:40" ht="26.25" customHeight="1" x14ac:dyDescent="0.2">
      <c r="A46" s="77"/>
      <c r="B46" s="77"/>
      <c r="C46" s="78" t="str">
        <f>B4</f>
        <v>All qualifications</v>
      </c>
      <c r="D46" s="77"/>
      <c r="E46" s="77"/>
      <c r="F46" s="77"/>
      <c r="G46" s="78" t="str">
        <f>F4</f>
        <v>RQF8 Doctorate</v>
      </c>
      <c r="H46" s="77"/>
      <c r="I46" s="77"/>
      <c r="J46" s="77"/>
      <c r="K46" s="78" t="str">
        <f>J4</f>
        <v>RQF7 Other higher degree</v>
      </c>
      <c r="L46" s="77"/>
      <c r="M46" s="77"/>
      <c r="N46" s="379" t="str">
        <f>N4</f>
        <v>RQF6 First degree</v>
      </c>
      <c r="O46" s="379"/>
      <c r="P46" s="379"/>
      <c r="Q46" s="77"/>
      <c r="R46" s="379" t="str">
        <f>R4</f>
        <v>RQF5 Foundation degree;Nursing;Teaching</v>
      </c>
      <c r="S46" s="379"/>
      <c r="T46" s="379"/>
      <c r="U46" s="77"/>
      <c r="V46" s="379" t="str">
        <f>V4</f>
        <v>RQF4 HE below degree level</v>
      </c>
      <c r="W46" s="379"/>
      <c r="X46" s="379"/>
      <c r="Y46" s="77"/>
      <c r="Z46" s="379" t="str">
        <f>Z4</f>
        <v>RQF3 A level &amp; equivalent</v>
      </c>
      <c r="AA46" s="379"/>
      <c r="AB46" s="379"/>
      <c r="AC46" s="77"/>
      <c r="AD46" s="379" t="str">
        <f>AD4</f>
        <v>RQF2 GCSE(A-C) &amp; equivalent</v>
      </c>
      <c r="AE46" s="379"/>
      <c r="AF46" s="379"/>
      <c r="AG46" s="77"/>
      <c r="AH46" s="379" t="str">
        <f>AH4</f>
        <v>RQF1 GCSE(below grade C) &amp; equivalent</v>
      </c>
      <c r="AI46" s="379"/>
      <c r="AJ46" s="379"/>
      <c r="AK46" s="77"/>
      <c r="AL46" s="379" t="str">
        <f>AL4</f>
        <v>No Qualification</v>
      </c>
      <c r="AM46" s="379"/>
      <c r="AN46" s="379"/>
    </row>
    <row r="47" spans="1:40" x14ac:dyDescent="0.2">
      <c r="A47" s="38"/>
      <c r="B47" s="41">
        <f>B5</f>
        <v>2020</v>
      </c>
      <c r="C47" s="41">
        <f>C5</f>
        <v>2025</v>
      </c>
      <c r="D47" s="41">
        <f>D5</f>
        <v>2035</v>
      </c>
      <c r="E47" s="38"/>
      <c r="F47" s="34">
        <f>B47</f>
        <v>2020</v>
      </c>
      <c r="G47" s="34">
        <f>C47</f>
        <v>2025</v>
      </c>
      <c r="H47" s="34">
        <f>D47</f>
        <v>2035</v>
      </c>
      <c r="I47" s="38"/>
      <c r="J47" s="34">
        <f>B47</f>
        <v>2020</v>
      </c>
      <c r="K47" s="34">
        <f>C47</f>
        <v>2025</v>
      </c>
      <c r="L47" s="34">
        <f>D47</f>
        <v>2035</v>
      </c>
      <c r="M47" s="38"/>
      <c r="N47" s="34">
        <f>B47</f>
        <v>2020</v>
      </c>
      <c r="O47" s="34">
        <f>C47</f>
        <v>2025</v>
      </c>
      <c r="P47" s="34">
        <f>D47</f>
        <v>2035</v>
      </c>
      <c r="Q47" s="38"/>
      <c r="R47" s="34">
        <f>F47</f>
        <v>2020</v>
      </c>
      <c r="S47" s="34">
        <f>G47</f>
        <v>2025</v>
      </c>
      <c r="T47" s="34">
        <f>H47</f>
        <v>2035</v>
      </c>
      <c r="U47" s="38"/>
      <c r="V47" s="34">
        <f>J47</f>
        <v>2020</v>
      </c>
      <c r="W47" s="34">
        <f>K47</f>
        <v>2025</v>
      </c>
      <c r="X47" s="34">
        <f>L47</f>
        <v>2035</v>
      </c>
      <c r="Y47" s="38"/>
      <c r="Z47" s="34">
        <f>N47</f>
        <v>2020</v>
      </c>
      <c r="AA47" s="34">
        <f>O47</f>
        <v>2025</v>
      </c>
      <c r="AB47" s="34">
        <f>P47</f>
        <v>2035</v>
      </c>
      <c r="AC47" s="38"/>
      <c r="AD47" s="34">
        <f>R47</f>
        <v>2020</v>
      </c>
      <c r="AE47" s="34">
        <f>S47</f>
        <v>2025</v>
      </c>
      <c r="AF47" s="34">
        <f>T47</f>
        <v>2035</v>
      </c>
      <c r="AG47" s="38"/>
      <c r="AH47" s="34">
        <f>V47</f>
        <v>2020</v>
      </c>
      <c r="AI47" s="34">
        <f>W47</f>
        <v>2025</v>
      </c>
      <c r="AJ47" s="34">
        <f>X47</f>
        <v>2035</v>
      </c>
      <c r="AK47" s="38"/>
      <c r="AL47" s="34">
        <f>Z47</f>
        <v>2020</v>
      </c>
      <c r="AM47" s="34">
        <f>AA47</f>
        <v>2025</v>
      </c>
      <c r="AN47" s="34">
        <f>AB47</f>
        <v>2035</v>
      </c>
    </row>
    <row r="48" spans="1:40" x14ac:dyDescent="0.2">
      <c r="B48" s="31"/>
      <c r="C48" s="31"/>
      <c r="D48" s="31"/>
    </row>
    <row r="49" spans="1:40" x14ac:dyDescent="0.2">
      <c r="A49" s="1" t="str">
        <f>name!C6</f>
        <v>Construction</v>
      </c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</row>
    <row r="50" spans="1:40" x14ac:dyDescent="0.2">
      <c r="A50" s="13" t="str">
        <f t="shared" ref="A50:A59" si="67">A8</f>
        <v>All occupations</v>
      </c>
      <c r="B50" s="305">
        <f>SUM(B51:B59)</f>
        <v>297.80299999075248</v>
      </c>
      <c r="C50" s="305">
        <f>SUM(C51:C59)</f>
        <v>330.64299998374986</v>
      </c>
      <c r="D50" s="305">
        <f>SUM(D51:D59)</f>
        <v>379.64199998098923</v>
      </c>
      <c r="E50" s="304"/>
      <c r="F50" s="305">
        <f>SUM(F51:F59)</f>
        <v>1.7847022588934809</v>
      </c>
      <c r="G50" s="305">
        <f>SUM(G51:G59)</f>
        <v>2.9396903359134017</v>
      </c>
      <c r="H50" s="305">
        <f>SUM(H51:H59)</f>
        <v>6.0883232361059241</v>
      </c>
      <c r="I50" s="304"/>
      <c r="J50" s="305">
        <f>SUM(J51:J59)</f>
        <v>29.952388355607965</v>
      </c>
      <c r="K50" s="305">
        <f>SUM(K51:K59)</f>
        <v>48.892982890769147</v>
      </c>
      <c r="L50" s="305">
        <f>SUM(L51:L59)</f>
        <v>96.332120910721812</v>
      </c>
      <c r="M50" s="304"/>
      <c r="N50" s="305">
        <f>SUM(N51:N59)</f>
        <v>38.514101677917132</v>
      </c>
      <c r="O50" s="305">
        <f>SUM(O51:O59)</f>
        <v>42.021437150371298</v>
      </c>
      <c r="P50" s="305">
        <f>SUM(P51:P59)</f>
        <v>47.455510332275423</v>
      </c>
      <c r="Q50" s="304"/>
      <c r="R50" s="305">
        <f>SUM(R51:R59)</f>
        <v>14.522805720917841</v>
      </c>
      <c r="S50" s="305">
        <f>SUM(S51:S59)</f>
        <v>15.925774566678269</v>
      </c>
      <c r="T50" s="305">
        <f>SUM(T51:T59)</f>
        <v>19.671580025863967</v>
      </c>
      <c r="U50" s="304"/>
      <c r="V50" s="305">
        <f>SUM(V51:V59)</f>
        <v>30.390691324502207</v>
      </c>
      <c r="W50" s="305">
        <f>SUM(W51:W59)</f>
        <v>33.234065054282652</v>
      </c>
      <c r="X50" s="305">
        <f>SUM(X51:X59)</f>
        <v>40.816495676727662</v>
      </c>
      <c r="Y50" s="304"/>
      <c r="Z50" s="305">
        <f>SUM(Z51:Z59)</f>
        <v>72.735979667420722</v>
      </c>
      <c r="AA50" s="305">
        <f>SUM(AA51:AA59)</f>
        <v>65.314287185983375</v>
      </c>
      <c r="AB50" s="305">
        <f>SUM(AB51:AB59)</f>
        <v>54.919233069368332</v>
      </c>
      <c r="AC50" s="304"/>
      <c r="AD50" s="305">
        <f>SUM(AD51:AD59)</f>
        <v>55.465856763020078</v>
      </c>
      <c r="AE50" s="305">
        <f>SUM(AE51:AE59)</f>
        <v>65.76841306946713</v>
      </c>
      <c r="AF50" s="305">
        <f>SUM(AF51:AF59)</f>
        <v>66.497191642602004</v>
      </c>
      <c r="AG50" s="304"/>
      <c r="AH50" s="305">
        <f>SUM(AH51:AH59)</f>
        <v>42.487502878050989</v>
      </c>
      <c r="AI50" s="305">
        <f>SUM(AI51:AI59)</f>
        <v>47.528735483933325</v>
      </c>
      <c r="AJ50" s="305">
        <f>SUM(AJ51:AJ59)</f>
        <v>45.437868255500511</v>
      </c>
      <c r="AK50" s="304"/>
      <c r="AL50" s="305">
        <f>SUM(AL51:AL59)</f>
        <v>11.948971344422013</v>
      </c>
      <c r="AM50" s="305">
        <f>SUM(AM51:AM59)</f>
        <v>9.0176142463512967</v>
      </c>
      <c r="AN50" s="305">
        <f>SUM(AN51:AN59)</f>
        <v>2.4236768318236495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33.106848396877915</v>
      </c>
      <c r="C51" s="304">
        <f t="shared" ref="C51:D51" si="68">SUM(G51,K51,O51,S51,W51,AA51,AE51,AI51,AM51)</f>
        <v>34.555482938072892</v>
      </c>
      <c r="D51" s="304">
        <f t="shared" si="68"/>
        <v>42.220343393469257</v>
      </c>
      <c r="E51" s="304"/>
      <c r="F51" s="304">
        <v>0.34546110472040786</v>
      </c>
      <c r="G51" s="304">
        <v>0.63062266792692045</v>
      </c>
      <c r="H51" s="304">
        <v>1.3447549630966456</v>
      </c>
      <c r="I51" s="304"/>
      <c r="J51" s="304">
        <v>6.2856435889463977</v>
      </c>
      <c r="K51" s="304">
        <v>9.9195702822324634</v>
      </c>
      <c r="L51" s="304">
        <v>19.636502983124569</v>
      </c>
      <c r="M51" s="304"/>
      <c r="N51" s="304">
        <v>7.3049191047078494</v>
      </c>
      <c r="O51" s="304">
        <v>7.2533540801225254</v>
      </c>
      <c r="P51" s="304">
        <v>7.3975642397186219</v>
      </c>
      <c r="Q51" s="304"/>
      <c r="R51" s="304">
        <v>1.9064929631568857</v>
      </c>
      <c r="S51" s="304">
        <v>1.7120908994580943</v>
      </c>
      <c r="T51" s="304">
        <v>1.5717005335528378</v>
      </c>
      <c r="U51" s="304"/>
      <c r="V51" s="304">
        <v>4.926972151727381</v>
      </c>
      <c r="W51" s="304">
        <v>4.6310931530544224</v>
      </c>
      <c r="X51" s="304">
        <v>5.0031623008115886</v>
      </c>
      <c r="Y51" s="304"/>
      <c r="Z51" s="304">
        <v>5.42643548593818</v>
      </c>
      <c r="AA51" s="304">
        <v>3.8582969409671581</v>
      </c>
      <c r="AB51" s="304">
        <v>2.6211256259584967</v>
      </c>
      <c r="AC51" s="304"/>
      <c r="AD51" s="304">
        <v>3.5112653753697569</v>
      </c>
      <c r="AE51" s="304">
        <v>3.2735938794592725</v>
      </c>
      <c r="AF51" s="304">
        <v>2.4135785316158835</v>
      </c>
      <c r="AG51" s="304"/>
      <c r="AH51" s="304">
        <v>2.6438412477318658</v>
      </c>
      <c r="AI51" s="304">
        <v>2.4664245608223343</v>
      </c>
      <c r="AJ51" s="304">
        <v>1.587247711387606</v>
      </c>
      <c r="AK51" s="304"/>
      <c r="AL51" s="304">
        <v>0.7558173745791873</v>
      </c>
      <c r="AM51" s="304">
        <v>0.81043647402969998</v>
      </c>
      <c r="AN51" s="304">
        <v>0.64470650420301101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45.286407599817991</v>
      </c>
      <c r="C52" s="304">
        <f t="shared" ref="C52:C59" si="70">SUM(G52,K52,O52,S52,W52,AA52,AE52,AI52,AM52)</f>
        <v>53.502263662335302</v>
      </c>
      <c r="D52" s="304">
        <f t="shared" ref="D52:D59" si="71">SUM(H52,L52,P52,T52,X52,AB52,AF52,AJ52,AN52)</f>
        <v>68.096367610358712</v>
      </c>
      <c r="E52" s="304"/>
      <c r="F52" s="304">
        <v>0.81941817947491247</v>
      </c>
      <c r="G52" s="304">
        <v>1.2546746728103533</v>
      </c>
      <c r="H52" s="304">
        <v>2.0923334205490263</v>
      </c>
      <c r="I52" s="304"/>
      <c r="J52" s="304">
        <v>13.122988293560491</v>
      </c>
      <c r="K52" s="304">
        <v>21.392581908292275</v>
      </c>
      <c r="L52" s="304">
        <v>39.500202480056238</v>
      </c>
      <c r="M52" s="304"/>
      <c r="N52" s="304">
        <v>12.005394811848143</v>
      </c>
      <c r="O52" s="304">
        <v>12.365113676669443</v>
      </c>
      <c r="P52" s="304">
        <v>11.675795844753035</v>
      </c>
      <c r="Q52" s="304"/>
      <c r="R52" s="304">
        <v>1.4993452313828097</v>
      </c>
      <c r="S52" s="304">
        <v>1.3468940138814109</v>
      </c>
      <c r="T52" s="304">
        <v>1.4795795158216178</v>
      </c>
      <c r="U52" s="304"/>
      <c r="V52" s="304">
        <v>4.3557687227086541</v>
      </c>
      <c r="W52" s="304">
        <v>3.6526239248748387</v>
      </c>
      <c r="X52" s="304">
        <v>2.4969758383052185</v>
      </c>
      <c r="Y52" s="304"/>
      <c r="Z52" s="304">
        <v>7.0186514373094626</v>
      </c>
      <c r="AA52" s="304">
        <v>6.371920414323295</v>
      </c>
      <c r="AB52" s="304">
        <v>5.2193722655282464</v>
      </c>
      <c r="AC52" s="304"/>
      <c r="AD52" s="304">
        <v>3.6097947611681702</v>
      </c>
      <c r="AE52" s="304">
        <v>4.0323103297347327</v>
      </c>
      <c r="AF52" s="304">
        <v>3.424860274345336</v>
      </c>
      <c r="AG52" s="304"/>
      <c r="AH52" s="304">
        <v>2.2851809631803013</v>
      </c>
      <c r="AI52" s="304">
        <v>2.5261610993663806</v>
      </c>
      <c r="AJ52" s="304">
        <v>1.9394898576204933</v>
      </c>
      <c r="AK52" s="304"/>
      <c r="AL52" s="304">
        <v>0.56986519918504464</v>
      </c>
      <c r="AM52" s="304">
        <v>0.55998362238256782</v>
      </c>
      <c r="AN52" s="304">
        <v>0.26775811337951538</v>
      </c>
    </row>
    <row r="53" spans="1:40" x14ac:dyDescent="0.2">
      <c r="A53" s="13" t="str">
        <f t="shared" si="67"/>
        <v>Associate professional occupations</v>
      </c>
      <c r="B53" s="304">
        <f t="shared" si="69"/>
        <v>24.018144440168143</v>
      </c>
      <c r="C53" s="304">
        <f t="shared" si="70"/>
        <v>24.160728387507394</v>
      </c>
      <c r="D53" s="304">
        <f t="shared" si="71"/>
        <v>29.457553444531587</v>
      </c>
      <c r="E53" s="304"/>
      <c r="F53" s="304">
        <v>9.4946878903421697E-2</v>
      </c>
      <c r="G53" s="304">
        <v>0.1558289426009446</v>
      </c>
      <c r="H53" s="304">
        <v>0.35391701011402726</v>
      </c>
      <c r="I53" s="304"/>
      <c r="J53" s="304">
        <v>3.887847434494399</v>
      </c>
      <c r="K53" s="304">
        <v>5.8632639015510994</v>
      </c>
      <c r="L53" s="304">
        <v>11.487975224886831</v>
      </c>
      <c r="M53" s="304"/>
      <c r="N53" s="304">
        <v>4.8226245142825537</v>
      </c>
      <c r="O53" s="304">
        <v>4.5738779524318023</v>
      </c>
      <c r="P53" s="304">
        <v>4.6847162548261752</v>
      </c>
      <c r="Q53" s="304"/>
      <c r="R53" s="304">
        <v>2.3426234465343758</v>
      </c>
      <c r="S53" s="304">
        <v>2.4861105016123615</v>
      </c>
      <c r="T53" s="304">
        <v>2.934832930845213</v>
      </c>
      <c r="U53" s="304"/>
      <c r="V53" s="304">
        <v>4.0943098075543505</v>
      </c>
      <c r="W53" s="304">
        <v>3.4514333983826355</v>
      </c>
      <c r="X53" s="304">
        <v>3.521812493289743</v>
      </c>
      <c r="Y53" s="304"/>
      <c r="Z53" s="304">
        <v>3.1422989944846784</v>
      </c>
      <c r="AA53" s="304">
        <v>2.0182933267471355</v>
      </c>
      <c r="AB53" s="304">
        <v>1.3554295375487759</v>
      </c>
      <c r="AC53" s="304"/>
      <c r="AD53" s="304">
        <v>2.8124211418540797</v>
      </c>
      <c r="AE53" s="304">
        <v>2.8210579311992241</v>
      </c>
      <c r="AF53" s="304">
        <v>2.6507957849276162</v>
      </c>
      <c r="AG53" s="304"/>
      <c r="AH53" s="304">
        <v>2.4388054245574269</v>
      </c>
      <c r="AI53" s="304">
        <v>2.4426111036295297</v>
      </c>
      <c r="AJ53" s="304">
        <v>1.9111056348855553</v>
      </c>
      <c r="AK53" s="304"/>
      <c r="AL53" s="304">
        <v>0.38226679750285941</v>
      </c>
      <c r="AM53" s="304">
        <v>0.34825132935266179</v>
      </c>
      <c r="AN53" s="304">
        <v>0.55696857320764726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24.210597929267596</v>
      </c>
      <c r="C54" s="304">
        <f t="shared" si="70"/>
        <v>24.33150540959593</v>
      </c>
      <c r="D54" s="304">
        <f t="shared" si="71"/>
        <v>24.421591935783265</v>
      </c>
      <c r="E54" s="304"/>
      <c r="F54" s="304">
        <v>0.36081940699509524</v>
      </c>
      <c r="G54" s="304">
        <v>0.56633968229307674</v>
      </c>
      <c r="H54" s="304">
        <v>1.4593445461834682</v>
      </c>
      <c r="I54" s="304"/>
      <c r="J54" s="304">
        <v>2.2445712869234096</v>
      </c>
      <c r="K54" s="304">
        <v>3.4558125940897231</v>
      </c>
      <c r="L54" s="304">
        <v>6.5429732677382564</v>
      </c>
      <c r="M54" s="304"/>
      <c r="N54" s="304">
        <v>5.039740092554851</v>
      </c>
      <c r="O54" s="304">
        <v>5.8688682146819424</v>
      </c>
      <c r="P54" s="304">
        <v>7.0733273350839658</v>
      </c>
      <c r="Q54" s="304"/>
      <c r="R54" s="304">
        <v>3.0093816434299714</v>
      </c>
      <c r="S54" s="304">
        <v>3.0926131319699177</v>
      </c>
      <c r="T54" s="304">
        <v>3.5928784803485145</v>
      </c>
      <c r="U54" s="304"/>
      <c r="V54" s="304">
        <v>1.6668024405459951</v>
      </c>
      <c r="W54" s="304">
        <v>1.7202115204710091</v>
      </c>
      <c r="X54" s="304">
        <v>1.9153995216499105</v>
      </c>
      <c r="Y54" s="304"/>
      <c r="Z54" s="304">
        <v>3.1011377489274823</v>
      </c>
      <c r="AA54" s="304">
        <v>2.4648112650404261</v>
      </c>
      <c r="AB54" s="304">
        <v>0.68562779532008922</v>
      </c>
      <c r="AC54" s="304"/>
      <c r="AD54" s="304">
        <v>2.4001240759586144</v>
      </c>
      <c r="AE54" s="304">
        <v>1.5603929193399366</v>
      </c>
      <c r="AF54" s="304">
        <v>0.14097915510219761</v>
      </c>
      <c r="AG54" s="304"/>
      <c r="AH54" s="304">
        <v>5.7460201914461324</v>
      </c>
      <c r="AI54" s="304">
        <v>5.4327748158480995</v>
      </c>
      <c r="AJ54" s="304">
        <v>3.0076111278107907</v>
      </c>
      <c r="AK54" s="304"/>
      <c r="AL54" s="304">
        <v>0.64200104248604217</v>
      </c>
      <c r="AM54" s="304">
        <v>0.16968126586179982</v>
      </c>
      <c r="AN54" s="304">
        <v>3.4507065460723328E-3</v>
      </c>
    </row>
    <row r="55" spans="1:40" x14ac:dyDescent="0.2">
      <c r="A55" s="13" t="str">
        <f t="shared" si="67"/>
        <v>Skilled trades occupations</v>
      </c>
      <c r="B55" s="304">
        <f t="shared" si="69"/>
        <v>135.3216795078304</v>
      </c>
      <c r="C55" s="304">
        <f t="shared" si="70"/>
        <v>154.21623008912013</v>
      </c>
      <c r="D55" s="304">
        <f t="shared" si="71"/>
        <v>170.06702656708603</v>
      </c>
      <c r="E55" s="304"/>
      <c r="F55" s="304">
        <v>5.6972985579001462E-2</v>
      </c>
      <c r="G55" s="304">
        <v>0.10653403023157036</v>
      </c>
      <c r="H55" s="304">
        <v>0.2586956350590342</v>
      </c>
      <c r="I55" s="304"/>
      <c r="J55" s="304">
        <v>3.1552099937327713</v>
      </c>
      <c r="K55" s="304">
        <v>5.9759125663254276</v>
      </c>
      <c r="L55" s="304">
        <v>13.689802855160311</v>
      </c>
      <c r="M55" s="304"/>
      <c r="N55" s="304">
        <v>7.0507787920199547</v>
      </c>
      <c r="O55" s="304">
        <v>9.1354530798892206</v>
      </c>
      <c r="P55" s="304">
        <v>12.850556129478697</v>
      </c>
      <c r="Q55" s="304"/>
      <c r="R55" s="304">
        <v>4.6620960723747267</v>
      </c>
      <c r="S55" s="304">
        <v>5.82672749470653</v>
      </c>
      <c r="T55" s="304">
        <v>7.9028475411988133</v>
      </c>
      <c r="U55" s="304"/>
      <c r="V55" s="304">
        <v>12.164703860900058</v>
      </c>
      <c r="W55" s="304">
        <v>15.714030386107575</v>
      </c>
      <c r="X55" s="304">
        <v>22.479555540125133</v>
      </c>
      <c r="Y55" s="304"/>
      <c r="Z55" s="304">
        <v>45.534014849693925</v>
      </c>
      <c r="AA55" s="304">
        <v>41.733741030893235</v>
      </c>
      <c r="AB55" s="304">
        <v>35.222489448763319</v>
      </c>
      <c r="AC55" s="304"/>
      <c r="AD55" s="304">
        <v>35.598976135515883</v>
      </c>
      <c r="AE55" s="304">
        <v>45.19472314663043</v>
      </c>
      <c r="AF55" s="304">
        <v>48.340065874639727</v>
      </c>
      <c r="AG55" s="304"/>
      <c r="AH55" s="304">
        <v>20.408736021273956</v>
      </c>
      <c r="AI55" s="304">
        <v>25.363700531347963</v>
      </c>
      <c r="AJ55" s="304">
        <v>28.939263665401128</v>
      </c>
      <c r="AK55" s="304"/>
      <c r="AL55" s="304">
        <v>6.6901907967401142</v>
      </c>
      <c r="AM55" s="304">
        <v>5.1654078229881835</v>
      </c>
      <c r="AN55" s="304">
        <v>0.38374987725989163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1.5610832595337338</v>
      </c>
      <c r="C56" s="304">
        <f t="shared" si="70"/>
        <v>1.616452555030669</v>
      </c>
      <c r="D56" s="304">
        <f t="shared" si="71"/>
        <v>1.7786187318985056</v>
      </c>
      <c r="E56" s="304"/>
      <c r="F56" s="304">
        <v>2.8987083132784898E-3</v>
      </c>
      <c r="G56" s="304">
        <v>4.1051600116915801E-3</v>
      </c>
      <c r="H56" s="304">
        <v>1.1322473890981594E-2</v>
      </c>
      <c r="I56" s="304"/>
      <c r="J56" s="304">
        <v>7.4364674508566223E-2</v>
      </c>
      <c r="K56" s="304">
        <v>0.11294691264394896</v>
      </c>
      <c r="L56" s="304">
        <v>0.2101406838149352</v>
      </c>
      <c r="M56" s="304"/>
      <c r="N56" s="304">
        <v>7.1872184380053772E-2</v>
      </c>
      <c r="O56" s="304">
        <v>6.6597252004190199E-2</v>
      </c>
      <c r="P56" s="304">
        <v>7.0426999078889524E-2</v>
      </c>
      <c r="Q56" s="304"/>
      <c r="R56" s="304">
        <v>1.1742020631280718E-2</v>
      </c>
      <c r="S56" s="304">
        <v>1.2251483686135428E-2</v>
      </c>
      <c r="T56" s="304">
        <v>1.339431246546441E-2</v>
      </c>
      <c r="U56" s="304"/>
      <c r="V56" s="304">
        <v>8.2050608804124042E-2</v>
      </c>
      <c r="W56" s="304">
        <v>9.2401702819368076E-2</v>
      </c>
      <c r="X56" s="304">
        <v>0.13063874727270974</v>
      </c>
      <c r="Y56" s="304"/>
      <c r="Z56" s="304">
        <v>0.39278556863861741</v>
      </c>
      <c r="AA56" s="304">
        <v>0.43224030391473145</v>
      </c>
      <c r="AB56" s="304">
        <v>0.46503993344538497</v>
      </c>
      <c r="AC56" s="304"/>
      <c r="AD56" s="304">
        <v>4.4341511051280494E-2</v>
      </c>
      <c r="AE56" s="304">
        <v>3.9078688434100187E-2</v>
      </c>
      <c r="AF56" s="304">
        <v>4.2077527804155863E-2</v>
      </c>
      <c r="AG56" s="304"/>
      <c r="AH56" s="304">
        <v>0.54182644160205584</v>
      </c>
      <c r="AI56" s="304">
        <v>0.52693719496356484</v>
      </c>
      <c r="AJ56" s="304">
        <v>0.68176039078999406</v>
      </c>
      <c r="AK56" s="304"/>
      <c r="AL56" s="304">
        <v>0.33920154160447691</v>
      </c>
      <c r="AM56" s="304">
        <v>0.32989385655293829</v>
      </c>
      <c r="AN56" s="304">
        <v>0.15381766333599026</v>
      </c>
    </row>
    <row r="57" spans="1:40" x14ac:dyDescent="0.2">
      <c r="A57" s="13" t="str">
        <f t="shared" si="67"/>
        <v>Sales and customer service occupations</v>
      </c>
      <c r="B57" s="304">
        <f t="shared" si="69"/>
        <v>4.2926374138088335</v>
      </c>
      <c r="C57" s="304">
        <f t="shared" si="70"/>
        <v>5.0290382037938439</v>
      </c>
      <c r="D57" s="304">
        <f t="shared" si="71"/>
        <v>5.7790777938746656</v>
      </c>
      <c r="E57" s="304"/>
      <c r="F57" s="304">
        <v>2.8242538474267446E-2</v>
      </c>
      <c r="G57" s="304">
        <v>5.7239121380967602E-2</v>
      </c>
      <c r="H57" s="304">
        <v>0.16312210697179591</v>
      </c>
      <c r="I57" s="304"/>
      <c r="J57" s="304">
        <v>0.46031398385096489</v>
      </c>
      <c r="K57" s="304">
        <v>0.71177144459034358</v>
      </c>
      <c r="L57" s="304">
        <v>1.3393755223045356</v>
      </c>
      <c r="M57" s="304"/>
      <c r="N57" s="304">
        <v>1.0431267021860897</v>
      </c>
      <c r="O57" s="304">
        <v>1.2766290588412537</v>
      </c>
      <c r="P57" s="304">
        <v>1.6486789249741449</v>
      </c>
      <c r="Q57" s="304"/>
      <c r="R57" s="304">
        <v>0.26616494499656179</v>
      </c>
      <c r="S57" s="304">
        <v>0.32718625611457192</v>
      </c>
      <c r="T57" s="304">
        <v>0.42436640542745868</v>
      </c>
      <c r="U57" s="304"/>
      <c r="V57" s="304">
        <v>0.31843657335102427</v>
      </c>
      <c r="W57" s="304">
        <v>0.37333414257759939</v>
      </c>
      <c r="X57" s="304">
        <v>0.42192153540998961</v>
      </c>
      <c r="Y57" s="304"/>
      <c r="Z57" s="304">
        <v>1.2176339314247044</v>
      </c>
      <c r="AA57" s="304">
        <v>1.3199953947828784</v>
      </c>
      <c r="AB57" s="304">
        <v>1.4226553003079676</v>
      </c>
      <c r="AC57" s="304"/>
      <c r="AD57" s="304">
        <v>0.17959687492866067</v>
      </c>
      <c r="AE57" s="304">
        <v>0.12933402375874009</v>
      </c>
      <c r="AF57" s="304">
        <v>6.6400658765551665E-2</v>
      </c>
      <c r="AG57" s="304"/>
      <c r="AH57" s="304">
        <v>0.48052891008402765</v>
      </c>
      <c r="AI57" s="304">
        <v>0.51187204803879216</v>
      </c>
      <c r="AJ57" s="304">
        <v>4.6301195583970035E-2</v>
      </c>
      <c r="AK57" s="304"/>
      <c r="AL57" s="304">
        <v>0.29859295451253215</v>
      </c>
      <c r="AM57" s="304">
        <v>0.32167671370869771</v>
      </c>
      <c r="AN57" s="304">
        <v>0.24625614412925226</v>
      </c>
    </row>
    <row r="58" spans="1:40" x14ac:dyDescent="0.2">
      <c r="A58" s="13" t="str">
        <f t="shared" si="67"/>
        <v>Process, plant and machine operatives</v>
      </c>
      <c r="B58" s="304">
        <f t="shared" si="69"/>
        <v>17.188112260089497</v>
      </c>
      <c r="C58" s="304">
        <f t="shared" si="70"/>
        <v>20.608612845028201</v>
      </c>
      <c r="D58" s="304">
        <f t="shared" si="71"/>
        <v>23.499712618575305</v>
      </c>
      <c r="E58" s="304"/>
      <c r="F58" s="304">
        <v>7.2850023489783436E-2</v>
      </c>
      <c r="G58" s="304">
        <v>0.15940100992872572</v>
      </c>
      <c r="H58" s="304">
        <v>0.39328311033431052</v>
      </c>
      <c r="I58" s="304"/>
      <c r="J58" s="304">
        <v>0.38330384129163259</v>
      </c>
      <c r="K58" s="304">
        <v>0.82147094108981233</v>
      </c>
      <c r="L58" s="304">
        <v>2.2514177080551336</v>
      </c>
      <c r="M58" s="304"/>
      <c r="N58" s="304">
        <v>0.56478684836501158</v>
      </c>
      <c r="O58" s="304">
        <v>0.77286433459126114</v>
      </c>
      <c r="P58" s="304">
        <v>1.2524316392004653</v>
      </c>
      <c r="Q58" s="304"/>
      <c r="R58" s="304">
        <v>0.68160736262486377</v>
      </c>
      <c r="S58" s="304">
        <v>0.97573789706120329</v>
      </c>
      <c r="T58" s="304">
        <v>1.5999284887150853</v>
      </c>
      <c r="U58" s="304"/>
      <c r="V58" s="304">
        <v>1.5981235635383737</v>
      </c>
      <c r="W58" s="304">
        <v>2.1035869750265981</v>
      </c>
      <c r="X58" s="304">
        <v>3.0129292342199196</v>
      </c>
      <c r="Y58" s="304"/>
      <c r="Z58" s="304">
        <v>4.0899052736416257</v>
      </c>
      <c r="AA58" s="304">
        <v>4.4739816557611869</v>
      </c>
      <c r="AB58" s="304">
        <v>4.9994065313434097</v>
      </c>
      <c r="AC58" s="304"/>
      <c r="AD58" s="304">
        <v>4.3613519437472972</v>
      </c>
      <c r="AE58" s="304">
        <v>5.5991790102595509</v>
      </c>
      <c r="AF58" s="304">
        <v>5.7991728153742699</v>
      </c>
      <c r="AG58" s="304"/>
      <c r="AH58" s="304">
        <v>4.3873235409904714</v>
      </c>
      <c r="AI58" s="304">
        <v>4.7760697413842594</v>
      </c>
      <c r="AJ58" s="304">
        <v>4.0322604737677459</v>
      </c>
      <c r="AK58" s="304"/>
      <c r="AL58" s="304">
        <v>1.048859862400439</v>
      </c>
      <c r="AM58" s="304">
        <v>0.92632127992560309</v>
      </c>
      <c r="AN58" s="304">
        <v>0.15888261756496563</v>
      </c>
    </row>
    <row r="59" spans="1:40" x14ac:dyDescent="0.2">
      <c r="A59" s="13" t="str">
        <f t="shared" si="67"/>
        <v>Elementary occupations</v>
      </c>
      <c r="B59" s="304">
        <f t="shared" si="69"/>
        <v>12.817489183358351</v>
      </c>
      <c r="C59" s="304">
        <f t="shared" si="70"/>
        <v>12.622685893265528</v>
      </c>
      <c r="D59" s="304">
        <f t="shared" si="71"/>
        <v>14.321707885411927</v>
      </c>
      <c r="E59" s="304"/>
      <c r="F59" s="304">
        <v>3.0924329433123302E-3</v>
      </c>
      <c r="G59" s="304">
        <v>4.9450487291512564E-3</v>
      </c>
      <c r="H59" s="304">
        <v>1.1549969906633666E-2</v>
      </c>
      <c r="I59" s="304"/>
      <c r="J59" s="304">
        <v>0.33814525829933123</v>
      </c>
      <c r="K59" s="304">
        <v>0.63965233995406157</v>
      </c>
      <c r="L59" s="304">
        <v>1.6737301855810114</v>
      </c>
      <c r="M59" s="304"/>
      <c r="N59" s="304">
        <v>0.61085862757262865</v>
      </c>
      <c r="O59" s="304">
        <v>0.70867950113965461</v>
      </c>
      <c r="P59" s="304">
        <v>0.80201296516143472</v>
      </c>
      <c r="Q59" s="304"/>
      <c r="R59" s="304">
        <v>0.14335203578636468</v>
      </c>
      <c r="S59" s="304">
        <v>0.14616288818804418</v>
      </c>
      <c r="T59" s="304">
        <v>0.1520518174889611</v>
      </c>
      <c r="U59" s="304"/>
      <c r="V59" s="304">
        <v>1.183523595372248</v>
      </c>
      <c r="W59" s="304">
        <v>1.4953498509686023</v>
      </c>
      <c r="X59" s="304">
        <v>1.8341004656434483</v>
      </c>
      <c r="Y59" s="304"/>
      <c r="Z59" s="304">
        <v>2.8131163773620598</v>
      </c>
      <c r="AA59" s="304">
        <v>2.6410068535533266</v>
      </c>
      <c r="AB59" s="304">
        <v>2.9280866311526488</v>
      </c>
      <c r="AC59" s="304"/>
      <c r="AD59" s="304">
        <v>2.9479849434263317</v>
      </c>
      <c r="AE59" s="304">
        <v>3.1187431406511412</v>
      </c>
      <c r="AF59" s="304">
        <v>3.6192610200272624</v>
      </c>
      <c r="AG59" s="304"/>
      <c r="AH59" s="304">
        <v>3.5552401371847573</v>
      </c>
      <c r="AI59" s="304">
        <v>3.4821843885324015</v>
      </c>
      <c r="AJ59" s="304">
        <v>3.2928281982532237</v>
      </c>
      <c r="AK59" s="304"/>
      <c r="AL59" s="304">
        <v>1.2221757754113176</v>
      </c>
      <c r="AM59" s="304">
        <v>0.38596188154914424</v>
      </c>
      <c r="AN59" s="304">
        <v>8.0866321973038068E-3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1386.4849999834532</v>
      </c>
      <c r="C62" s="305">
        <f>SUM(C63:C71)</f>
        <v>1432.0220000007102</v>
      </c>
      <c r="D62" s="305">
        <f>SUM(D63:D71)</f>
        <v>1510.7689999848194</v>
      </c>
      <c r="E62" s="304"/>
      <c r="F62" s="305">
        <f>SUM(F63:F71)</f>
        <v>8.9075552603905521</v>
      </c>
      <c r="G62" s="305">
        <f>SUM(G63:G71)</f>
        <v>14.734133419589909</v>
      </c>
      <c r="H62" s="305">
        <f>SUM(H63:H71)</f>
        <v>30.331124130470016</v>
      </c>
      <c r="I62" s="304"/>
      <c r="J62" s="305">
        <f>SUM(J63:J71)</f>
        <v>115.53683346215595</v>
      </c>
      <c r="K62" s="305">
        <f>SUM(K63:K71)</f>
        <v>180.16038321946607</v>
      </c>
      <c r="L62" s="305">
        <f>SUM(L63:L71)</f>
        <v>372.8764471878174</v>
      </c>
      <c r="M62" s="304"/>
      <c r="N62" s="305">
        <f>SUM(N63:N71)</f>
        <v>278.05646012094462</v>
      </c>
      <c r="O62" s="305">
        <f>SUM(O63:O71)</f>
        <v>301.76627398193148</v>
      </c>
      <c r="P62" s="305">
        <f>SUM(P63:P71)</f>
        <v>359.65613794155837</v>
      </c>
      <c r="Q62" s="304"/>
      <c r="R62" s="305">
        <f>SUM(R63:R71)</f>
        <v>84.142324724383826</v>
      </c>
      <c r="S62" s="305">
        <f>SUM(S63:S71)</f>
        <v>88.26308184990026</v>
      </c>
      <c r="T62" s="305">
        <f>SUM(T63:T71)</f>
        <v>106.02608647385162</v>
      </c>
      <c r="U62" s="304"/>
      <c r="V62" s="305">
        <f>SUM(V63:V71)</f>
        <v>94.679633507866953</v>
      </c>
      <c r="W62" s="305">
        <f>SUM(W63:W71)</f>
        <v>99.141480625626428</v>
      </c>
      <c r="X62" s="305">
        <f>SUM(X63:X71)</f>
        <v>115.18523933188612</v>
      </c>
      <c r="Y62" s="304"/>
      <c r="Z62" s="305">
        <f>SUM(Z63:Z71)</f>
        <v>260.50976426123327</v>
      </c>
      <c r="AA62" s="305">
        <f>SUM(AA63:AA71)</f>
        <v>242.19778562000783</v>
      </c>
      <c r="AB62" s="305">
        <f>SUM(AB63:AB71)</f>
        <v>210.53064165270359</v>
      </c>
      <c r="AC62" s="304"/>
      <c r="AD62" s="305">
        <f>SUM(AD63:AD71)</f>
        <v>249.22534348792576</v>
      </c>
      <c r="AE62" s="305">
        <f>SUM(AE63:AE71)</f>
        <v>245.95583952373917</v>
      </c>
      <c r="AF62" s="305">
        <f>SUM(AF63:AF71)</f>
        <v>182.17913161427467</v>
      </c>
      <c r="AG62" s="304"/>
      <c r="AH62" s="305">
        <f>SUM(AH63:AH71)</f>
        <v>231.36518661778192</v>
      </c>
      <c r="AI62" s="305">
        <f>SUM(AI63:AI71)</f>
        <v>210.79142507913713</v>
      </c>
      <c r="AJ62" s="305">
        <f>SUM(AJ63:AJ71)</f>
        <v>111.39739188493022</v>
      </c>
      <c r="AK62" s="304"/>
      <c r="AL62" s="305">
        <f>SUM(AL63:AL71)</f>
        <v>64.061898540770315</v>
      </c>
      <c r="AM62" s="305">
        <f>SUM(AM63:AM71)</f>
        <v>49.011596681311858</v>
      </c>
      <c r="AN62" s="305">
        <f>SUM(AN63:AN71)</f>
        <v>22.586799767327292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165.69508453142626</v>
      </c>
      <c r="C63" s="304">
        <f t="shared" ref="C63:C71" si="73">SUM(G63,K63,O63,S63,W63,AA63,AE63,AI63,AM63)</f>
        <v>175.18237720035194</v>
      </c>
      <c r="D63" s="304">
        <f t="shared" ref="D63:D71" si="74">SUM(H63,L63,P63,T63,X63,AB63,AF63,AJ63,AN63)</f>
        <v>198.75035630267556</v>
      </c>
      <c r="E63" s="304"/>
      <c r="F63" s="304">
        <v>1.2444365569203502</v>
      </c>
      <c r="G63" s="304">
        <v>2.1052292599045153</v>
      </c>
      <c r="H63" s="304">
        <v>4.5069020288068558</v>
      </c>
      <c r="I63" s="304"/>
      <c r="J63" s="304">
        <v>20.574778012690782</v>
      </c>
      <c r="K63" s="304">
        <v>31.679502928439277</v>
      </c>
      <c r="L63" s="304">
        <v>64.066073835805213</v>
      </c>
      <c r="M63" s="304"/>
      <c r="N63" s="304">
        <v>50.683152540616092</v>
      </c>
      <c r="O63" s="304">
        <v>53.584129209473701</v>
      </c>
      <c r="P63" s="304">
        <v>60.486628493430231</v>
      </c>
      <c r="Q63" s="304"/>
      <c r="R63" s="304">
        <v>10.271551617446079</v>
      </c>
      <c r="S63" s="304">
        <v>10.351397268798042</v>
      </c>
      <c r="T63" s="304">
        <v>11.832531525066925</v>
      </c>
      <c r="U63" s="304"/>
      <c r="V63" s="304">
        <v>12.357461345271343</v>
      </c>
      <c r="W63" s="304">
        <v>12.145445223017738</v>
      </c>
      <c r="X63" s="304">
        <v>12.75897632313427</v>
      </c>
      <c r="Y63" s="304"/>
      <c r="Z63" s="304">
        <v>23.959488157679321</v>
      </c>
      <c r="AA63" s="304">
        <v>20.6245628558557</v>
      </c>
      <c r="AB63" s="304">
        <v>17.546743942366536</v>
      </c>
      <c r="AC63" s="304"/>
      <c r="AD63" s="304">
        <v>22.042768123699513</v>
      </c>
      <c r="AE63" s="304">
        <v>21.061977837334162</v>
      </c>
      <c r="AF63" s="304">
        <v>12.274362149173591</v>
      </c>
      <c r="AG63" s="304"/>
      <c r="AH63" s="304">
        <v>22.321268806402404</v>
      </c>
      <c r="AI63" s="304">
        <v>21.771157966917446</v>
      </c>
      <c r="AJ63" s="304">
        <v>14.021087937406872</v>
      </c>
      <c r="AK63" s="304"/>
      <c r="AL63" s="304">
        <v>2.2401793707004005</v>
      </c>
      <c r="AM63" s="304">
        <v>1.8589746506113605</v>
      </c>
      <c r="AN63" s="304">
        <v>1.2570500674850942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129.89552524149846</v>
      </c>
      <c r="C64" s="304">
        <f t="shared" si="73"/>
        <v>145.17777912895014</v>
      </c>
      <c r="D64" s="304">
        <f t="shared" si="74"/>
        <v>166.57043623743405</v>
      </c>
      <c r="E64" s="304"/>
      <c r="F64" s="304">
        <v>3.3587710607271921</v>
      </c>
      <c r="G64" s="304">
        <v>5.4825828248034068</v>
      </c>
      <c r="H64" s="304">
        <v>10.895085346651918</v>
      </c>
      <c r="I64" s="304"/>
      <c r="J64" s="304">
        <v>25.693416414971971</v>
      </c>
      <c r="K64" s="304">
        <v>38.126677110880443</v>
      </c>
      <c r="L64" s="304">
        <v>65.243036681596223</v>
      </c>
      <c r="M64" s="304"/>
      <c r="N64" s="304">
        <v>40.761202400230054</v>
      </c>
      <c r="O64" s="304">
        <v>43.613379446474511</v>
      </c>
      <c r="P64" s="304">
        <v>46.959907858182298</v>
      </c>
      <c r="Q64" s="304"/>
      <c r="R64" s="304">
        <v>6.6379483411995235</v>
      </c>
      <c r="S64" s="304">
        <v>6.2834153111058191</v>
      </c>
      <c r="T64" s="304">
        <v>5.8783050794117377</v>
      </c>
      <c r="U64" s="304"/>
      <c r="V64" s="304">
        <v>8.963446312656167</v>
      </c>
      <c r="W64" s="304">
        <v>8.9807166853657421</v>
      </c>
      <c r="X64" s="304">
        <v>8.9089191168445652</v>
      </c>
      <c r="Y64" s="304"/>
      <c r="Z64" s="304">
        <v>17.815612228431522</v>
      </c>
      <c r="AA64" s="304">
        <v>17.317382465538223</v>
      </c>
      <c r="AB64" s="304">
        <v>13.897313862997724</v>
      </c>
      <c r="AC64" s="304"/>
      <c r="AD64" s="304">
        <v>13.360046468438174</v>
      </c>
      <c r="AE64" s="304">
        <v>12.697895426409007</v>
      </c>
      <c r="AF64" s="304">
        <v>7.9692328728423547</v>
      </c>
      <c r="AG64" s="304"/>
      <c r="AH64" s="304">
        <v>11.370616840212865</v>
      </c>
      <c r="AI64" s="304">
        <v>10.873009895031375</v>
      </c>
      <c r="AJ64" s="304">
        <v>4.8833460723650104</v>
      </c>
      <c r="AK64" s="304"/>
      <c r="AL64" s="304">
        <v>1.9344651746310251</v>
      </c>
      <c r="AM64" s="304">
        <v>1.8027199633415789</v>
      </c>
      <c r="AN64" s="304">
        <v>1.9352893465421994</v>
      </c>
    </row>
    <row r="65" spans="1:40" x14ac:dyDescent="0.2">
      <c r="A65" s="13" t="str">
        <f t="shared" si="72"/>
        <v>Associate professional occupations</v>
      </c>
      <c r="B65" s="304">
        <f t="shared" si="75"/>
        <v>129.13770499243481</v>
      </c>
      <c r="C65" s="304">
        <f t="shared" si="73"/>
        <v>128.48578519541877</v>
      </c>
      <c r="D65" s="304">
        <f t="shared" si="74"/>
        <v>141.19121053678273</v>
      </c>
      <c r="E65" s="304"/>
      <c r="F65" s="304">
        <v>1.7260110726874591</v>
      </c>
      <c r="G65" s="304">
        <v>2.6401602399808186</v>
      </c>
      <c r="H65" s="304">
        <v>5.4280946844499907</v>
      </c>
      <c r="I65" s="304"/>
      <c r="J65" s="304">
        <v>13.590495520267654</v>
      </c>
      <c r="K65" s="304">
        <v>18.962708736667302</v>
      </c>
      <c r="L65" s="304">
        <v>35.393579980867138</v>
      </c>
      <c r="M65" s="304"/>
      <c r="N65" s="304">
        <v>36.148794690892899</v>
      </c>
      <c r="O65" s="304">
        <v>35.614950684132914</v>
      </c>
      <c r="P65" s="304">
        <v>39.004726711539774</v>
      </c>
      <c r="Q65" s="304"/>
      <c r="R65" s="304">
        <v>8.8050606972901679</v>
      </c>
      <c r="S65" s="304">
        <v>8.5732600732673152</v>
      </c>
      <c r="T65" s="304">
        <v>10.052396336679283</v>
      </c>
      <c r="U65" s="304"/>
      <c r="V65" s="304">
        <v>11.133202875822674</v>
      </c>
      <c r="W65" s="304">
        <v>10.710751711649955</v>
      </c>
      <c r="X65" s="304">
        <v>11.595704225458615</v>
      </c>
      <c r="Y65" s="304"/>
      <c r="Z65" s="304">
        <v>21.691055011899195</v>
      </c>
      <c r="AA65" s="304">
        <v>19.467561452497321</v>
      </c>
      <c r="AB65" s="304">
        <v>17.74566385536027</v>
      </c>
      <c r="AC65" s="304"/>
      <c r="AD65" s="304">
        <v>19.239302953328487</v>
      </c>
      <c r="AE65" s="304">
        <v>19.01833867054301</v>
      </c>
      <c r="AF65" s="304">
        <v>15.722877777613144</v>
      </c>
      <c r="AG65" s="304"/>
      <c r="AH65" s="304">
        <v>14.204254139180248</v>
      </c>
      <c r="AI65" s="304">
        <v>11.4788918829358</v>
      </c>
      <c r="AJ65" s="304">
        <v>4.2445737721375174</v>
      </c>
      <c r="AK65" s="304"/>
      <c r="AL65" s="304">
        <v>2.5995280310660078</v>
      </c>
      <c r="AM65" s="304">
        <v>2.0191617437443314</v>
      </c>
      <c r="AN65" s="304">
        <v>2.0035931926769806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104.83626767911356</v>
      </c>
      <c r="C66" s="304">
        <f t="shared" si="73"/>
        <v>100.2661072362114</v>
      </c>
      <c r="D66" s="304">
        <f t="shared" si="74"/>
        <v>98.571024980246094</v>
      </c>
      <c r="E66" s="304"/>
      <c r="F66" s="304">
        <v>0.54356509555029964</v>
      </c>
      <c r="G66" s="304">
        <v>0.87374317602403151</v>
      </c>
      <c r="H66" s="304">
        <v>1.7710620520258444</v>
      </c>
      <c r="I66" s="304"/>
      <c r="J66" s="304">
        <v>8.6564553120041534</v>
      </c>
      <c r="K66" s="304">
        <v>12.686746178048775</v>
      </c>
      <c r="L66" s="304">
        <v>25.115142220768224</v>
      </c>
      <c r="M66" s="304"/>
      <c r="N66" s="304">
        <v>22.7731571622347</v>
      </c>
      <c r="O66" s="304">
        <v>23.520102089493015</v>
      </c>
      <c r="P66" s="304">
        <v>27.504286068983717</v>
      </c>
      <c r="Q66" s="304"/>
      <c r="R66" s="304">
        <v>7.8123554589094297</v>
      </c>
      <c r="S66" s="304">
        <v>7.6603503596125968</v>
      </c>
      <c r="T66" s="304">
        <v>8.2483193314054066</v>
      </c>
      <c r="U66" s="304"/>
      <c r="V66" s="304">
        <v>6.3940801767146995</v>
      </c>
      <c r="W66" s="304">
        <v>5.8984419546875468</v>
      </c>
      <c r="X66" s="304">
        <v>5.8478255026636159</v>
      </c>
      <c r="Y66" s="304"/>
      <c r="Z66" s="304">
        <v>21.30243279290243</v>
      </c>
      <c r="AA66" s="304">
        <v>20.031269609822093</v>
      </c>
      <c r="AB66" s="304">
        <v>16.784306778658365</v>
      </c>
      <c r="AC66" s="304"/>
      <c r="AD66" s="304">
        <v>21.384158445573796</v>
      </c>
      <c r="AE66" s="304">
        <v>19.832953846722937</v>
      </c>
      <c r="AF66" s="304">
        <v>11.453422629640423</v>
      </c>
      <c r="AG66" s="304"/>
      <c r="AH66" s="304">
        <v>13.925929867841299</v>
      </c>
      <c r="AI66" s="304">
        <v>8.0546723794563722</v>
      </c>
      <c r="AJ66" s="304">
        <v>0.75716444062681865</v>
      </c>
      <c r="AK66" s="304"/>
      <c r="AL66" s="304">
        <v>2.0441333673827566</v>
      </c>
      <c r="AM66" s="304">
        <v>1.7078276423440208</v>
      </c>
      <c r="AN66" s="304">
        <v>1.0894959554736841</v>
      </c>
    </row>
    <row r="67" spans="1:40" x14ac:dyDescent="0.2">
      <c r="A67" s="13" t="str">
        <f t="shared" si="72"/>
        <v>Skilled trades occupations</v>
      </c>
      <c r="B67" s="304">
        <f t="shared" si="75"/>
        <v>120.17091649429922</v>
      </c>
      <c r="C67" s="304">
        <f t="shared" si="73"/>
        <v>123.20069127230931</v>
      </c>
      <c r="D67" s="304">
        <f t="shared" si="74"/>
        <v>129.9052751301889</v>
      </c>
      <c r="E67" s="304"/>
      <c r="F67" s="304">
        <v>0.13048675632633308</v>
      </c>
      <c r="G67" s="304">
        <v>0.19685628880636225</v>
      </c>
      <c r="H67" s="304">
        <v>0.44295228218380533</v>
      </c>
      <c r="I67" s="304"/>
      <c r="J67" s="304">
        <v>5.0747857832116949</v>
      </c>
      <c r="K67" s="304">
        <v>9.379879533733984</v>
      </c>
      <c r="L67" s="304">
        <v>23.316725083515184</v>
      </c>
      <c r="M67" s="304"/>
      <c r="N67" s="304">
        <v>12.715375021849145</v>
      </c>
      <c r="O67" s="304">
        <v>16.346871939124565</v>
      </c>
      <c r="P67" s="304">
        <v>22.418656397486895</v>
      </c>
      <c r="Q67" s="304"/>
      <c r="R67" s="304">
        <v>5.3451734312568862</v>
      </c>
      <c r="S67" s="304">
        <v>5.7998276598701155</v>
      </c>
      <c r="T67" s="304">
        <v>6.9952803671384007</v>
      </c>
      <c r="U67" s="304"/>
      <c r="V67" s="304">
        <v>8.6153174764131926</v>
      </c>
      <c r="W67" s="304">
        <v>9.9729804432184821</v>
      </c>
      <c r="X67" s="304">
        <v>12.53617213310768</v>
      </c>
      <c r="Y67" s="304"/>
      <c r="Z67" s="304">
        <v>33.515937187934128</v>
      </c>
      <c r="AA67" s="304">
        <v>31.990473644293278</v>
      </c>
      <c r="AB67" s="304">
        <v>28.135490438026462</v>
      </c>
      <c r="AC67" s="304"/>
      <c r="AD67" s="304">
        <v>21.0064603293525</v>
      </c>
      <c r="AE67" s="304">
        <v>16.235508561956834</v>
      </c>
      <c r="AF67" s="304">
        <v>11.745235177131283</v>
      </c>
      <c r="AG67" s="304"/>
      <c r="AH67" s="304">
        <v>25.887225125706856</v>
      </c>
      <c r="AI67" s="304">
        <v>27.857912397418467</v>
      </c>
      <c r="AJ67" s="304">
        <v>22.041620627703178</v>
      </c>
      <c r="AK67" s="304"/>
      <c r="AL67" s="304">
        <v>7.8801553822484705</v>
      </c>
      <c r="AM67" s="304">
        <v>5.4203808038872348</v>
      </c>
      <c r="AN67" s="304">
        <v>2.2731426238959931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54.991846140550578</v>
      </c>
      <c r="C68" s="304">
        <f t="shared" si="73"/>
        <v>57.336385100774983</v>
      </c>
      <c r="D68" s="304">
        <f t="shared" si="74"/>
        <v>65.136275370212346</v>
      </c>
      <c r="E68" s="304"/>
      <c r="F68" s="304">
        <v>0.10539074495302357</v>
      </c>
      <c r="G68" s="304">
        <v>0.1850141866896147</v>
      </c>
      <c r="H68" s="304">
        <v>0.4109612002929946</v>
      </c>
      <c r="I68" s="304"/>
      <c r="J68" s="304">
        <v>2.288775028389499</v>
      </c>
      <c r="K68" s="304">
        <v>3.4731104601987899</v>
      </c>
      <c r="L68" s="304">
        <v>7.1528851250867227</v>
      </c>
      <c r="M68" s="304"/>
      <c r="N68" s="304">
        <v>9.8031973293555676</v>
      </c>
      <c r="O68" s="304">
        <v>10.587805493523014</v>
      </c>
      <c r="P68" s="304">
        <v>12.601684040234749</v>
      </c>
      <c r="Q68" s="304"/>
      <c r="R68" s="304">
        <v>6.5107913635859731</v>
      </c>
      <c r="S68" s="304">
        <v>6.8527845791702031</v>
      </c>
      <c r="T68" s="304">
        <v>8.8123167885587339</v>
      </c>
      <c r="U68" s="304"/>
      <c r="V68" s="304">
        <v>7.2980597414160782</v>
      </c>
      <c r="W68" s="304">
        <v>8.1992803048710226</v>
      </c>
      <c r="X68" s="304">
        <v>11.187102568389623</v>
      </c>
      <c r="Y68" s="304"/>
      <c r="Z68" s="304">
        <v>9.8312381410279794</v>
      </c>
      <c r="AA68" s="304">
        <v>9.6090277161240856</v>
      </c>
      <c r="AB68" s="304">
        <v>8.9657986572259869</v>
      </c>
      <c r="AC68" s="304"/>
      <c r="AD68" s="304">
        <v>9.9854766022341543</v>
      </c>
      <c r="AE68" s="304">
        <v>10.326989639507079</v>
      </c>
      <c r="AF68" s="304">
        <v>9.3433412562305485</v>
      </c>
      <c r="AG68" s="304"/>
      <c r="AH68" s="304">
        <v>6.1968194835733428</v>
      </c>
      <c r="AI68" s="304">
        <v>5.5485327627950642</v>
      </c>
      <c r="AJ68" s="304">
        <v>5.3786391646800595</v>
      </c>
      <c r="AK68" s="304"/>
      <c r="AL68" s="304">
        <v>2.9720977060149583</v>
      </c>
      <c r="AM68" s="304">
        <v>2.553839957896106</v>
      </c>
      <c r="AN68" s="304">
        <v>1.2835465695129253</v>
      </c>
    </row>
    <row r="69" spans="1:40" x14ac:dyDescent="0.2">
      <c r="A69" s="13" t="str">
        <f t="shared" si="72"/>
        <v>Sales and customer service occupations</v>
      </c>
      <c r="B69" s="304">
        <f t="shared" si="75"/>
        <v>237.50330574059348</v>
      </c>
      <c r="C69" s="304">
        <f t="shared" si="73"/>
        <v>226.01130962272688</v>
      </c>
      <c r="D69" s="304">
        <f t="shared" si="74"/>
        <v>220.6916032461489</v>
      </c>
      <c r="E69" s="304"/>
      <c r="F69" s="304">
        <v>0.58759971245741971</v>
      </c>
      <c r="G69" s="304">
        <v>0.94555635335789212</v>
      </c>
      <c r="H69" s="304">
        <v>1.8580261526502042</v>
      </c>
      <c r="I69" s="304"/>
      <c r="J69" s="304">
        <v>15.270577231616219</v>
      </c>
      <c r="K69" s="304">
        <v>23.956055483531461</v>
      </c>
      <c r="L69" s="304">
        <v>52.674753595704551</v>
      </c>
      <c r="M69" s="304"/>
      <c r="N69" s="304">
        <v>43.4291207517592</v>
      </c>
      <c r="O69" s="304">
        <v>46.393111841369766</v>
      </c>
      <c r="P69" s="304">
        <v>56.828215537704658</v>
      </c>
      <c r="Q69" s="304"/>
      <c r="R69" s="304">
        <v>12.9012610510628</v>
      </c>
      <c r="S69" s="304">
        <v>13.328502353986037</v>
      </c>
      <c r="T69" s="304">
        <v>15.862336479707389</v>
      </c>
      <c r="U69" s="304"/>
      <c r="V69" s="304">
        <v>10.671738063308792</v>
      </c>
      <c r="W69" s="304">
        <v>10.124881673016107</v>
      </c>
      <c r="X69" s="304">
        <v>11.176935242695647</v>
      </c>
      <c r="Y69" s="304"/>
      <c r="Z69" s="304">
        <v>57.511599413441175</v>
      </c>
      <c r="AA69" s="304">
        <v>52.215334632300305</v>
      </c>
      <c r="AB69" s="304">
        <v>44.547919774665395</v>
      </c>
      <c r="AC69" s="304"/>
      <c r="AD69" s="304">
        <v>43.928262294906922</v>
      </c>
      <c r="AE69" s="304">
        <v>38.215661408039999</v>
      </c>
      <c r="AF69" s="304">
        <v>26.414704232370287</v>
      </c>
      <c r="AG69" s="304"/>
      <c r="AH69" s="304">
        <v>41.503996923346911</v>
      </c>
      <c r="AI69" s="304">
        <v>32.695016662507697</v>
      </c>
      <c r="AJ69" s="304">
        <v>9.107978133318678</v>
      </c>
      <c r="AK69" s="304"/>
      <c r="AL69" s="304">
        <v>11.699150298694073</v>
      </c>
      <c r="AM69" s="304">
        <v>8.1371892146176155</v>
      </c>
      <c r="AN69" s="304">
        <v>2.2207340973320595</v>
      </c>
    </row>
    <row r="70" spans="1:40" x14ac:dyDescent="0.2">
      <c r="A70" s="13" t="str">
        <f t="shared" si="72"/>
        <v>Process, plant and machine operatives</v>
      </c>
      <c r="B70" s="304">
        <f t="shared" si="75"/>
        <v>131.12513341577548</v>
      </c>
      <c r="C70" s="304">
        <f t="shared" si="73"/>
        <v>149.54893085546973</v>
      </c>
      <c r="D70" s="304">
        <f t="shared" si="74"/>
        <v>147.06659184751211</v>
      </c>
      <c r="E70" s="304"/>
      <c r="F70" s="304">
        <v>0.99905037631061466</v>
      </c>
      <c r="G70" s="304">
        <v>1.991031003127949</v>
      </c>
      <c r="H70" s="304">
        <v>4.4195007619471953</v>
      </c>
      <c r="I70" s="304"/>
      <c r="J70" s="304">
        <v>5.1786868318352157</v>
      </c>
      <c r="K70" s="304">
        <v>9.5070473305194749</v>
      </c>
      <c r="L70" s="304">
        <v>20.582560369505668</v>
      </c>
      <c r="M70" s="304"/>
      <c r="N70" s="304">
        <v>11.435807162245482</v>
      </c>
      <c r="O70" s="304">
        <v>14.817909302450678</v>
      </c>
      <c r="P70" s="304">
        <v>19.413792034442867</v>
      </c>
      <c r="Q70" s="304"/>
      <c r="R70" s="304">
        <v>5.1475095973516662</v>
      </c>
      <c r="S70" s="304">
        <v>6.3681739501938708</v>
      </c>
      <c r="T70" s="304">
        <v>7.5324929347932104</v>
      </c>
      <c r="U70" s="304"/>
      <c r="V70" s="304">
        <v>7.7667694178764402</v>
      </c>
      <c r="W70" s="304">
        <v>9.4793618568256939</v>
      </c>
      <c r="X70" s="304">
        <v>10.713037037656299</v>
      </c>
      <c r="Y70" s="304"/>
      <c r="Z70" s="304">
        <v>22.047028774229844</v>
      </c>
      <c r="AA70" s="304">
        <v>21.472037752243761</v>
      </c>
      <c r="AB70" s="304">
        <v>17.578994252647608</v>
      </c>
      <c r="AC70" s="304"/>
      <c r="AD70" s="304">
        <v>32.902968565961551</v>
      </c>
      <c r="AE70" s="304">
        <v>40.495981859795251</v>
      </c>
      <c r="AF70" s="304">
        <v>35.97113073200277</v>
      </c>
      <c r="AG70" s="304"/>
      <c r="AH70" s="304">
        <v>35.009557848186148</v>
      </c>
      <c r="AI70" s="304">
        <v>38.123046938255008</v>
      </c>
      <c r="AJ70" s="304">
        <v>28.239760469178425</v>
      </c>
      <c r="AK70" s="304"/>
      <c r="AL70" s="304">
        <v>10.637754841778518</v>
      </c>
      <c r="AM70" s="304">
        <v>7.294340862058049</v>
      </c>
      <c r="AN70" s="304">
        <v>2.615323255338065</v>
      </c>
    </row>
    <row r="71" spans="1:40" x14ac:dyDescent="0.2">
      <c r="A71" s="13" t="str">
        <f t="shared" si="72"/>
        <v>Elementary occupations</v>
      </c>
      <c r="B71" s="304">
        <f t="shared" si="75"/>
        <v>313.12921574776124</v>
      </c>
      <c r="C71" s="304">
        <f t="shared" si="73"/>
        <v>326.81263438849703</v>
      </c>
      <c r="D71" s="304">
        <f t="shared" si="74"/>
        <v>342.88622633361877</v>
      </c>
      <c r="E71" s="304"/>
      <c r="F71" s="304">
        <v>0.2122438844578588</v>
      </c>
      <c r="G71" s="304">
        <v>0.31396008689531812</v>
      </c>
      <c r="H71" s="304">
        <v>0.59853962146120576</v>
      </c>
      <c r="I71" s="304"/>
      <c r="J71" s="304">
        <v>19.208863327168764</v>
      </c>
      <c r="K71" s="304">
        <v>32.388655457446568</v>
      </c>
      <c r="L71" s="304">
        <v>79.331690294968453</v>
      </c>
      <c r="M71" s="304"/>
      <c r="N71" s="304">
        <v>50.306653061761445</v>
      </c>
      <c r="O71" s="304">
        <v>57.288013975889342</v>
      </c>
      <c r="P71" s="304">
        <v>74.438240799553228</v>
      </c>
      <c r="Q71" s="304"/>
      <c r="R71" s="304">
        <v>20.71067316628131</v>
      </c>
      <c r="S71" s="304">
        <v>23.045370293896241</v>
      </c>
      <c r="T71" s="304">
        <v>30.812107631090544</v>
      </c>
      <c r="U71" s="304"/>
      <c r="V71" s="304">
        <v>21.479558098387564</v>
      </c>
      <c r="W71" s="304">
        <v>23.629620772974128</v>
      </c>
      <c r="X71" s="304">
        <v>30.460567181935797</v>
      </c>
      <c r="Y71" s="304"/>
      <c r="Z71" s="304">
        <v>52.835372553687712</v>
      </c>
      <c r="AA71" s="304">
        <v>49.470135491333082</v>
      </c>
      <c r="AB71" s="304">
        <v>45.328410090755241</v>
      </c>
      <c r="AC71" s="304"/>
      <c r="AD71" s="304">
        <v>65.375899704430651</v>
      </c>
      <c r="AE71" s="304">
        <v>68.070532273430899</v>
      </c>
      <c r="AF71" s="304">
        <v>51.284824787270288</v>
      </c>
      <c r="AG71" s="304"/>
      <c r="AH71" s="304">
        <v>60.945517583331849</v>
      </c>
      <c r="AI71" s="304">
        <v>54.389184193819901</v>
      </c>
      <c r="AJ71" s="304">
        <v>22.723221267513669</v>
      </c>
      <c r="AK71" s="304"/>
      <c r="AL71" s="304">
        <v>22.054434368254107</v>
      </c>
      <c r="AM71" s="304">
        <v>18.21716184281156</v>
      </c>
      <c r="AN71" s="304">
        <v>7.9086246590702922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2804.4590000114008</v>
      </c>
      <c r="C74" s="305">
        <f>SUM(C75:C83)</f>
        <v>2954.9880000470375</v>
      </c>
      <c r="D74" s="305">
        <f>SUM(D75:D83)</f>
        <v>3118.694000027323</v>
      </c>
      <c r="E74" s="304"/>
      <c r="F74" s="305">
        <f>SUM(F75:F83)</f>
        <v>80.502306281638141</v>
      </c>
      <c r="G74" s="305">
        <f>SUM(G75:G83)</f>
        <v>114.19179444162666</v>
      </c>
      <c r="H74" s="305">
        <f>SUM(H75:H83)</f>
        <v>174.19147396733703</v>
      </c>
      <c r="I74" s="304"/>
      <c r="J74" s="305">
        <f>SUM(J75:J83)</f>
        <v>724.66816807732766</v>
      </c>
      <c r="K74" s="305">
        <f>SUM(K75:K83)</f>
        <v>1003.1630371512157</v>
      </c>
      <c r="L74" s="305">
        <f>SUM(L75:L83)</f>
        <v>1489.161272895853</v>
      </c>
      <c r="M74" s="304"/>
      <c r="N74" s="305">
        <f>SUM(N75:N83)</f>
        <v>923.72683133631165</v>
      </c>
      <c r="O74" s="305">
        <f>SUM(O75:O83)</f>
        <v>880.43853988088767</v>
      </c>
      <c r="P74" s="305">
        <f>SUM(P75:P83)</f>
        <v>748.66310881243453</v>
      </c>
      <c r="Q74" s="304"/>
      <c r="R74" s="305">
        <f>SUM(R75:R83)</f>
        <v>152.85930193560532</v>
      </c>
      <c r="S74" s="305">
        <f>SUM(S75:S83)</f>
        <v>152.66155453629582</v>
      </c>
      <c r="T74" s="305">
        <f>SUM(T75:T83)</f>
        <v>150.88762631318471</v>
      </c>
      <c r="U74" s="304"/>
      <c r="V74" s="305">
        <f>SUM(V75:V83)</f>
        <v>187.28032938280478</v>
      </c>
      <c r="W74" s="305">
        <f>SUM(W75:W83)</f>
        <v>178.14459435317684</v>
      </c>
      <c r="X74" s="305">
        <f>SUM(X75:X83)</f>
        <v>160.28849499300298</v>
      </c>
      <c r="Y74" s="304"/>
      <c r="Z74" s="305">
        <f>SUM(Z75:Z83)</f>
        <v>262.34134106234103</v>
      </c>
      <c r="AA74" s="305">
        <f>SUM(AA75:AA83)</f>
        <v>215.68834929409741</v>
      </c>
      <c r="AB74" s="305">
        <f>SUM(AB75:AB83)</f>
        <v>144.50830302036482</v>
      </c>
      <c r="AC74" s="304"/>
      <c r="AD74" s="305">
        <f>SUM(AD75:AD83)</f>
        <v>215.50101819136685</v>
      </c>
      <c r="AE74" s="305">
        <f>SUM(AE75:AE83)</f>
        <v>191.15532230412012</v>
      </c>
      <c r="AF74" s="305">
        <f>SUM(AF75:AF83)</f>
        <v>111.4523263678014</v>
      </c>
      <c r="AG74" s="304"/>
      <c r="AH74" s="305">
        <f>SUM(AH75:AH83)</f>
        <v>203.02077506388866</v>
      </c>
      <c r="AI74" s="305">
        <f>SUM(AI75:AI83)</f>
        <v>171.97151247665366</v>
      </c>
      <c r="AJ74" s="305">
        <f>SUM(AJ75:AJ83)</f>
        <v>110.63908997454979</v>
      </c>
      <c r="AK74" s="304"/>
      <c r="AL74" s="305">
        <f>SUM(AL75:AL83)</f>
        <v>54.558928680116495</v>
      </c>
      <c r="AM74" s="305">
        <f>SUM(AM75:AM83)</f>
        <v>47.573295608963186</v>
      </c>
      <c r="AN74" s="305">
        <f>SUM(AN75:AN83)</f>
        <v>28.902303682794962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428.6114852156042</v>
      </c>
      <c r="C75" s="305">
        <f t="shared" ref="C75:C83" si="77">SUM(G75,K75,O75,S75,W75,AA75,AE75,AI75,AM75)</f>
        <v>448.33231038296287</v>
      </c>
      <c r="D75" s="305">
        <f t="shared" ref="D75:D83" si="78">SUM(H75,L75,P75,T75,X75,AB75,AF75,AJ75,AN75)</f>
        <v>486.26493851258817</v>
      </c>
      <c r="E75" s="304"/>
      <c r="F75" s="304">
        <v>14.701309462546252</v>
      </c>
      <c r="G75" s="304">
        <v>21.417374722628558</v>
      </c>
      <c r="H75" s="304">
        <v>34.821726116977644</v>
      </c>
      <c r="I75" s="304"/>
      <c r="J75" s="304">
        <v>109.96999197771144</v>
      </c>
      <c r="K75" s="304">
        <v>149.8021837927933</v>
      </c>
      <c r="L75" s="304">
        <v>231.3328991513537</v>
      </c>
      <c r="M75" s="304"/>
      <c r="N75" s="304">
        <v>150.55279470391565</v>
      </c>
      <c r="O75" s="304">
        <v>141.72406746944904</v>
      </c>
      <c r="P75" s="304">
        <v>125.71771782467782</v>
      </c>
      <c r="Q75" s="304"/>
      <c r="R75" s="304">
        <v>17.187061473607521</v>
      </c>
      <c r="S75" s="304">
        <v>16.358897915602078</v>
      </c>
      <c r="T75" s="304">
        <v>15.08821123287014</v>
      </c>
      <c r="U75" s="304"/>
      <c r="V75" s="304">
        <v>38.751420699275265</v>
      </c>
      <c r="W75" s="304">
        <v>36.714428105036319</v>
      </c>
      <c r="X75" s="304">
        <v>32.523151037752953</v>
      </c>
      <c r="Y75" s="304"/>
      <c r="Z75" s="304">
        <v>41.344535058431532</v>
      </c>
      <c r="AA75" s="304">
        <v>32.309944965455678</v>
      </c>
      <c r="AB75" s="304">
        <v>21.897472421758348</v>
      </c>
      <c r="AC75" s="304"/>
      <c r="AD75" s="304">
        <v>26.437709704079726</v>
      </c>
      <c r="AE75" s="304">
        <v>22.567799278571844</v>
      </c>
      <c r="AF75" s="304">
        <v>9.8635396373998621</v>
      </c>
      <c r="AG75" s="304"/>
      <c r="AH75" s="304">
        <v>25.169619182396996</v>
      </c>
      <c r="AI75" s="304">
        <v>23.371026702018863</v>
      </c>
      <c r="AJ75" s="304">
        <v>12.457746011265263</v>
      </c>
      <c r="AK75" s="304"/>
      <c r="AL75" s="304">
        <v>4.497042953639772</v>
      </c>
      <c r="AM75" s="304">
        <v>4.0665874314071688</v>
      </c>
      <c r="AN75" s="304">
        <v>2.5624750785324197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964.68033452629902</v>
      </c>
      <c r="C76" s="305">
        <f t="shared" si="77"/>
        <v>1084.1801833187917</v>
      </c>
      <c r="D76" s="305">
        <f>SUM(H76,L76,P76,T76,X76,AB76,AF76,AJ76,AN76)</f>
        <v>1185.9650432278611</v>
      </c>
      <c r="E76" s="304"/>
      <c r="F76" s="304">
        <v>44.627654765030087</v>
      </c>
      <c r="G76" s="304">
        <v>62.877638379211547</v>
      </c>
      <c r="H76" s="304">
        <v>90.589960895854759</v>
      </c>
      <c r="I76" s="304"/>
      <c r="J76" s="304">
        <v>345.72969683550787</v>
      </c>
      <c r="K76" s="304">
        <v>484.96708888943999</v>
      </c>
      <c r="L76" s="304">
        <v>692.58629090277566</v>
      </c>
      <c r="M76" s="304"/>
      <c r="N76" s="304">
        <v>364.16161743755447</v>
      </c>
      <c r="O76" s="304">
        <v>343.78184254281456</v>
      </c>
      <c r="P76" s="304">
        <v>261.60588026834961</v>
      </c>
      <c r="Q76" s="304"/>
      <c r="R76" s="304">
        <v>33.070226356936608</v>
      </c>
      <c r="S76" s="304">
        <v>33.016863065749924</v>
      </c>
      <c r="T76" s="304">
        <v>30.144586235101805</v>
      </c>
      <c r="U76" s="304"/>
      <c r="V76" s="304">
        <v>55.765455733161829</v>
      </c>
      <c r="W76" s="304">
        <v>53.485077760826343</v>
      </c>
      <c r="X76" s="304">
        <v>45.750508578942913</v>
      </c>
      <c r="Y76" s="304"/>
      <c r="Z76" s="304">
        <v>53.435158040320843</v>
      </c>
      <c r="AA76" s="304">
        <v>43.778659615228513</v>
      </c>
      <c r="AB76" s="304">
        <v>29.235479771753713</v>
      </c>
      <c r="AC76" s="304"/>
      <c r="AD76" s="304">
        <v>35.937001821089432</v>
      </c>
      <c r="AE76" s="304">
        <v>33.944422545336593</v>
      </c>
      <c r="AF76" s="304">
        <v>21.303588828829078</v>
      </c>
      <c r="AG76" s="304"/>
      <c r="AH76" s="304">
        <v>26.607988438596248</v>
      </c>
      <c r="AI76" s="304">
        <v>22.110795817975532</v>
      </c>
      <c r="AJ76" s="304">
        <v>10.454498586934191</v>
      </c>
      <c r="AK76" s="304"/>
      <c r="AL76" s="304">
        <v>5.3455350981015179</v>
      </c>
      <c r="AM76" s="304">
        <v>6.2177947022084004</v>
      </c>
      <c r="AN76" s="304">
        <v>4.2942491593194116</v>
      </c>
    </row>
    <row r="77" spans="1:40" x14ac:dyDescent="0.2">
      <c r="A77" s="13" t="str">
        <f t="shared" si="76"/>
        <v>Associate professional occupations</v>
      </c>
      <c r="B77" s="305">
        <f t="shared" si="79"/>
        <v>688.53712433066391</v>
      </c>
      <c r="C77" s="305">
        <f t="shared" si="77"/>
        <v>689.35913982831335</v>
      </c>
      <c r="D77" s="305">
        <f t="shared" si="78"/>
        <v>735.09960373991612</v>
      </c>
      <c r="E77" s="304"/>
      <c r="F77" s="304">
        <v>15.478984596952266</v>
      </c>
      <c r="G77" s="304">
        <v>21.189501695043095</v>
      </c>
      <c r="H77" s="304">
        <v>33.478265540818342</v>
      </c>
      <c r="I77" s="304"/>
      <c r="J77" s="304">
        <v>189.77557481841856</v>
      </c>
      <c r="K77" s="304">
        <v>249.65667398040429</v>
      </c>
      <c r="L77" s="304">
        <v>369.05984688260219</v>
      </c>
      <c r="M77" s="304"/>
      <c r="N77" s="304">
        <v>252.20856106038011</v>
      </c>
      <c r="O77" s="304">
        <v>228.45724754135443</v>
      </c>
      <c r="P77" s="304">
        <v>191.71841058761524</v>
      </c>
      <c r="Q77" s="304"/>
      <c r="R77" s="304">
        <v>47.856497758552969</v>
      </c>
      <c r="S77" s="304">
        <v>45.380502481839251</v>
      </c>
      <c r="T77" s="304">
        <v>45.509475470749308</v>
      </c>
      <c r="U77" s="304"/>
      <c r="V77" s="304">
        <v>41.169446274604084</v>
      </c>
      <c r="W77" s="304">
        <v>35.053142957044322</v>
      </c>
      <c r="X77" s="304">
        <v>28.116029824139584</v>
      </c>
      <c r="Y77" s="304"/>
      <c r="Z77" s="304">
        <v>61.525249944748005</v>
      </c>
      <c r="AA77" s="304">
        <v>46.203914586788052</v>
      </c>
      <c r="AB77" s="304">
        <v>30.722226165517917</v>
      </c>
      <c r="AC77" s="304"/>
      <c r="AD77" s="304">
        <v>40.028608830620314</v>
      </c>
      <c r="AE77" s="304">
        <v>29.924717241441932</v>
      </c>
      <c r="AF77" s="304">
        <v>14.225225417853354</v>
      </c>
      <c r="AG77" s="304"/>
      <c r="AH77" s="304">
        <v>33.253972128778926</v>
      </c>
      <c r="AI77" s="304">
        <v>26.575074244376889</v>
      </c>
      <c r="AJ77" s="304">
        <v>16.589467900810231</v>
      </c>
      <c r="AK77" s="304"/>
      <c r="AL77" s="304">
        <v>7.2402289176086363</v>
      </c>
      <c r="AM77" s="304">
        <v>6.9183651000210045</v>
      </c>
      <c r="AN77" s="304">
        <v>5.6806559498099674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271.50621394298156</v>
      </c>
      <c r="C78" s="305">
        <f t="shared" si="77"/>
        <v>250.19596779660642</v>
      </c>
      <c r="D78" s="305">
        <f t="shared" si="78"/>
        <v>229.4859684158892</v>
      </c>
      <c r="E78" s="304"/>
      <c r="F78" s="304">
        <v>2.7150134865598843</v>
      </c>
      <c r="G78" s="304">
        <v>4.0086698977989572</v>
      </c>
      <c r="H78" s="304">
        <v>7.0346476364858468</v>
      </c>
      <c r="I78" s="304"/>
      <c r="J78" s="304">
        <v>36.918305952272831</v>
      </c>
      <c r="K78" s="304">
        <v>51.473095818764946</v>
      </c>
      <c r="L78" s="304">
        <v>80.586678334288479</v>
      </c>
      <c r="M78" s="304"/>
      <c r="N78" s="304">
        <v>80.592504420664326</v>
      </c>
      <c r="O78" s="304">
        <v>82.519332278257195</v>
      </c>
      <c r="P78" s="304">
        <v>80.189653887230094</v>
      </c>
      <c r="Q78" s="304"/>
      <c r="R78" s="304">
        <v>20.815543560861101</v>
      </c>
      <c r="S78" s="304">
        <v>20.709552462867304</v>
      </c>
      <c r="T78" s="304">
        <v>19.721143372920775</v>
      </c>
      <c r="U78" s="304"/>
      <c r="V78" s="304">
        <v>24.173387447868468</v>
      </c>
      <c r="W78" s="304">
        <v>22.892547216657452</v>
      </c>
      <c r="X78" s="304">
        <v>20.176062381385194</v>
      </c>
      <c r="Y78" s="304"/>
      <c r="Z78" s="304">
        <v>36.610611181399939</v>
      </c>
      <c r="AA78" s="304">
        <v>27.72864792079725</v>
      </c>
      <c r="AB78" s="304">
        <v>9.9290448289900599</v>
      </c>
      <c r="AC78" s="304"/>
      <c r="AD78" s="304">
        <v>34.379351179277165</v>
      </c>
      <c r="AE78" s="304">
        <v>23.036992299777637</v>
      </c>
      <c r="AF78" s="304">
        <v>5.9879693898863433</v>
      </c>
      <c r="AG78" s="304"/>
      <c r="AH78" s="304">
        <v>27.63540491524568</v>
      </c>
      <c r="AI78" s="304">
        <v>10.391386117156447</v>
      </c>
      <c r="AJ78" s="304">
        <v>1.514089660938486</v>
      </c>
      <c r="AK78" s="304"/>
      <c r="AL78" s="304">
        <v>7.6660917988321629</v>
      </c>
      <c r="AM78" s="304">
        <v>7.4357437845292598</v>
      </c>
      <c r="AN78" s="304">
        <v>4.3466789237639221</v>
      </c>
    </row>
    <row r="79" spans="1:40" x14ac:dyDescent="0.2">
      <c r="A79" s="13" t="str">
        <f t="shared" si="76"/>
        <v>Skilled trades occupations</v>
      </c>
      <c r="B79" s="305">
        <f t="shared" si="79"/>
        <v>71.180416288757911</v>
      </c>
      <c r="C79" s="305">
        <f t="shared" si="77"/>
        <v>78.349412591123681</v>
      </c>
      <c r="D79" s="305">
        <f t="shared" si="78"/>
        <v>79.616862331536751</v>
      </c>
      <c r="E79" s="304"/>
      <c r="F79" s="304">
        <v>0.78960153386397824</v>
      </c>
      <c r="G79" s="304">
        <v>1.2300000714318338</v>
      </c>
      <c r="H79" s="304">
        <v>2.1367975232552707</v>
      </c>
      <c r="I79" s="304"/>
      <c r="J79" s="304">
        <v>7.1858535039466833</v>
      </c>
      <c r="K79" s="304">
        <v>11.766458196614543</v>
      </c>
      <c r="L79" s="304">
        <v>18.929448213749229</v>
      </c>
      <c r="M79" s="304"/>
      <c r="N79" s="304">
        <v>14.034372720503555</v>
      </c>
      <c r="O79" s="304">
        <v>15.802309887612539</v>
      </c>
      <c r="P79" s="304">
        <v>18.245702655496562</v>
      </c>
      <c r="Q79" s="304"/>
      <c r="R79" s="304">
        <v>4.9037535557482865</v>
      </c>
      <c r="S79" s="304">
        <v>5.537483508468581</v>
      </c>
      <c r="T79" s="304">
        <v>6.7615882180647962</v>
      </c>
      <c r="U79" s="304"/>
      <c r="V79" s="304">
        <v>6.7936005199100418</v>
      </c>
      <c r="W79" s="304">
        <v>7.413294563935839</v>
      </c>
      <c r="X79" s="304">
        <v>8.2710917664931323</v>
      </c>
      <c r="Y79" s="304"/>
      <c r="Z79" s="304">
        <v>13.745033659129648</v>
      </c>
      <c r="AA79" s="304">
        <v>11.891137011671461</v>
      </c>
      <c r="AB79" s="304">
        <v>8.4281785229689383</v>
      </c>
      <c r="AC79" s="304"/>
      <c r="AD79" s="304">
        <v>11.614665314827258</v>
      </c>
      <c r="AE79" s="304">
        <v>11.974985053578727</v>
      </c>
      <c r="AF79" s="304">
        <v>8.620526428488029</v>
      </c>
      <c r="AG79" s="304"/>
      <c r="AH79" s="304">
        <v>8.1281647218009034</v>
      </c>
      <c r="AI79" s="304">
        <v>8.3134402703945298</v>
      </c>
      <c r="AJ79" s="304">
        <v>5.8906762728108024</v>
      </c>
      <c r="AK79" s="304"/>
      <c r="AL79" s="304">
        <v>3.9853707590275671</v>
      </c>
      <c r="AM79" s="304">
        <v>4.4203040274156375</v>
      </c>
      <c r="AN79" s="304">
        <v>2.332852730209976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88.650499308057789</v>
      </c>
      <c r="C80" s="305">
        <f t="shared" si="77"/>
        <v>98.366197947460279</v>
      </c>
      <c r="D80" s="305">
        <f t="shared" si="78"/>
        <v>105.07789593526927</v>
      </c>
      <c r="E80" s="304"/>
      <c r="F80" s="304">
        <v>0.22021760677826571</v>
      </c>
      <c r="G80" s="304">
        <v>0.36441295263117529</v>
      </c>
      <c r="H80" s="304">
        <v>0.7440283280400366</v>
      </c>
      <c r="I80" s="304"/>
      <c r="J80" s="304">
        <v>9.1341307966342349</v>
      </c>
      <c r="K80" s="304">
        <v>14.039327641949644</v>
      </c>
      <c r="L80" s="304">
        <v>24.274823113354337</v>
      </c>
      <c r="M80" s="304"/>
      <c r="N80" s="304">
        <v>16.531345436095968</v>
      </c>
      <c r="O80" s="304">
        <v>19.161810903168416</v>
      </c>
      <c r="P80" s="304">
        <v>22.411676241518052</v>
      </c>
      <c r="Q80" s="304"/>
      <c r="R80" s="304">
        <v>11.901868327963708</v>
      </c>
      <c r="S80" s="304">
        <v>13.230975171134764</v>
      </c>
      <c r="T80" s="304">
        <v>14.140781287555537</v>
      </c>
      <c r="U80" s="304"/>
      <c r="V80" s="304">
        <v>6.5546748887810553</v>
      </c>
      <c r="W80" s="304">
        <v>7.5019372763643313</v>
      </c>
      <c r="X80" s="304">
        <v>9.6240524720963023</v>
      </c>
      <c r="Y80" s="304"/>
      <c r="Z80" s="304">
        <v>16.519580236482973</v>
      </c>
      <c r="AA80" s="304">
        <v>17.450456732004021</v>
      </c>
      <c r="AB80" s="304">
        <v>15.123864636440908</v>
      </c>
      <c r="AC80" s="304"/>
      <c r="AD80" s="304">
        <v>12.105965715632061</v>
      </c>
      <c r="AE80" s="304">
        <v>11.491379046685831</v>
      </c>
      <c r="AF80" s="304">
        <v>6.845258528241394</v>
      </c>
      <c r="AG80" s="304"/>
      <c r="AH80" s="304">
        <v>12.591430814151044</v>
      </c>
      <c r="AI80" s="304">
        <v>12.425465466469067</v>
      </c>
      <c r="AJ80" s="304">
        <v>10.310502175195815</v>
      </c>
      <c r="AK80" s="304"/>
      <c r="AL80" s="304">
        <v>3.0912854855384788</v>
      </c>
      <c r="AM80" s="304">
        <v>2.7004327570530249</v>
      </c>
      <c r="AN80" s="304">
        <v>1.6029091528268775</v>
      </c>
    </row>
    <row r="81" spans="1:40" x14ac:dyDescent="0.2">
      <c r="A81" s="13" t="str">
        <f t="shared" si="76"/>
        <v>Sales and customer service occupations</v>
      </c>
      <c r="B81" s="305">
        <f t="shared" si="79"/>
        <v>101.55061765893558</v>
      </c>
      <c r="C81" s="305">
        <f t="shared" si="77"/>
        <v>112.58248744553632</v>
      </c>
      <c r="D81" s="305">
        <f t="shared" si="78"/>
        <v>116.5098795922563</v>
      </c>
      <c r="E81" s="304"/>
      <c r="F81" s="304">
        <v>1.3253054061652088</v>
      </c>
      <c r="G81" s="304">
        <v>2.0158857122930116</v>
      </c>
      <c r="H81" s="304">
        <v>3.5086229405989418</v>
      </c>
      <c r="I81" s="304"/>
      <c r="J81" s="304">
        <v>12.430867991435532</v>
      </c>
      <c r="K81" s="304">
        <v>19.179501091451268</v>
      </c>
      <c r="L81" s="304">
        <v>33.045614810990756</v>
      </c>
      <c r="M81" s="304"/>
      <c r="N81" s="304">
        <v>26.569495958692084</v>
      </c>
      <c r="O81" s="304">
        <v>28.700394092480582</v>
      </c>
      <c r="P81" s="304">
        <v>28.31066831395275</v>
      </c>
      <c r="Q81" s="304"/>
      <c r="R81" s="304">
        <v>7.1227269722576603</v>
      </c>
      <c r="S81" s="304">
        <v>7.7850704417161918</v>
      </c>
      <c r="T81" s="304">
        <v>8.3934955553021151</v>
      </c>
      <c r="U81" s="304"/>
      <c r="V81" s="304">
        <v>8.6612900829670245</v>
      </c>
      <c r="W81" s="304">
        <v>10.050698934320039</v>
      </c>
      <c r="X81" s="304">
        <v>10.427210461590226</v>
      </c>
      <c r="Y81" s="304"/>
      <c r="Z81" s="304">
        <v>16.179199978326427</v>
      </c>
      <c r="AA81" s="304">
        <v>15.388238261526055</v>
      </c>
      <c r="AB81" s="304">
        <v>11.063370213464486</v>
      </c>
      <c r="AC81" s="304"/>
      <c r="AD81" s="304">
        <v>16.551965228347441</v>
      </c>
      <c r="AE81" s="304">
        <v>18.09671807517816</v>
      </c>
      <c r="AF81" s="304">
        <v>12.949103511592677</v>
      </c>
      <c r="AG81" s="304"/>
      <c r="AH81" s="304">
        <v>9.8293437470677301</v>
      </c>
      <c r="AI81" s="304">
        <v>8.5212412350977438</v>
      </c>
      <c r="AJ81" s="304">
        <v>6.4450065234257305</v>
      </c>
      <c r="AK81" s="304"/>
      <c r="AL81" s="304">
        <v>2.8804222936764843</v>
      </c>
      <c r="AM81" s="304">
        <v>2.8447396014732518</v>
      </c>
      <c r="AN81" s="304">
        <v>2.3667872613386258</v>
      </c>
    </row>
    <row r="82" spans="1:40" x14ac:dyDescent="0.2">
      <c r="A82" s="13" t="str">
        <f t="shared" si="76"/>
        <v>Process, plant and machine operatives</v>
      </c>
      <c r="B82" s="305">
        <f t="shared" si="79"/>
        <v>29.225830255659428</v>
      </c>
      <c r="C82" s="305">
        <f t="shared" si="77"/>
        <v>32.929418798974723</v>
      </c>
      <c r="D82" s="305">
        <f t="shared" si="78"/>
        <v>33.722593333091694</v>
      </c>
      <c r="E82" s="304"/>
      <c r="F82" s="304">
        <v>0.20493770774508216</v>
      </c>
      <c r="G82" s="304">
        <v>0.38283699521279474</v>
      </c>
      <c r="H82" s="304">
        <v>0.67533991827203133</v>
      </c>
      <c r="I82" s="304"/>
      <c r="J82" s="304">
        <v>2.9954114729018881</v>
      </c>
      <c r="K82" s="304">
        <v>4.8872648900464286</v>
      </c>
      <c r="L82" s="304">
        <v>9.1433529266867826</v>
      </c>
      <c r="M82" s="304"/>
      <c r="N82" s="304">
        <v>3.1850790638235904</v>
      </c>
      <c r="O82" s="304">
        <v>3.6087642815893965</v>
      </c>
      <c r="P82" s="304">
        <v>3.7912289056113382</v>
      </c>
      <c r="Q82" s="304"/>
      <c r="R82" s="304">
        <v>1.2923399344393607</v>
      </c>
      <c r="S82" s="304">
        <v>1.7144595847000217</v>
      </c>
      <c r="T82" s="304">
        <v>2.3144539485585369</v>
      </c>
      <c r="U82" s="304"/>
      <c r="V82" s="304">
        <v>1.3871396338437749</v>
      </c>
      <c r="W82" s="304">
        <v>1.5387755261802789</v>
      </c>
      <c r="X82" s="304">
        <v>1.7099405482320948</v>
      </c>
      <c r="Y82" s="304"/>
      <c r="Z82" s="304">
        <v>6.3468207475871452</v>
      </c>
      <c r="AA82" s="304">
        <v>6.2670037264699126</v>
      </c>
      <c r="AB82" s="304">
        <v>5.8431105979945572</v>
      </c>
      <c r="AC82" s="304"/>
      <c r="AD82" s="304">
        <v>4.7791602813786378</v>
      </c>
      <c r="AE82" s="304">
        <v>5.2979122697038061</v>
      </c>
      <c r="AF82" s="304">
        <v>4.8045840265819386</v>
      </c>
      <c r="AG82" s="304"/>
      <c r="AH82" s="304">
        <v>5.0994203454378511</v>
      </c>
      <c r="AI82" s="304">
        <v>4.8868592274812901</v>
      </c>
      <c r="AJ82" s="304">
        <v>3.2119985319477551</v>
      </c>
      <c r="AK82" s="304"/>
      <c r="AL82" s="304">
        <v>3.9355210685021009</v>
      </c>
      <c r="AM82" s="304">
        <v>4.3455422975907982</v>
      </c>
      <c r="AN82" s="304">
        <v>2.2285839292066636</v>
      </c>
    </row>
    <row r="83" spans="1:40" x14ac:dyDescent="0.2">
      <c r="A83" s="38" t="str">
        <f t="shared" si="76"/>
        <v>Elementary occupations</v>
      </c>
      <c r="B83" s="307">
        <f t="shared" si="79"/>
        <v>160.51647848444136</v>
      </c>
      <c r="C83" s="307">
        <f t="shared" si="77"/>
        <v>160.69288193726791</v>
      </c>
      <c r="D83" s="307">
        <f t="shared" si="78"/>
        <v>146.9512149389146</v>
      </c>
      <c r="E83" s="307"/>
      <c r="F83" s="307">
        <v>0.4392817159971068</v>
      </c>
      <c r="G83" s="307">
        <v>0.70547401537568355</v>
      </c>
      <c r="H83" s="307">
        <v>1.2020850670341587</v>
      </c>
      <c r="I83" s="307"/>
      <c r="J83" s="307">
        <v>10.528334728498628</v>
      </c>
      <c r="K83" s="307">
        <v>17.391442849751204</v>
      </c>
      <c r="L83" s="307">
        <v>30.202318560051733</v>
      </c>
      <c r="M83" s="307"/>
      <c r="N83" s="307">
        <v>15.891060534681834</v>
      </c>
      <c r="O83" s="307">
        <v>16.682770884161517</v>
      </c>
      <c r="P83" s="307">
        <v>16.672170127983165</v>
      </c>
      <c r="Q83" s="307"/>
      <c r="R83" s="307">
        <v>8.7092839952381471</v>
      </c>
      <c r="S83" s="307">
        <v>8.9277499042177073</v>
      </c>
      <c r="T83" s="307">
        <v>8.8138909920616992</v>
      </c>
      <c r="U83" s="307"/>
      <c r="V83" s="307">
        <v>4.0239141023932392</v>
      </c>
      <c r="W83" s="307">
        <v>3.4946920128118855</v>
      </c>
      <c r="X83" s="307">
        <v>3.690447922370609</v>
      </c>
      <c r="Y83" s="307"/>
      <c r="Z83" s="307">
        <v>16.635152215914527</v>
      </c>
      <c r="AA83" s="307">
        <v>14.670346474156437</v>
      </c>
      <c r="AB83" s="307">
        <v>12.265555861475899</v>
      </c>
      <c r="AC83" s="307"/>
      <c r="AD83" s="307">
        <v>33.666590116114833</v>
      </c>
      <c r="AE83" s="307">
        <v>34.820396493845578</v>
      </c>
      <c r="AF83" s="307">
        <v>26.852530598928738</v>
      </c>
      <c r="AG83" s="307"/>
      <c r="AH83" s="307">
        <v>54.705430770413273</v>
      </c>
      <c r="AI83" s="307">
        <v>55.376223395683276</v>
      </c>
      <c r="AJ83" s="307">
        <v>43.765104311221528</v>
      </c>
      <c r="AK83" s="307"/>
      <c r="AL83" s="307">
        <v>15.917430305189784</v>
      </c>
      <c r="AM83" s="307">
        <v>8.6237859072646419</v>
      </c>
      <c r="AN83" s="307">
        <v>3.4871114977870965</v>
      </c>
    </row>
    <row r="84" spans="1:40" x14ac:dyDescent="0.2">
      <c r="B84" s="31"/>
      <c r="C84" s="31"/>
      <c r="D84" s="31"/>
    </row>
    <row r="85" spans="1:40" ht="15.75" x14ac:dyDescent="0.25">
      <c r="A85" s="18" t="str">
        <f>CONCATENATE(A1," (Continued)")</f>
        <v>Basic Table 1  Employment by Industry Sector, Occupation Group and Qualification, 2020-2035, London (Continued)</v>
      </c>
    </row>
    <row r="86" spans="1:40" ht="12.75" customHeight="1" x14ac:dyDescent="0.25">
      <c r="A86" s="18"/>
    </row>
    <row r="87" spans="1:40" ht="12.75" customHeight="1" x14ac:dyDescent="0.25">
      <c r="A87" s="18"/>
    </row>
    <row r="88" spans="1:40" ht="26.25" customHeight="1" x14ac:dyDescent="0.2">
      <c r="A88" s="77"/>
      <c r="B88" s="77"/>
      <c r="C88" s="78" t="str">
        <f>B4</f>
        <v>All qualifications</v>
      </c>
      <c r="D88" s="77"/>
      <c r="E88" s="77"/>
      <c r="F88" s="77"/>
      <c r="G88" s="78" t="str">
        <f>F4</f>
        <v>RQF8 Doctorate</v>
      </c>
      <c r="H88" s="77"/>
      <c r="I88" s="77"/>
      <c r="J88" s="77"/>
      <c r="K88" s="78" t="str">
        <f>J4</f>
        <v>RQF7 Other higher degree</v>
      </c>
      <c r="L88" s="77"/>
      <c r="M88" s="77"/>
      <c r="N88" s="379" t="str">
        <f>N4</f>
        <v>RQF6 First degree</v>
      </c>
      <c r="O88" s="379"/>
      <c r="P88" s="379"/>
      <c r="Q88" s="77"/>
      <c r="R88" s="379" t="str">
        <f>R4</f>
        <v>RQF5 Foundation degree;Nursing;Teaching</v>
      </c>
      <c r="S88" s="379"/>
      <c r="T88" s="379"/>
      <c r="U88" s="77"/>
      <c r="V88" s="379" t="str">
        <f>V4</f>
        <v>RQF4 HE below degree level</v>
      </c>
      <c r="W88" s="379"/>
      <c r="X88" s="379"/>
      <c r="Y88" s="77"/>
      <c r="Z88" s="379" t="str">
        <f>Z4</f>
        <v>RQF3 A level &amp; equivalent</v>
      </c>
      <c r="AA88" s="379"/>
      <c r="AB88" s="379"/>
      <c r="AC88" s="77"/>
      <c r="AD88" s="379" t="str">
        <f>AD4</f>
        <v>RQF2 GCSE(A-C) &amp; equivalent</v>
      </c>
      <c r="AE88" s="379"/>
      <c r="AF88" s="379"/>
      <c r="AG88" s="77"/>
      <c r="AH88" s="379" t="str">
        <f>AH4</f>
        <v>RQF1 GCSE(below grade C) &amp; equivalent</v>
      </c>
      <c r="AI88" s="379"/>
      <c r="AJ88" s="379"/>
      <c r="AK88" s="77"/>
      <c r="AL88" s="77"/>
      <c r="AM88" s="78" t="str">
        <f>AL4</f>
        <v>No Qualification</v>
      </c>
      <c r="AN88" s="77"/>
    </row>
    <row r="89" spans="1:40" x14ac:dyDescent="0.2">
      <c r="A89" s="38"/>
      <c r="B89" s="41">
        <f>B5</f>
        <v>2020</v>
      </c>
      <c r="C89" s="41">
        <f>C5</f>
        <v>2025</v>
      </c>
      <c r="D89" s="41">
        <f>D5</f>
        <v>2035</v>
      </c>
      <c r="E89" s="38"/>
      <c r="F89" s="34">
        <f>B89</f>
        <v>2020</v>
      </c>
      <c r="G89" s="34">
        <f>C89</f>
        <v>2025</v>
      </c>
      <c r="H89" s="34">
        <f>D89</f>
        <v>2035</v>
      </c>
      <c r="I89" s="38"/>
      <c r="J89" s="34">
        <f>B89</f>
        <v>2020</v>
      </c>
      <c r="K89" s="34">
        <f>C89</f>
        <v>2025</v>
      </c>
      <c r="L89" s="34">
        <f>D89</f>
        <v>2035</v>
      </c>
      <c r="M89" s="38"/>
      <c r="N89" s="34">
        <f>B89</f>
        <v>2020</v>
      </c>
      <c r="O89" s="34">
        <f>C89</f>
        <v>2025</v>
      </c>
      <c r="P89" s="34">
        <f>D89</f>
        <v>2035</v>
      </c>
      <c r="Q89" s="38"/>
      <c r="R89" s="34">
        <f>F89</f>
        <v>2020</v>
      </c>
      <c r="S89" s="34">
        <f>G89</f>
        <v>2025</v>
      </c>
      <c r="T89" s="34">
        <f>H89</f>
        <v>2035</v>
      </c>
      <c r="U89" s="38"/>
      <c r="V89" s="34">
        <f>J89</f>
        <v>2020</v>
      </c>
      <c r="W89" s="34">
        <f>K89</f>
        <v>2025</v>
      </c>
      <c r="X89" s="34">
        <f>L89</f>
        <v>2035</v>
      </c>
      <c r="Y89" s="38"/>
      <c r="Z89" s="34">
        <f>N89</f>
        <v>2020</v>
      </c>
      <c r="AA89" s="34">
        <f>O89</f>
        <v>2025</v>
      </c>
      <c r="AB89" s="34">
        <f>P89</f>
        <v>2035</v>
      </c>
      <c r="AC89" s="38"/>
      <c r="AD89" s="34">
        <f>R89</f>
        <v>2020</v>
      </c>
      <c r="AE89" s="34">
        <f>S89</f>
        <v>2025</v>
      </c>
      <c r="AF89" s="34">
        <f>T89</f>
        <v>2035</v>
      </c>
      <c r="AG89" s="38"/>
      <c r="AH89" s="34">
        <f>V89</f>
        <v>2020</v>
      </c>
      <c r="AI89" s="34">
        <f>W89</f>
        <v>2025</v>
      </c>
      <c r="AJ89" s="34">
        <f>X89</f>
        <v>2035</v>
      </c>
      <c r="AK89" s="38"/>
      <c r="AL89" s="34">
        <f>Z89</f>
        <v>2020</v>
      </c>
      <c r="AM89" s="34">
        <f>AA89</f>
        <v>2025</v>
      </c>
      <c r="AN89" s="34">
        <f>AB89</f>
        <v>2035</v>
      </c>
    </row>
    <row r="90" spans="1:40" x14ac:dyDescent="0.2">
      <c r="B90" s="31"/>
      <c r="C90" s="31"/>
      <c r="D90" s="31"/>
    </row>
    <row r="91" spans="1:40" x14ac:dyDescent="0.2">
      <c r="A91" s="1" t="str">
        <f>name!C9</f>
        <v>Non-marketed services</v>
      </c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</row>
    <row r="92" spans="1:40" x14ac:dyDescent="0.2">
      <c r="A92" s="13" t="str">
        <f t="shared" ref="A92:A101" si="80">A8</f>
        <v>All occupations</v>
      </c>
      <c r="B92" s="305">
        <f>SUM(B93:B101)</f>
        <v>1269.4550000211912</v>
      </c>
      <c r="C92" s="305">
        <f>SUM(C93:C101)</f>
        <v>1284.8049999793923</v>
      </c>
      <c r="D92" s="305">
        <f>SUM(D93:D101)</f>
        <v>1302.7870000156395</v>
      </c>
      <c r="E92" s="304"/>
      <c r="F92" s="305">
        <f>SUM(F93:F101)</f>
        <v>66.395923080711057</v>
      </c>
      <c r="G92" s="305">
        <f>SUM(G93:G101)</f>
        <v>83.155741165431564</v>
      </c>
      <c r="H92" s="305">
        <f>SUM(H93:H101)</f>
        <v>112.98240062073685</v>
      </c>
      <c r="I92" s="304"/>
      <c r="J92" s="305">
        <f>SUM(J93:J101)</f>
        <v>389.39260326218215</v>
      </c>
      <c r="K92" s="305">
        <f>SUM(K93:K101)</f>
        <v>474.63612988059691</v>
      </c>
      <c r="L92" s="305">
        <f>SUM(L93:L101)</f>
        <v>622.66179160498757</v>
      </c>
      <c r="M92" s="304"/>
      <c r="N92" s="305">
        <f>SUM(N93:N101)</f>
        <v>351.25701146464792</v>
      </c>
      <c r="O92" s="305">
        <f>SUM(O93:O101)</f>
        <v>329.63916432713415</v>
      </c>
      <c r="P92" s="305">
        <f>SUM(P93:P101)</f>
        <v>286.70691056923681</v>
      </c>
      <c r="Q92" s="304"/>
      <c r="R92" s="305">
        <f>SUM(R93:R101)</f>
        <v>120.68227532558676</v>
      </c>
      <c r="S92" s="305">
        <f>SUM(S93:S101)</f>
        <v>94.313913519845016</v>
      </c>
      <c r="T92" s="305">
        <f>SUM(T93:T101)</f>
        <v>68.65036889489177</v>
      </c>
      <c r="U92" s="304"/>
      <c r="V92" s="305">
        <f>SUM(V93:V101)</f>
        <v>60.892205009089238</v>
      </c>
      <c r="W92" s="305">
        <f>SUM(W93:W101)</f>
        <v>55.675663378416161</v>
      </c>
      <c r="X92" s="305">
        <f>SUM(X93:X101)</f>
        <v>50.922374170331189</v>
      </c>
      <c r="Y92" s="304"/>
      <c r="Z92" s="305">
        <f>SUM(Z93:Z101)</f>
        <v>135.22500734419881</v>
      </c>
      <c r="AA92" s="305">
        <f>SUM(AA93:AA101)</f>
        <v>130.46463174146186</v>
      </c>
      <c r="AB92" s="305">
        <f>SUM(AB93:AB101)</f>
        <v>101.72142246798472</v>
      </c>
      <c r="AC92" s="304"/>
      <c r="AD92" s="305">
        <f>SUM(AD93:AD101)</f>
        <v>88.290409105404834</v>
      </c>
      <c r="AE92" s="305">
        <f>SUM(AE93:AE101)</f>
        <v>76.946185222851682</v>
      </c>
      <c r="AF92" s="305">
        <f>SUM(AF93:AF101)</f>
        <v>37.756414170500761</v>
      </c>
      <c r="AG92" s="304"/>
      <c r="AH92" s="305">
        <f>SUM(AH93:AH101)</f>
        <v>49.686847420710478</v>
      </c>
      <c r="AI92" s="305">
        <f>SUM(AI93:AI101)</f>
        <v>34.073586029703769</v>
      </c>
      <c r="AJ92" s="305">
        <f>SUM(AJ93:AJ101)</f>
        <v>17.66168577601568</v>
      </c>
      <c r="AK92" s="304"/>
      <c r="AL92" s="305">
        <f>SUM(AL93:AL101)</f>
        <v>7.6327180086596425</v>
      </c>
      <c r="AM92" s="305">
        <f>SUM(AM93:AM101)</f>
        <v>5.8999847139510369</v>
      </c>
      <c r="AN92" s="305">
        <f>SUM(AN93:AN101)</f>
        <v>3.7236317409544517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66.783315620622091</v>
      </c>
      <c r="C93" s="305">
        <f t="shared" ref="C93:D93" si="81">SUM(G93,K93,O93,S93,W93,AA93,AE93,AI93,AM93)</f>
        <v>65.851005419579892</v>
      </c>
      <c r="D93" s="305">
        <f t="shared" si="81"/>
        <v>67.698188022547953</v>
      </c>
      <c r="E93" s="304"/>
      <c r="F93" s="304">
        <v>1.9061851032696027</v>
      </c>
      <c r="G93" s="304">
        <v>2.5325592768124441</v>
      </c>
      <c r="H93" s="304">
        <v>4.0096618039148471</v>
      </c>
      <c r="I93" s="304"/>
      <c r="J93" s="304">
        <v>21.485412815015962</v>
      </c>
      <c r="K93" s="304">
        <v>26.27992144771088</v>
      </c>
      <c r="L93" s="304">
        <v>34.992860178609213</v>
      </c>
      <c r="M93" s="304"/>
      <c r="N93" s="304">
        <v>20.168920783448865</v>
      </c>
      <c r="O93" s="304">
        <v>18.018560570265223</v>
      </c>
      <c r="P93" s="304">
        <v>15.395992805416387</v>
      </c>
      <c r="Q93" s="304"/>
      <c r="R93" s="304">
        <v>10.679504589387113</v>
      </c>
      <c r="S93" s="304">
        <v>9.3012684328727815</v>
      </c>
      <c r="T93" s="304">
        <v>7.6387730317395119</v>
      </c>
      <c r="U93" s="304"/>
      <c r="V93" s="304">
        <v>3.1299895697722309</v>
      </c>
      <c r="W93" s="304">
        <v>2.588287362176461</v>
      </c>
      <c r="X93" s="304">
        <v>2.0981605190065751</v>
      </c>
      <c r="Y93" s="304"/>
      <c r="Z93" s="304">
        <v>5.2946676859673447</v>
      </c>
      <c r="AA93" s="304">
        <v>3.8675787096042127</v>
      </c>
      <c r="AB93" s="304">
        <v>1.9234724576430382</v>
      </c>
      <c r="AC93" s="304"/>
      <c r="AD93" s="304">
        <v>2.3890660917841022</v>
      </c>
      <c r="AE93" s="304">
        <v>1.8935784711704728</v>
      </c>
      <c r="AF93" s="304">
        <v>0.98040458662620356</v>
      </c>
      <c r="AG93" s="304"/>
      <c r="AH93" s="304">
        <v>1.2106121008888091</v>
      </c>
      <c r="AI93" s="304">
        <v>0.83818853189021458</v>
      </c>
      <c r="AJ93" s="304">
        <v>0.34669950415540318</v>
      </c>
      <c r="AK93" s="304"/>
      <c r="AL93" s="304">
        <v>0.51895688108806148</v>
      </c>
      <c r="AM93" s="304">
        <v>0.53106261707720992</v>
      </c>
      <c r="AN93" s="304">
        <v>0.31216313543675706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639.30007135335143</v>
      </c>
      <c r="C94" s="305">
        <f t="shared" ref="C94:C101" si="83">SUM(G94,K94,O94,S94,W94,AA94,AE94,AI94,AM94)</f>
        <v>657.43616762091199</v>
      </c>
      <c r="D94" s="305">
        <f t="shared" ref="D94:D101" si="84">SUM(H94,L94,P94,T94,X94,AB94,AF94,AJ94,AN94)</f>
        <v>684.22332360751375</v>
      </c>
      <c r="E94" s="305"/>
      <c r="F94" s="304">
        <v>59.875208026604611</v>
      </c>
      <c r="G94" s="304">
        <v>74.122847454264303</v>
      </c>
      <c r="H94" s="304">
        <v>98.09282960803084</v>
      </c>
      <c r="I94" s="304"/>
      <c r="J94" s="304">
        <v>289.01776222919307</v>
      </c>
      <c r="K94" s="304">
        <v>338.67273270865809</v>
      </c>
      <c r="L94" s="304">
        <v>414.69318559058553</v>
      </c>
      <c r="M94" s="304"/>
      <c r="N94" s="304">
        <v>197.88806417841121</v>
      </c>
      <c r="O94" s="304">
        <v>175.2014640105408</v>
      </c>
      <c r="P94" s="304">
        <v>133.54652128755598</v>
      </c>
      <c r="Q94" s="304"/>
      <c r="R94" s="304">
        <v>37.381101721742944</v>
      </c>
      <c r="S94" s="304">
        <v>20.43174077022665</v>
      </c>
      <c r="T94" s="304">
        <v>7.5364822986289202</v>
      </c>
      <c r="U94" s="304"/>
      <c r="V94" s="304">
        <v>12.707580317308398</v>
      </c>
      <c r="W94" s="304">
        <v>10.8821119802788</v>
      </c>
      <c r="X94" s="304">
        <v>8.5202038461649146</v>
      </c>
      <c r="Y94" s="304"/>
      <c r="Z94" s="304">
        <v>20.535117701606399</v>
      </c>
      <c r="AA94" s="304">
        <v>19.107956378413334</v>
      </c>
      <c r="AB94" s="304">
        <v>13.33378056163648</v>
      </c>
      <c r="AC94" s="304"/>
      <c r="AD94" s="304">
        <v>11.295617672378127</v>
      </c>
      <c r="AE94" s="304">
        <v>9.6455919060242543</v>
      </c>
      <c r="AF94" s="304">
        <v>4.2329519652980618</v>
      </c>
      <c r="AG94" s="304"/>
      <c r="AH94" s="304">
        <v>9.6348784906167655</v>
      </c>
      <c r="AI94" s="304">
        <v>8.4604971650761751</v>
      </c>
      <c r="AJ94" s="304">
        <v>3.7762012269294423</v>
      </c>
      <c r="AK94" s="304"/>
      <c r="AL94" s="304">
        <v>0.96474101548978464</v>
      </c>
      <c r="AM94" s="304">
        <v>0.91122524742966926</v>
      </c>
      <c r="AN94" s="304">
        <v>0.49116722268369567</v>
      </c>
    </row>
    <row r="95" spans="1:40" x14ac:dyDescent="0.2">
      <c r="A95" s="13" t="str">
        <f t="shared" si="80"/>
        <v>Associate professional occupations</v>
      </c>
      <c r="B95" s="305">
        <f t="shared" si="82"/>
        <v>212.09327729360885</v>
      </c>
      <c r="C95" s="305">
        <f t="shared" si="83"/>
        <v>211.13522396607937</v>
      </c>
      <c r="D95" s="305">
        <f t="shared" si="84"/>
        <v>215.32414367826797</v>
      </c>
      <c r="E95" s="305"/>
      <c r="F95" s="304">
        <v>2.6999972055817376</v>
      </c>
      <c r="G95" s="304">
        <v>3.6494973999954854</v>
      </c>
      <c r="H95" s="304">
        <v>6.1429188102795749</v>
      </c>
      <c r="I95" s="304"/>
      <c r="J95" s="304">
        <v>45.339203198824734</v>
      </c>
      <c r="K95" s="304">
        <v>59.387111727150867</v>
      </c>
      <c r="L95" s="304">
        <v>88.578969633837872</v>
      </c>
      <c r="M95" s="304"/>
      <c r="N95" s="304">
        <v>70.38772958205189</v>
      </c>
      <c r="O95" s="304">
        <v>70.861141411891808</v>
      </c>
      <c r="P95" s="304">
        <v>70.49882020499561</v>
      </c>
      <c r="Q95" s="304"/>
      <c r="R95" s="304">
        <v>29.418413132206258</v>
      </c>
      <c r="S95" s="304">
        <v>23.269696644041751</v>
      </c>
      <c r="T95" s="304">
        <v>16.337696223013349</v>
      </c>
      <c r="U95" s="304"/>
      <c r="V95" s="304">
        <v>13.322340251934666</v>
      </c>
      <c r="W95" s="304">
        <v>11.269976941175075</v>
      </c>
      <c r="X95" s="304">
        <v>9.9040530813672731</v>
      </c>
      <c r="Y95" s="304"/>
      <c r="Z95" s="304">
        <v>23.521511942431061</v>
      </c>
      <c r="AA95" s="304">
        <v>19.814746329430388</v>
      </c>
      <c r="AB95" s="304">
        <v>13.064236735869549</v>
      </c>
      <c r="AC95" s="304"/>
      <c r="AD95" s="304">
        <v>15.633583257421941</v>
      </c>
      <c r="AE95" s="304">
        <v>12.937264538003458</v>
      </c>
      <c r="AF95" s="304">
        <v>4.2013968926281589</v>
      </c>
      <c r="AG95" s="304"/>
      <c r="AH95" s="304">
        <v>10.632328856835397</v>
      </c>
      <c r="AI95" s="304">
        <v>8.9972811401855175</v>
      </c>
      <c r="AJ95" s="304">
        <v>5.8398540455685444</v>
      </c>
      <c r="AK95" s="304"/>
      <c r="AL95" s="304">
        <v>1.1381698663211681</v>
      </c>
      <c r="AM95" s="304">
        <v>0.94850783420499962</v>
      </c>
      <c r="AN95" s="304">
        <v>0.7561980507080337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76.963557008335286</v>
      </c>
      <c r="C96" s="305">
        <f t="shared" si="83"/>
        <v>65.675824492783079</v>
      </c>
      <c r="D96" s="305">
        <f t="shared" si="84"/>
        <v>50.187400951628504</v>
      </c>
      <c r="E96" s="305"/>
      <c r="F96" s="304">
        <v>0.94797460927216382</v>
      </c>
      <c r="G96" s="304">
        <v>1.2208848314924472</v>
      </c>
      <c r="H96" s="304">
        <v>1.8175439369181869</v>
      </c>
      <c r="I96" s="304"/>
      <c r="J96" s="304">
        <v>11.088031927951842</v>
      </c>
      <c r="K96" s="304">
        <v>14.888501582068857</v>
      </c>
      <c r="L96" s="304">
        <v>18.590428369541861</v>
      </c>
      <c r="M96" s="304"/>
      <c r="N96" s="304">
        <v>18.982208048767461</v>
      </c>
      <c r="O96" s="304">
        <v>18.368262904194093</v>
      </c>
      <c r="P96" s="304">
        <v>15.524423380194156</v>
      </c>
      <c r="Q96" s="304"/>
      <c r="R96" s="304">
        <v>10.560012202691045</v>
      </c>
      <c r="S96" s="304">
        <v>10.493499145570564</v>
      </c>
      <c r="T96" s="304">
        <v>8.7329143624005265</v>
      </c>
      <c r="U96" s="304"/>
      <c r="V96" s="304">
        <v>6.5412904401742837</v>
      </c>
      <c r="W96" s="304">
        <v>5.6064745718740117</v>
      </c>
      <c r="X96" s="304">
        <v>3.9868623512446213</v>
      </c>
      <c r="Y96" s="304"/>
      <c r="Z96" s="304">
        <v>11.443775342774591</v>
      </c>
      <c r="AA96" s="304">
        <v>9.5351690318883353</v>
      </c>
      <c r="AB96" s="304">
        <v>1.4021062927239811</v>
      </c>
      <c r="AC96" s="304"/>
      <c r="AD96" s="304">
        <v>8.0431633500948063</v>
      </c>
      <c r="AE96" s="304">
        <v>3.7567325763304384</v>
      </c>
      <c r="AF96" s="304">
        <v>8.894571783927524E-2</v>
      </c>
      <c r="AG96" s="304"/>
      <c r="AH96" s="304">
        <v>8.4469648532345367</v>
      </c>
      <c r="AI96" s="304">
        <v>1.5634592637396301</v>
      </c>
      <c r="AJ96" s="304">
        <v>4.036298240845209E-3</v>
      </c>
      <c r="AK96" s="304"/>
      <c r="AL96" s="304">
        <v>0.9101362333745574</v>
      </c>
      <c r="AM96" s="304">
        <v>0.2428405856247087</v>
      </c>
      <c r="AN96" s="304">
        <v>4.014024252505255E-2</v>
      </c>
    </row>
    <row r="97" spans="1:40" x14ac:dyDescent="0.2">
      <c r="A97" s="13" t="str">
        <f t="shared" si="80"/>
        <v>Skilled trades occupations</v>
      </c>
      <c r="B97" s="305">
        <f t="shared" si="82"/>
        <v>8.4031559645852205</v>
      </c>
      <c r="C97" s="305">
        <f t="shared" si="83"/>
        <v>7.8753961901811103</v>
      </c>
      <c r="D97" s="305">
        <f t="shared" si="84"/>
        <v>7.1483955229767604</v>
      </c>
      <c r="E97" s="304"/>
      <c r="F97" s="304">
        <v>0.12226950693021681</v>
      </c>
      <c r="G97" s="304">
        <v>0.15433676454122619</v>
      </c>
      <c r="H97" s="304">
        <v>0.22180252282206206</v>
      </c>
      <c r="I97" s="304"/>
      <c r="J97" s="304">
        <v>0.59443730379671045</v>
      </c>
      <c r="K97" s="304">
        <v>0.94807475276173214</v>
      </c>
      <c r="L97" s="304">
        <v>1.652658616880895</v>
      </c>
      <c r="M97" s="304"/>
      <c r="N97" s="304">
        <v>1.7001882788815885</v>
      </c>
      <c r="O97" s="304">
        <v>1.9911576958612203</v>
      </c>
      <c r="P97" s="304">
        <v>2.0687808900566105</v>
      </c>
      <c r="Q97" s="304"/>
      <c r="R97" s="304">
        <v>0.66770022104919857</v>
      </c>
      <c r="S97" s="304">
        <v>0.65418770896664202</v>
      </c>
      <c r="T97" s="304">
        <v>0.71805126808023989</v>
      </c>
      <c r="U97" s="304"/>
      <c r="V97" s="304">
        <v>0.60360793131708079</v>
      </c>
      <c r="W97" s="304">
        <v>0.57475767995964477</v>
      </c>
      <c r="X97" s="304">
        <v>0.60298976457142706</v>
      </c>
      <c r="Y97" s="304"/>
      <c r="Z97" s="304">
        <v>1.3759397466632348</v>
      </c>
      <c r="AA97" s="304">
        <v>0.88124871927334913</v>
      </c>
      <c r="AB97" s="304">
        <v>0.30950282893345576</v>
      </c>
      <c r="AC97" s="304"/>
      <c r="AD97" s="304">
        <v>1.6329117975250802</v>
      </c>
      <c r="AE97" s="304">
        <v>1.1864367741277873</v>
      </c>
      <c r="AF97" s="304">
        <v>0.63537792929739545</v>
      </c>
      <c r="AG97" s="304"/>
      <c r="AH97" s="304">
        <v>1.4149774038554868</v>
      </c>
      <c r="AI97" s="304">
        <v>1.2654123640873474</v>
      </c>
      <c r="AJ97" s="304">
        <v>0.8725150155905802</v>
      </c>
      <c r="AK97" s="304"/>
      <c r="AL97" s="304">
        <v>0.29112377456662575</v>
      </c>
      <c r="AM97" s="304">
        <v>0.21978373060216189</v>
      </c>
      <c r="AN97" s="304">
        <v>6.6716686744094617E-2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210.3690957760231</v>
      </c>
      <c r="C98" s="305">
        <f t="shared" si="83"/>
        <v>224.45886116170044</v>
      </c>
      <c r="D98" s="305">
        <f t="shared" si="84"/>
        <v>233.25076494998669</v>
      </c>
      <c r="E98" s="304"/>
      <c r="F98" s="304">
        <v>0.44225632435591505</v>
      </c>
      <c r="G98" s="304">
        <v>0.79608797293956191</v>
      </c>
      <c r="H98" s="304">
        <v>1.5336394539782852</v>
      </c>
      <c r="I98" s="304"/>
      <c r="J98" s="304">
        <v>17.940011472843835</v>
      </c>
      <c r="K98" s="304">
        <v>28.596873813875821</v>
      </c>
      <c r="L98" s="304">
        <v>54.764003894322812</v>
      </c>
      <c r="M98" s="304"/>
      <c r="N98" s="304">
        <v>34.586145524417702</v>
      </c>
      <c r="O98" s="304">
        <v>37.004059130650973</v>
      </c>
      <c r="P98" s="304">
        <v>40.940244037359996</v>
      </c>
      <c r="Q98" s="304"/>
      <c r="R98" s="304">
        <v>27.351024816960798</v>
      </c>
      <c r="S98" s="304">
        <v>25.384765437238826</v>
      </c>
      <c r="T98" s="304">
        <v>22.659759051459154</v>
      </c>
      <c r="U98" s="304"/>
      <c r="V98" s="304">
        <v>19.338163380880111</v>
      </c>
      <c r="W98" s="304">
        <v>19.035110976758418</v>
      </c>
      <c r="X98" s="304">
        <v>19.102666141737881</v>
      </c>
      <c r="Y98" s="304"/>
      <c r="Z98" s="304">
        <v>62.944052429397487</v>
      </c>
      <c r="AA98" s="304">
        <v>68.177213790209905</v>
      </c>
      <c r="AB98" s="304">
        <v>65.091873028924979</v>
      </c>
      <c r="AC98" s="304"/>
      <c r="AD98" s="304">
        <v>39.760120318623642</v>
      </c>
      <c r="AE98" s="304">
        <v>39.60024073208514</v>
      </c>
      <c r="AF98" s="304">
        <v>24.667865711929995</v>
      </c>
      <c r="AG98" s="304"/>
      <c r="AH98" s="304">
        <v>6.8085657354316185</v>
      </c>
      <c r="AI98" s="304">
        <v>4.8383144054004399</v>
      </c>
      <c r="AJ98" s="304">
        <v>3.860735837370004</v>
      </c>
      <c r="AK98" s="304"/>
      <c r="AL98" s="304">
        <v>1.1987557731119987</v>
      </c>
      <c r="AM98" s="304">
        <v>1.0261949025413364</v>
      </c>
      <c r="AN98" s="304">
        <v>0.62997779290354616</v>
      </c>
    </row>
    <row r="99" spans="1:40" x14ac:dyDescent="0.2">
      <c r="A99" s="13" t="str">
        <f t="shared" si="80"/>
        <v>Sales and customer service occupations</v>
      </c>
      <c r="B99" s="305">
        <f t="shared" si="82"/>
        <v>12.039185965453811</v>
      </c>
      <c r="C99" s="305">
        <f t="shared" si="83"/>
        <v>12.905586947292267</v>
      </c>
      <c r="D99" s="305">
        <f>SUM(H99,L99,P99,T99,X99,AB99,AF99,AJ99,AN99)</f>
        <v>12.042526318557409</v>
      </c>
      <c r="E99" s="304"/>
      <c r="F99" s="304">
        <v>0.12159177144722035</v>
      </c>
      <c r="G99" s="304">
        <v>0.17991851885065208</v>
      </c>
      <c r="H99" s="304">
        <v>0.29059754230852497</v>
      </c>
      <c r="I99" s="304"/>
      <c r="J99" s="304">
        <v>2.3240616834869074</v>
      </c>
      <c r="K99" s="304">
        <v>3.2682811068111617</v>
      </c>
      <c r="L99" s="304">
        <v>4.5512792221702121</v>
      </c>
      <c r="M99" s="304"/>
      <c r="N99" s="304">
        <v>3.1358240924635199</v>
      </c>
      <c r="O99" s="304">
        <v>3.2145938894116162</v>
      </c>
      <c r="P99" s="304">
        <v>2.9152045446429873</v>
      </c>
      <c r="Q99" s="304"/>
      <c r="R99" s="304">
        <v>1.8919521006961957</v>
      </c>
      <c r="S99" s="304">
        <v>1.7479311307416048</v>
      </c>
      <c r="T99" s="304">
        <v>1.4189811961886718</v>
      </c>
      <c r="U99" s="304"/>
      <c r="V99" s="304">
        <v>1.0196806519759443</v>
      </c>
      <c r="W99" s="304">
        <v>1.0480413704619098</v>
      </c>
      <c r="X99" s="304">
        <v>0.98238209782936925</v>
      </c>
      <c r="Y99" s="304"/>
      <c r="Z99" s="304">
        <v>1.6991457953973594</v>
      </c>
      <c r="AA99" s="304">
        <v>1.7707247446702246</v>
      </c>
      <c r="AB99" s="304">
        <v>1.2723273017256229</v>
      </c>
      <c r="AC99" s="304"/>
      <c r="AD99" s="304">
        <v>1.1048870758280809</v>
      </c>
      <c r="AE99" s="304">
        <v>0.96458632564590463</v>
      </c>
      <c r="AF99" s="304">
        <v>0.21122602125363948</v>
      </c>
      <c r="AG99" s="304"/>
      <c r="AH99" s="304">
        <v>0.56436239809503019</v>
      </c>
      <c r="AI99" s="304">
        <v>0.50977415541709792</v>
      </c>
      <c r="AJ99" s="304">
        <v>0.27134308688356967</v>
      </c>
      <c r="AK99" s="304"/>
      <c r="AL99" s="304">
        <v>0.17768039606355221</v>
      </c>
      <c r="AM99" s="304">
        <v>0.20173570528209669</v>
      </c>
      <c r="AN99" s="304">
        <v>0.12918530555481123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19.338787830903314</v>
      </c>
      <c r="C100" s="305">
        <f t="shared" si="83"/>
        <v>20.991660872165568</v>
      </c>
      <c r="D100" s="305">
        <f t="shared" si="84"/>
        <v>20.464766368652697</v>
      </c>
      <c r="E100" s="304"/>
      <c r="F100" s="304">
        <v>0.20578561014436877</v>
      </c>
      <c r="G100" s="304">
        <v>0.37342285175580586</v>
      </c>
      <c r="H100" s="304">
        <v>0.64841228208332524</v>
      </c>
      <c r="I100" s="304"/>
      <c r="J100" s="304">
        <v>0.78352440453790606</v>
      </c>
      <c r="K100" s="304">
        <v>1.4914362132973027</v>
      </c>
      <c r="L100" s="304">
        <v>2.9306270742900074</v>
      </c>
      <c r="M100" s="304"/>
      <c r="N100" s="304">
        <v>2.5493650024963026</v>
      </c>
      <c r="O100" s="304">
        <v>3.0924598119873541</v>
      </c>
      <c r="P100" s="304">
        <v>3.6931416402061221</v>
      </c>
      <c r="Q100" s="304"/>
      <c r="R100" s="304">
        <v>1.2283430851478503</v>
      </c>
      <c r="S100" s="304">
        <v>1.6513243935793434</v>
      </c>
      <c r="T100" s="304">
        <v>2.2265384241515505</v>
      </c>
      <c r="U100" s="304"/>
      <c r="V100" s="304">
        <v>2.9787630963300487</v>
      </c>
      <c r="W100" s="304">
        <v>3.4479039810895706</v>
      </c>
      <c r="X100" s="304">
        <v>4.4723872005084262</v>
      </c>
      <c r="Y100" s="304"/>
      <c r="Z100" s="304">
        <v>3.9419746263694697</v>
      </c>
      <c r="AA100" s="304">
        <v>3.6935829196592054</v>
      </c>
      <c r="AB100" s="304">
        <v>3.1755411841751346</v>
      </c>
      <c r="AC100" s="304"/>
      <c r="AD100" s="304">
        <v>2.3309620868270375</v>
      </c>
      <c r="AE100" s="304">
        <v>1.9348324419263998</v>
      </c>
      <c r="AF100" s="304">
        <v>0.74815528409453158</v>
      </c>
      <c r="AG100" s="304"/>
      <c r="AH100" s="304">
        <v>4.5744985388988262</v>
      </c>
      <c r="AI100" s="304">
        <v>4.4794241186770254</v>
      </c>
      <c r="AJ100" s="304">
        <v>1.8805690119207545</v>
      </c>
      <c r="AK100" s="304"/>
      <c r="AL100" s="304">
        <v>0.74557138015150148</v>
      </c>
      <c r="AM100" s="304">
        <v>0.82727414019356227</v>
      </c>
      <c r="AN100" s="304">
        <v>0.6893942672228458</v>
      </c>
    </row>
    <row r="101" spans="1:40" x14ac:dyDescent="0.2">
      <c r="A101" s="38" t="str">
        <f t="shared" si="80"/>
        <v>Elementary occupations</v>
      </c>
      <c r="B101" s="307">
        <f t="shared" si="82"/>
        <v>24.164553208307943</v>
      </c>
      <c r="C101" s="307">
        <f t="shared" si="83"/>
        <v>18.475273308698469</v>
      </c>
      <c r="D101" s="307">
        <f t="shared" si="84"/>
        <v>12.447490595507917</v>
      </c>
      <c r="E101" s="307"/>
      <c r="F101" s="307">
        <v>7.4654923105221677E-2</v>
      </c>
      <c r="G101" s="307">
        <v>0.1261860947796416</v>
      </c>
      <c r="H101" s="307">
        <v>0.2249946604012027</v>
      </c>
      <c r="I101" s="307"/>
      <c r="J101" s="307">
        <v>0.82015822653122594</v>
      </c>
      <c r="K101" s="307">
        <v>1.1031965282622271</v>
      </c>
      <c r="L101" s="307">
        <v>1.9077790247491107</v>
      </c>
      <c r="M101" s="307"/>
      <c r="N101" s="307">
        <v>1.8585659737093889</v>
      </c>
      <c r="O101" s="307">
        <v>1.8874649023311698</v>
      </c>
      <c r="P101" s="307">
        <v>2.123781778808945</v>
      </c>
      <c r="Q101" s="307"/>
      <c r="R101" s="307">
        <v>1.5042234557053498</v>
      </c>
      <c r="S101" s="307">
        <v>1.3794998566068417</v>
      </c>
      <c r="T101" s="307">
        <v>1.3811730392298289</v>
      </c>
      <c r="U101" s="307"/>
      <c r="V101" s="307">
        <v>1.2507893693964747</v>
      </c>
      <c r="W101" s="307">
        <v>1.2229985146422704</v>
      </c>
      <c r="X101" s="307">
        <v>1.2526691679006967</v>
      </c>
      <c r="Y101" s="307"/>
      <c r="Z101" s="307">
        <v>4.4688220735918689</v>
      </c>
      <c r="AA101" s="307">
        <v>3.616411118312886</v>
      </c>
      <c r="AB101" s="307">
        <v>2.1485820763524761</v>
      </c>
      <c r="AC101" s="307"/>
      <c r="AD101" s="307">
        <v>6.1000974549220066</v>
      </c>
      <c r="AE101" s="307">
        <v>5.0269214575378154</v>
      </c>
      <c r="AF101" s="307">
        <v>1.9900900615335049</v>
      </c>
      <c r="AG101" s="307"/>
      <c r="AH101" s="307">
        <v>6.3996590428540108</v>
      </c>
      <c r="AI101" s="307">
        <v>3.1212348852303244</v>
      </c>
      <c r="AJ101" s="307">
        <v>0.80973174935653669</v>
      </c>
      <c r="AK101" s="307"/>
      <c r="AL101" s="307">
        <v>1.6875826884923932</v>
      </c>
      <c r="AM101" s="307">
        <v>0.99135995099529139</v>
      </c>
      <c r="AN101" s="307">
        <v>0.60868903717561451</v>
      </c>
    </row>
  </sheetData>
  <mergeCells count="23">
    <mergeCell ref="B4:D4"/>
    <mergeCell ref="V4:X4"/>
    <mergeCell ref="R4:T4"/>
    <mergeCell ref="N4:P4"/>
    <mergeCell ref="J4:L4"/>
    <mergeCell ref="F4:H4"/>
    <mergeCell ref="N46:P46"/>
    <mergeCell ref="R46:T46"/>
    <mergeCell ref="V46:X46"/>
    <mergeCell ref="Z46:AB46"/>
    <mergeCell ref="N88:P88"/>
    <mergeCell ref="R88:T88"/>
    <mergeCell ref="V88:X88"/>
    <mergeCell ref="AL4:AN4"/>
    <mergeCell ref="AD46:AF46"/>
    <mergeCell ref="AH46:AJ46"/>
    <mergeCell ref="AL46:AN46"/>
    <mergeCell ref="Z4:AB4"/>
    <mergeCell ref="AD88:AF88"/>
    <mergeCell ref="Z88:AB88"/>
    <mergeCell ref="AH88:AJ88"/>
    <mergeCell ref="AD4:AF4"/>
    <mergeCell ref="AH4:AJ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43" orientation="landscape" r:id="rId1"/>
  <headerFooter alignWithMargins="0"/>
  <rowBreaks count="1" manualBreakCount="1">
    <brk id="42" max="39" man="1"/>
  </row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78" t="str">
        <f>CONCATENATE("Basic Table 2  Employment Change by Occupation and Replacement Demand, ",name!F4,", ",B$6,"-",F$6,", ",Info!B5)</f>
        <v>Basic Table 2  Employment Change by Occupation and Replacement Demand, RQF8 Doctorate, 2015-2035, London</v>
      </c>
      <c r="B1" s="378"/>
      <c r="C1" s="378"/>
      <c r="D1" s="378"/>
      <c r="E1" s="378"/>
      <c r="F1" s="378"/>
      <c r="G1" s="378"/>
      <c r="H1" s="378"/>
      <c r="I1" s="378"/>
      <c r="J1" s="378"/>
      <c r="L1" s="378" t="str">
        <f>CONCATENATE("Basic Table 2.1  Employment Change by Occupation and Replacement Demand, ",name!F5,", ",M$6,"-",Q$6,", ",Info!B5)</f>
        <v>Basic Table 2.1  Employment Change by Occupation and Replacement Demand, RQF7 Other higher degree, 2015-2035, London</v>
      </c>
      <c r="M1" s="378"/>
      <c r="N1" s="378"/>
      <c r="O1" s="378"/>
      <c r="P1" s="378"/>
      <c r="Q1" s="378"/>
      <c r="R1" s="378"/>
      <c r="S1" s="378"/>
      <c r="T1" s="378"/>
      <c r="U1" s="378"/>
      <c r="W1" s="378" t="str">
        <f>CONCATENATE("Basic Table 2.2  Employment Change by Occupation and Replacement Demand, ",name!F6,", ",X$6,"-",AB$6,", ",Info!B5)</f>
        <v>Basic Table 2.2  Employment Change by Occupation and Replacement Demand, RQF6 First degree, 2015-2035, London</v>
      </c>
      <c r="X1" s="378"/>
      <c r="Y1" s="378"/>
      <c r="Z1" s="378"/>
      <c r="AA1" s="378"/>
      <c r="AB1" s="378"/>
      <c r="AC1" s="378"/>
      <c r="AD1" s="378"/>
      <c r="AE1" s="378"/>
      <c r="AF1" s="378"/>
      <c r="AH1" s="378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London</v>
      </c>
      <c r="AI1" s="378"/>
      <c r="AJ1" s="378"/>
      <c r="AK1" s="378"/>
      <c r="AL1" s="378"/>
      <c r="AM1" s="378"/>
      <c r="AN1" s="378"/>
      <c r="AO1" s="378"/>
      <c r="AP1" s="378"/>
      <c r="AQ1" s="378"/>
      <c r="AS1" s="378" t="str">
        <f>CONCATENATE("Basic Table 2.4  Employment Change by Occupation and Replacement Demand, ",name!F8,", ",AT$6,"-",AX$6,", ",Info!B5)</f>
        <v>Basic Table 2.4  Employment Change by Occupation and Replacement Demand, RQF4 HE below degree level, 2015-2035, London</v>
      </c>
      <c r="AT1" s="378"/>
      <c r="AU1" s="378"/>
      <c r="AV1" s="378"/>
      <c r="AW1" s="378"/>
      <c r="AX1" s="378"/>
      <c r="AY1" s="378"/>
      <c r="AZ1" s="378"/>
      <c r="BA1" s="378"/>
      <c r="BB1" s="378"/>
      <c r="BD1" s="378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London</v>
      </c>
      <c r="BE1" s="378"/>
      <c r="BF1" s="378"/>
      <c r="BG1" s="378"/>
      <c r="BH1" s="378"/>
      <c r="BI1" s="378"/>
      <c r="BJ1" s="378"/>
      <c r="BK1" s="378"/>
      <c r="BL1" s="378"/>
      <c r="BM1" s="378"/>
      <c r="BO1" s="378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London</v>
      </c>
      <c r="BP1" s="378"/>
      <c r="BQ1" s="378"/>
      <c r="BR1" s="378"/>
      <c r="BS1" s="378"/>
      <c r="BT1" s="378"/>
      <c r="BU1" s="378"/>
      <c r="BV1" s="378"/>
      <c r="BW1" s="378"/>
      <c r="BX1" s="378"/>
      <c r="BZ1" s="378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London</v>
      </c>
      <c r="CA1" s="378"/>
      <c r="CB1" s="378"/>
      <c r="CC1" s="378"/>
      <c r="CD1" s="378"/>
      <c r="CE1" s="378"/>
      <c r="CF1" s="378"/>
      <c r="CG1" s="378"/>
      <c r="CH1" s="378"/>
      <c r="CI1" s="378"/>
      <c r="CK1" s="378" t="str">
        <f>CONCATENATE("Basic Table 2.8  Employment Change by Occupation and Replacement Demand, ",name!F12,", ",CL$6,"-",CP$6,", ",Info!B5)</f>
        <v>Basic Table 2.8  Employment Change by Occupation and Replacement Demand, No Qualification, 2015-2035, London</v>
      </c>
      <c r="CL1" s="378"/>
      <c r="CM1" s="378"/>
      <c r="CN1" s="378"/>
      <c r="CO1" s="378"/>
      <c r="CP1" s="378"/>
      <c r="CQ1" s="378"/>
      <c r="CR1" s="378"/>
      <c r="CS1" s="378"/>
      <c r="CT1" s="378"/>
    </row>
    <row r="2" spans="1:98" ht="12.75" customHeight="1" x14ac:dyDescent="0.2">
      <c r="A2" s="181" t="s">
        <v>540</v>
      </c>
      <c r="L2" s="85"/>
      <c r="W2" s="85"/>
      <c r="AH2" s="85"/>
      <c r="AS2" s="85"/>
      <c r="BD2" s="85"/>
      <c r="BO2" s="85"/>
      <c r="BZ2" s="85"/>
      <c r="CK2" s="85"/>
    </row>
    <row r="3" spans="1:98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  <c r="AM3" s="15" t="s">
        <v>35</v>
      </c>
      <c r="AQ3" s="15" t="s">
        <v>35</v>
      </c>
      <c r="AX3" s="15" t="s">
        <v>35</v>
      </c>
      <c r="BB3" s="15" t="s">
        <v>35</v>
      </c>
      <c r="BI3" s="15" t="s">
        <v>35</v>
      </c>
      <c r="BM3" s="15" t="s">
        <v>35</v>
      </c>
      <c r="BT3" s="15" t="s">
        <v>35</v>
      </c>
      <c r="BX3" s="15" t="s">
        <v>35</v>
      </c>
      <c r="CE3" s="15" t="s">
        <v>35</v>
      </c>
      <c r="CI3" s="15" t="s">
        <v>35</v>
      </c>
      <c r="CP3" s="15" t="s">
        <v>35</v>
      </c>
      <c r="CT3" s="15" t="s">
        <v>35</v>
      </c>
    </row>
    <row r="4" spans="1:98" x14ac:dyDescent="0.2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35"/>
      <c r="M4" s="35"/>
      <c r="N4" s="35"/>
      <c r="O4" s="35"/>
      <c r="P4" s="35"/>
      <c r="Q4" s="35"/>
      <c r="S4" s="27" t="str">
        <f>H4</f>
        <v>2020-2035</v>
      </c>
      <c r="T4" s="35"/>
      <c r="U4" s="35"/>
      <c r="W4" s="35"/>
      <c r="X4" s="35"/>
      <c r="Y4" s="35"/>
      <c r="Z4" s="35"/>
      <c r="AA4" s="35"/>
      <c r="AB4" s="35"/>
      <c r="AD4" s="27" t="str">
        <f>S4</f>
        <v>2020-2035</v>
      </c>
      <c r="AE4" s="35"/>
      <c r="AF4" s="35"/>
      <c r="AH4" s="35"/>
      <c r="AI4" s="35"/>
      <c r="AJ4" s="35"/>
      <c r="AK4" s="35"/>
      <c r="AL4" s="35"/>
      <c r="AM4" s="35"/>
      <c r="AO4" s="27" t="str">
        <f>AD4</f>
        <v>2020-2035</v>
      </c>
      <c r="AP4" s="35"/>
      <c r="AQ4" s="35"/>
      <c r="AS4" s="35"/>
      <c r="AT4" s="35"/>
      <c r="AU4" s="35"/>
      <c r="AV4" s="35"/>
      <c r="AW4" s="35"/>
      <c r="AX4" s="35"/>
      <c r="AZ4" s="27" t="str">
        <f>AO4</f>
        <v>2020-2035</v>
      </c>
      <c r="BA4" s="35"/>
      <c r="BB4" s="35"/>
      <c r="BD4" s="35"/>
      <c r="BE4" s="35"/>
      <c r="BF4" s="35"/>
      <c r="BG4" s="35"/>
      <c r="BH4" s="35"/>
      <c r="BI4" s="35"/>
      <c r="BK4" s="27" t="str">
        <f>AZ4</f>
        <v>2020-2035</v>
      </c>
      <c r="BL4" s="35"/>
      <c r="BM4" s="35"/>
      <c r="BO4" s="35"/>
      <c r="BP4" s="35"/>
      <c r="BQ4" s="35"/>
      <c r="BR4" s="35"/>
      <c r="BS4" s="35"/>
      <c r="BT4" s="35"/>
      <c r="BV4" s="27" t="str">
        <f>BK4</f>
        <v>2020-2035</v>
      </c>
      <c r="BW4" s="35"/>
      <c r="BX4" s="35"/>
      <c r="BZ4" s="35"/>
      <c r="CA4" s="35"/>
      <c r="CB4" s="35"/>
      <c r="CC4" s="35"/>
      <c r="CD4" s="35"/>
      <c r="CE4" s="35"/>
      <c r="CG4" s="27" t="str">
        <f>BV4</f>
        <v>2020-2035</v>
      </c>
      <c r="CH4" s="35"/>
      <c r="CI4" s="35"/>
      <c r="CK4" s="35"/>
      <c r="CL4" s="35"/>
      <c r="CM4" s="35"/>
      <c r="CN4" s="35"/>
      <c r="CO4" s="35"/>
      <c r="CP4" s="35"/>
      <c r="CR4" s="27" t="str">
        <f>CG4</f>
        <v>2020-2035</v>
      </c>
      <c r="CS4" s="35"/>
      <c r="CT4" s="35"/>
    </row>
    <row r="5" spans="1:98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  <c r="AO5" s="15" t="s">
        <v>29</v>
      </c>
      <c r="AP5" s="15" t="s">
        <v>30</v>
      </c>
      <c r="AQ5" s="15" t="s">
        <v>32</v>
      </c>
      <c r="AZ5" s="15" t="s">
        <v>29</v>
      </c>
      <c r="BA5" s="15" t="s">
        <v>30</v>
      </c>
      <c r="BB5" s="15" t="s">
        <v>32</v>
      </c>
      <c r="BK5" s="15" t="s">
        <v>29</v>
      </c>
      <c r="BL5" s="15" t="s">
        <v>30</v>
      </c>
      <c r="BM5" s="15" t="s">
        <v>32</v>
      </c>
      <c r="BV5" s="15" t="s">
        <v>29</v>
      </c>
      <c r="BW5" s="15" t="s">
        <v>30</v>
      </c>
      <c r="BX5" s="15" t="s">
        <v>32</v>
      </c>
      <c r="CG5" s="15" t="s">
        <v>29</v>
      </c>
      <c r="CH5" s="15" t="s">
        <v>30</v>
      </c>
      <c r="CI5" s="15" t="s">
        <v>32</v>
      </c>
      <c r="CR5" s="15" t="s">
        <v>29</v>
      </c>
      <c r="CS5" s="15" t="s">
        <v>30</v>
      </c>
      <c r="CT5" s="15" t="s">
        <v>32</v>
      </c>
    </row>
    <row r="6" spans="1:98" x14ac:dyDescent="0.2">
      <c r="A6" s="40" t="s">
        <v>13</v>
      </c>
      <c r="B6" s="34">
        <v>2015</v>
      </c>
      <c r="C6" s="34">
        <v>2019</v>
      </c>
      <c r="D6" s="34">
        <v>2020</v>
      </c>
      <c r="E6" s="34">
        <v>2025</v>
      </c>
      <c r="F6" s="34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34">
        <f>B6</f>
        <v>2015</v>
      </c>
      <c r="N6" s="34">
        <f t="shared" ref="N6:Q6" si="0">C6</f>
        <v>2019</v>
      </c>
      <c r="O6" s="34">
        <f t="shared" si="0"/>
        <v>2020</v>
      </c>
      <c r="P6" s="34">
        <f t="shared" si="0"/>
        <v>2025</v>
      </c>
      <c r="Q6" s="34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34">
        <f>M6</f>
        <v>2015</v>
      </c>
      <c r="Y6" s="34">
        <f t="shared" ref="Y6:AB6" si="1">N6</f>
        <v>2019</v>
      </c>
      <c r="Z6" s="34">
        <f t="shared" si="1"/>
        <v>2020</v>
      </c>
      <c r="AA6" s="34">
        <f t="shared" si="1"/>
        <v>2025</v>
      </c>
      <c r="AB6" s="34">
        <f t="shared" si="1"/>
        <v>2035</v>
      </c>
      <c r="AD6" s="62" t="s">
        <v>18</v>
      </c>
      <c r="AE6" s="62" t="s">
        <v>31</v>
      </c>
      <c r="AF6" s="62" t="s">
        <v>33</v>
      </c>
      <c r="AH6" s="40" t="s">
        <v>13</v>
      </c>
      <c r="AI6" s="34">
        <f>X6</f>
        <v>2015</v>
      </c>
      <c r="AJ6" s="34">
        <f t="shared" ref="AJ6" si="2">Y6</f>
        <v>2019</v>
      </c>
      <c r="AK6" s="34">
        <f t="shared" ref="AK6" si="3">Z6</f>
        <v>2020</v>
      </c>
      <c r="AL6" s="34">
        <f t="shared" ref="AL6" si="4">AA6</f>
        <v>2025</v>
      </c>
      <c r="AM6" s="34">
        <f t="shared" ref="AM6" si="5">AB6</f>
        <v>2035</v>
      </c>
      <c r="AO6" s="62" t="s">
        <v>18</v>
      </c>
      <c r="AP6" s="62" t="s">
        <v>31</v>
      </c>
      <c r="AQ6" s="62" t="s">
        <v>33</v>
      </c>
      <c r="AS6" s="40" t="s">
        <v>13</v>
      </c>
      <c r="AT6" s="34">
        <f>AI6</f>
        <v>2015</v>
      </c>
      <c r="AU6" s="34">
        <f t="shared" ref="AU6" si="6">AJ6</f>
        <v>2019</v>
      </c>
      <c r="AV6" s="34">
        <f t="shared" ref="AV6" si="7">AK6</f>
        <v>2020</v>
      </c>
      <c r="AW6" s="34">
        <f t="shared" ref="AW6" si="8">AL6</f>
        <v>2025</v>
      </c>
      <c r="AX6" s="34">
        <f t="shared" ref="AX6" si="9">AM6</f>
        <v>2035</v>
      </c>
      <c r="AZ6" s="62" t="s">
        <v>18</v>
      </c>
      <c r="BA6" s="62" t="s">
        <v>31</v>
      </c>
      <c r="BB6" s="62" t="s">
        <v>33</v>
      </c>
      <c r="BD6" s="40" t="s">
        <v>13</v>
      </c>
      <c r="BE6" s="34">
        <f>AT6</f>
        <v>2015</v>
      </c>
      <c r="BF6" s="34">
        <f t="shared" ref="BF6" si="10">AU6</f>
        <v>2019</v>
      </c>
      <c r="BG6" s="34">
        <f t="shared" ref="BG6" si="11">AV6</f>
        <v>2020</v>
      </c>
      <c r="BH6" s="34">
        <f t="shared" ref="BH6" si="12">AW6</f>
        <v>2025</v>
      </c>
      <c r="BI6" s="34">
        <f t="shared" ref="BI6" si="13">AX6</f>
        <v>2035</v>
      </c>
      <c r="BK6" s="62" t="s">
        <v>18</v>
      </c>
      <c r="BL6" s="62" t="s">
        <v>31</v>
      </c>
      <c r="BM6" s="62" t="s">
        <v>33</v>
      </c>
      <c r="BO6" s="40" t="s">
        <v>13</v>
      </c>
      <c r="BP6" s="34">
        <f>BE6</f>
        <v>2015</v>
      </c>
      <c r="BQ6" s="34">
        <f t="shared" ref="BQ6" si="14">BF6</f>
        <v>2019</v>
      </c>
      <c r="BR6" s="34">
        <f t="shared" ref="BR6" si="15">BG6</f>
        <v>2020</v>
      </c>
      <c r="BS6" s="34">
        <f t="shared" ref="BS6" si="16">BH6</f>
        <v>2025</v>
      </c>
      <c r="BT6" s="34">
        <f t="shared" ref="BT6" si="17">BI6</f>
        <v>2035</v>
      </c>
      <c r="BV6" s="62" t="s">
        <v>18</v>
      </c>
      <c r="BW6" s="62" t="s">
        <v>31</v>
      </c>
      <c r="BX6" s="62" t="s">
        <v>33</v>
      </c>
      <c r="BZ6" s="40" t="s">
        <v>13</v>
      </c>
      <c r="CA6" s="34">
        <f>BP6</f>
        <v>2015</v>
      </c>
      <c r="CB6" s="34">
        <f t="shared" ref="CB6" si="18">BQ6</f>
        <v>2019</v>
      </c>
      <c r="CC6" s="34">
        <f t="shared" ref="CC6" si="19">BR6</f>
        <v>2020</v>
      </c>
      <c r="CD6" s="34">
        <f t="shared" ref="CD6" si="20">BS6</f>
        <v>2025</v>
      </c>
      <c r="CE6" s="34">
        <f t="shared" ref="CE6" si="21">BT6</f>
        <v>2035</v>
      </c>
      <c r="CG6" s="62" t="s">
        <v>18</v>
      </c>
      <c r="CH6" s="62" t="s">
        <v>31</v>
      </c>
      <c r="CI6" s="62" t="s">
        <v>33</v>
      </c>
      <c r="CK6" s="40" t="s">
        <v>13</v>
      </c>
      <c r="CL6" s="34">
        <f>CA6</f>
        <v>2015</v>
      </c>
      <c r="CM6" s="34">
        <f t="shared" ref="CM6" si="22">CB6</f>
        <v>2019</v>
      </c>
      <c r="CN6" s="34">
        <f t="shared" ref="CN6" si="23">CC6</f>
        <v>2020</v>
      </c>
      <c r="CO6" s="34">
        <f t="shared" ref="CO6" si="24">CD6</f>
        <v>2025</v>
      </c>
      <c r="CP6" s="34">
        <f t="shared" ref="CP6" si="25">CE6</f>
        <v>2035</v>
      </c>
      <c r="CR6" s="62" t="s">
        <v>18</v>
      </c>
      <c r="CS6" s="62" t="s">
        <v>31</v>
      </c>
      <c r="CT6" s="62" t="s">
        <v>33</v>
      </c>
    </row>
    <row r="8" spans="1:98" x14ac:dyDescent="0.2">
      <c r="A8" s="10" t="str">
        <f>name!D4</f>
        <v>11 Corporate managers and directors</v>
      </c>
      <c r="B8" s="68">
        <v>9.5900932959288259</v>
      </c>
      <c r="C8" s="68">
        <v>14.004919169975055</v>
      </c>
      <c r="D8" s="68">
        <v>14.461940910585088</v>
      </c>
      <c r="E8" s="68">
        <v>19.235104695180596</v>
      </c>
      <c r="F8" s="68">
        <v>30.703903063863486</v>
      </c>
      <c r="G8" s="10"/>
      <c r="H8" s="68">
        <f>F8-D8</f>
        <v>16.241962153278397</v>
      </c>
      <c r="I8" s="68">
        <f>'RD T1'!E36</f>
        <v>11.970349848330507</v>
      </c>
      <c r="J8" s="68">
        <f>SUM(H8:I8)</f>
        <v>28.212312001608904</v>
      </c>
      <c r="L8" t="str">
        <f>A8</f>
        <v>11 Corporate managers and directors</v>
      </c>
      <c r="M8" s="68">
        <v>78.395701060941704</v>
      </c>
      <c r="N8" s="68">
        <v>112.72592567266894</v>
      </c>
      <c r="O8" s="68">
        <v>123.13672140516366</v>
      </c>
      <c r="P8" s="68">
        <v>156.10298027777395</v>
      </c>
      <c r="Q8" s="68">
        <v>244.73622289944947</v>
      </c>
      <c r="R8" s="10"/>
      <c r="S8" s="68">
        <f>Q8-O8</f>
        <v>121.59950149428582</v>
      </c>
      <c r="T8" s="68">
        <f>'RD T1'!E65</f>
        <v>95.754075611336248</v>
      </c>
      <c r="U8" s="68">
        <f>SUM(S8:T8)</f>
        <v>217.35357710562207</v>
      </c>
      <c r="W8" t="str">
        <f>A8</f>
        <v>11 Corporate managers and directors</v>
      </c>
      <c r="X8" s="68">
        <v>153.54201118006654</v>
      </c>
      <c r="Y8" s="68">
        <v>179.80412848516241</v>
      </c>
      <c r="Z8" s="68">
        <v>180.22626035275246</v>
      </c>
      <c r="AA8" s="68">
        <v>159.48957184978187</v>
      </c>
      <c r="AB8" s="68">
        <v>146.07043031223284</v>
      </c>
      <c r="AC8" s="68"/>
      <c r="AD8" s="68">
        <f>AB8-Z8</f>
        <v>-34.155830040519618</v>
      </c>
      <c r="AE8" s="68">
        <f>'RD T1'!E94</f>
        <v>90.895408892218043</v>
      </c>
      <c r="AF8" s="68">
        <f>SUM(AD8:AE8)</f>
        <v>56.739578851698425</v>
      </c>
      <c r="AH8" t="str">
        <f>L8</f>
        <v>11 Corporate managers and directors</v>
      </c>
      <c r="AI8" s="68">
        <v>24.593462461105212</v>
      </c>
      <c r="AJ8" s="68">
        <v>27.105874872954061</v>
      </c>
      <c r="AK8" s="68">
        <v>28.542800274104131</v>
      </c>
      <c r="AL8" s="68">
        <v>24.392015967871142</v>
      </c>
      <c r="AM8" s="68">
        <v>22.660628114174017</v>
      </c>
      <c r="AN8" s="68"/>
      <c r="AO8" s="68">
        <f>AM8-AK8</f>
        <v>-5.8821721599301142</v>
      </c>
      <c r="AP8" s="68">
        <f>'RD T1'!E123</f>
        <v>12.778889651528633</v>
      </c>
      <c r="AQ8" s="68">
        <f>SUM(AO8:AP8)</f>
        <v>6.896717491598519</v>
      </c>
      <c r="AS8" t="str">
        <f>W8</f>
        <v>11 Corporate managers and directors</v>
      </c>
      <c r="AT8" s="68">
        <v>38.081182523623063</v>
      </c>
      <c r="AU8" s="68">
        <v>42.793439541623002</v>
      </c>
      <c r="AV8" s="68">
        <v>44.55149097224929</v>
      </c>
      <c r="AW8" s="68">
        <v>37.583134366684192</v>
      </c>
      <c r="AX8" s="68">
        <v>34.030505531632372</v>
      </c>
      <c r="AY8" s="68"/>
      <c r="AZ8" s="68">
        <f>AX8-AV8</f>
        <v>-10.520985440616919</v>
      </c>
      <c r="BA8" s="68">
        <f>'RD T1'!E152</f>
        <v>20.126149740487474</v>
      </c>
      <c r="BB8" s="68">
        <f>SUM(AZ8:BA8)</f>
        <v>9.6051642998705553</v>
      </c>
      <c r="BD8" t="str">
        <f>AH8</f>
        <v>11 Corporate managers and directors</v>
      </c>
      <c r="BE8" s="68">
        <v>52.398823596348592</v>
      </c>
      <c r="BF8" s="68">
        <v>54.686070966793714</v>
      </c>
      <c r="BG8" s="68">
        <v>56.439359099443209</v>
      </c>
      <c r="BH8" s="68">
        <v>41.112854040231049</v>
      </c>
      <c r="BI8" s="68">
        <v>29.587561132745115</v>
      </c>
      <c r="BJ8" s="68"/>
      <c r="BK8" s="68">
        <f>BI8-BG8</f>
        <v>-26.851797966698093</v>
      </c>
      <c r="BL8" s="68">
        <f>'RD T1'!E181</f>
        <v>16.017617867344647</v>
      </c>
      <c r="BM8" s="68">
        <f>SUM(BK8:BL8)</f>
        <v>-10.834180099353446</v>
      </c>
      <c r="BO8" t="str">
        <f>AS8</f>
        <v>11 Corporate managers and directors</v>
      </c>
      <c r="BP8" s="68">
        <v>41.677390807456149</v>
      </c>
      <c r="BQ8" s="68">
        <v>48.112040408950882</v>
      </c>
      <c r="BR8" s="68">
        <v>38.475667503143548</v>
      </c>
      <c r="BS8" s="68">
        <v>30.060940105104642</v>
      </c>
      <c r="BT8" s="68">
        <v>13.962630989455908</v>
      </c>
      <c r="BU8" s="68"/>
      <c r="BV8" s="68">
        <f>BT8-BR8</f>
        <v>-24.513036513687638</v>
      </c>
      <c r="BW8" s="68">
        <f>'RD T1'!E210</f>
        <v>9.650034399302724</v>
      </c>
      <c r="BX8" s="68">
        <f>SUM(BV8:BW8)</f>
        <v>-14.863002114384914</v>
      </c>
      <c r="BZ8" t="str">
        <f>BD8</f>
        <v>11 Corporate managers and directors</v>
      </c>
      <c r="CA8" s="68">
        <v>34.42680801486128</v>
      </c>
      <c r="CB8" s="68">
        <v>37.268398831935826</v>
      </c>
      <c r="CC8" s="68">
        <v>36.244020473880418</v>
      </c>
      <c r="CD8" s="68">
        <v>31.947324070097292</v>
      </c>
      <c r="CE8" s="68">
        <v>18.91257495897554</v>
      </c>
      <c r="CF8" s="68"/>
      <c r="CG8" s="68">
        <f>CE8-CC8</f>
        <v>-17.331445514904878</v>
      </c>
      <c r="CH8" s="68">
        <f>'RD T1'!E239</f>
        <v>10.416019983579096</v>
      </c>
      <c r="CI8" s="68">
        <f>SUM(CG8:CH8)</f>
        <v>-6.9154255313257824</v>
      </c>
      <c r="CK8" t="str">
        <f>BO8</f>
        <v>11 Corporate managers and directors</v>
      </c>
      <c r="CL8" s="68">
        <v>6.9138924722048571</v>
      </c>
      <c r="CM8" s="68">
        <v>7.0097901201334931</v>
      </c>
      <c r="CN8" s="68">
        <v>4.7927772944815707</v>
      </c>
      <c r="CO8" s="68">
        <v>3.6773083880944464</v>
      </c>
      <c r="CP8" s="68">
        <v>2.8488552012183552</v>
      </c>
      <c r="CQ8" s="68"/>
      <c r="CR8" s="68">
        <f>CP8-CN8</f>
        <v>-1.9439220932632155</v>
      </c>
      <c r="CS8" s="68">
        <f>'RD T1'!E268</f>
        <v>1.0577678693128689</v>
      </c>
      <c r="CT8" s="68">
        <f>SUM(CR8:CS8)</f>
        <v>-0.8861542239503466</v>
      </c>
    </row>
    <row r="9" spans="1:98" x14ac:dyDescent="0.2">
      <c r="A9" s="10" t="str">
        <f>name!D5</f>
        <v>12 Other managers and proprietors</v>
      </c>
      <c r="B9" s="68">
        <v>3.382992273198167</v>
      </c>
      <c r="C9" s="68">
        <v>4.6164843752725888</v>
      </c>
      <c r="D9" s="68">
        <v>4.5775901397419698</v>
      </c>
      <c r="E9" s="68">
        <v>8.5177279180479761</v>
      </c>
      <c r="F9" s="68">
        <v>15.502460970232857</v>
      </c>
      <c r="H9" s="68">
        <f>F9-D9</f>
        <v>10.924870830490887</v>
      </c>
      <c r="I9" s="68">
        <f>'RD T1'!E37</f>
        <v>6.0890034533778064</v>
      </c>
      <c r="J9" s="68">
        <f t="shared" ref="J9:J32" si="26">SUM(H9:I9)</f>
        <v>17.013874283868695</v>
      </c>
      <c r="L9" t="str">
        <f t="shared" ref="L9:L32" si="27">A9</f>
        <v>12 Other managers and proprietors</v>
      </c>
      <c r="M9" s="68">
        <v>28.899887237509322</v>
      </c>
      <c r="N9" s="68">
        <v>38.13152356968515</v>
      </c>
      <c r="O9" s="68">
        <v>41.193734284885188</v>
      </c>
      <c r="P9" s="68">
        <v>69.577998802115303</v>
      </c>
      <c r="Q9" s="68">
        <v>117.20682725354901</v>
      </c>
      <c r="S9" s="68">
        <f t="shared" ref="S9:S32" si="28">Q9-O9</f>
        <v>76.013092968663813</v>
      </c>
      <c r="T9" s="68">
        <f>'RD T1'!E66</f>
        <v>47.724915919390249</v>
      </c>
      <c r="U9" s="68">
        <f t="shared" ref="U9:U32" si="29">SUM(S9:T9)</f>
        <v>123.73800888805405</v>
      </c>
      <c r="W9" t="str">
        <f t="shared" ref="W9:W32" si="30">A9</f>
        <v>12 Other managers and proprietors</v>
      </c>
      <c r="X9" s="68">
        <v>54.306273506092488</v>
      </c>
      <c r="Y9" s="68">
        <v>57.491579016247414</v>
      </c>
      <c r="Z9" s="68">
        <v>58.448804210275128</v>
      </c>
      <c r="AA9" s="68">
        <v>70.422658181963087</v>
      </c>
      <c r="AB9" s="68">
        <v>71.425254436554994</v>
      </c>
      <c r="AC9" s="68"/>
      <c r="AD9" s="68">
        <f t="shared" ref="AD9:AD32" si="31">AB9-Z9</f>
        <v>12.976450226279866</v>
      </c>
      <c r="AE9" s="68">
        <f>'RD T1'!E95</f>
        <v>44.139779311529729</v>
      </c>
      <c r="AF9" s="68">
        <f t="shared" ref="AF9:AF32" si="32">SUM(AD9:AE9)</f>
        <v>57.116229537809595</v>
      </c>
      <c r="AH9" t="str">
        <f t="shared" ref="AH9:AH32" si="33">L9</f>
        <v>12 Other managers and proprietors</v>
      </c>
      <c r="AI9" s="68">
        <v>11.799913215036391</v>
      </c>
      <c r="AJ9" s="68">
        <v>12.88659204102451</v>
      </c>
      <c r="AK9" s="68">
        <v>13.572825573918719</v>
      </c>
      <c r="AL9" s="68">
        <v>15.260924732858921</v>
      </c>
      <c r="AM9" s="68">
        <v>15.203880205285746</v>
      </c>
      <c r="AN9" s="68"/>
      <c r="AO9" s="68">
        <f t="shared" ref="AO9:AO32" si="34">AM9-AK9</f>
        <v>1.6310546313670269</v>
      </c>
      <c r="AP9" s="68">
        <f>'RD T1'!E124</f>
        <v>9.5288863024994903</v>
      </c>
      <c r="AQ9" s="68">
        <f t="shared" ref="AQ9:AQ32" si="35">SUM(AO9:AP9)</f>
        <v>11.159940933866517</v>
      </c>
      <c r="AS9" t="str">
        <f t="shared" ref="AS9:AS32" si="36">W9</f>
        <v>12 Other managers and proprietors</v>
      </c>
      <c r="AT9" s="68">
        <v>16.902764537519953</v>
      </c>
      <c r="AU9" s="68">
        <v>18.010739315115657</v>
      </c>
      <c r="AV9" s="68">
        <v>18.690116210710254</v>
      </c>
      <c r="AW9" s="68">
        <v>22.108678580711103</v>
      </c>
      <c r="AX9" s="68">
        <v>21.458835156042646</v>
      </c>
      <c r="AY9" s="68"/>
      <c r="AZ9" s="68">
        <f t="shared" ref="AZ9:AZ32" si="37">AX9-AV9</f>
        <v>2.7687189453323917</v>
      </c>
      <c r="BA9" s="68">
        <f>'RD T1'!E153</f>
        <v>13.299661572489121</v>
      </c>
      <c r="BB9" s="68">
        <f t="shared" ref="BB9:BB32" si="38">SUM(AZ9:BA9)</f>
        <v>16.068380517821513</v>
      </c>
      <c r="BD9" t="str">
        <f t="shared" ref="BD9:BD32" si="39">AH9</f>
        <v>12 Other managers and proprietors</v>
      </c>
      <c r="BE9" s="68">
        <v>24.318701253537803</v>
      </c>
      <c r="BF9" s="68">
        <v>22.110694152577761</v>
      </c>
      <c r="BG9" s="68">
        <v>22.464822398307785</v>
      </c>
      <c r="BH9" s="68">
        <v>21.550012593785539</v>
      </c>
      <c r="BI9" s="68">
        <v>15.546478947526058</v>
      </c>
      <c r="BJ9" s="68"/>
      <c r="BK9" s="68">
        <f t="shared" ref="BK9:BK32" si="40">BI9-BG9</f>
        <v>-6.9183434507817267</v>
      </c>
      <c r="BL9" s="68">
        <f>'RD T1'!E182</f>
        <v>8.8331946106378076</v>
      </c>
      <c r="BM9" s="68">
        <f t="shared" ref="BM9:BM32" si="41">SUM(BK9:BL9)</f>
        <v>1.9148511598560809</v>
      </c>
      <c r="BO9" t="str">
        <f t="shared" ref="BO9:BO32" si="42">AS9</f>
        <v>12 Other managers and proprietors</v>
      </c>
      <c r="BP9" s="68">
        <v>21.272402873289899</v>
      </c>
      <c r="BQ9" s="68">
        <v>22.937469619318758</v>
      </c>
      <c r="BR9" s="68">
        <v>18.212856268586286</v>
      </c>
      <c r="BS9" s="68">
        <v>20.694118564122117</v>
      </c>
      <c r="BT9" s="68">
        <v>12.623959016894691</v>
      </c>
      <c r="BU9" s="68"/>
      <c r="BV9" s="68">
        <f t="shared" ref="BV9:BV32" si="43">BT9-BR9</f>
        <v>-5.5888972516915949</v>
      </c>
      <c r="BW9" s="68">
        <f>'RD T1'!E211</f>
        <v>8.0670265767453682</v>
      </c>
      <c r="BX9" s="68">
        <f t="shared" ref="BX9:BX32" si="44">SUM(BV9:BW9)</f>
        <v>2.4781293250537733</v>
      </c>
      <c r="BZ9" t="str">
        <f t="shared" ref="BZ9:BZ32" si="45">BD9</f>
        <v>12 Other managers and proprietors</v>
      </c>
      <c r="CA9" s="68">
        <v>18.845138589642509</v>
      </c>
      <c r="CB9" s="68">
        <v>18.992905659813577</v>
      </c>
      <c r="CC9" s="68">
        <v>17.026539450378216</v>
      </c>
      <c r="CD9" s="68">
        <v>17.985013974114469</v>
      </c>
      <c r="CE9" s="68">
        <v>10.492917950211972</v>
      </c>
      <c r="CF9" s="68"/>
      <c r="CG9" s="68">
        <f t="shared" ref="CG9:CG32" si="46">CE9-CC9</f>
        <v>-6.5336215001662445</v>
      </c>
      <c r="CH9" s="68">
        <f>'RD T1'!E240</f>
        <v>6.1251671610723886</v>
      </c>
      <c r="CI9" s="68">
        <f t="shared" ref="CI9:CI32" si="47">SUM(CG9:CH9)</f>
        <v>-0.40845433909385598</v>
      </c>
      <c r="CK9" t="str">
        <f t="shared" ref="CK9:CK32" si="48">BO9</f>
        <v>12 Other managers and proprietors</v>
      </c>
      <c r="CL9" s="68">
        <v>7.1145531156190058</v>
      </c>
      <c r="CM9" s="68">
        <v>6.1823495644074304</v>
      </c>
      <c r="CN9" s="68">
        <v>4.0149055623496857</v>
      </c>
      <c r="CO9" s="68">
        <v>4.3722592044562916</v>
      </c>
      <c r="CP9" s="68">
        <v>2.4528338465996056</v>
      </c>
      <c r="CQ9" s="68"/>
      <c r="CR9" s="68">
        <f t="shared" ref="CR9:CR32" si="49">CP9-CN9</f>
        <v>-1.5620717157500801</v>
      </c>
      <c r="CS9" s="68">
        <f>'RD T1'!E269</f>
        <v>1.2005559254719675</v>
      </c>
      <c r="CT9" s="68">
        <f t="shared" ref="CT9:CT32" si="50">SUM(CR9:CS9)</f>
        <v>-0.36151579027811254</v>
      </c>
    </row>
    <row r="10" spans="1:98" x14ac:dyDescent="0.2">
      <c r="A10" s="10" t="str">
        <f>name!D6</f>
        <v>21 Science, research, engineering and technology professionals</v>
      </c>
      <c r="B10" s="68">
        <v>18.794995055163906</v>
      </c>
      <c r="C10" s="68">
        <v>25.574685630817012</v>
      </c>
      <c r="D10" s="68">
        <v>26.755776053019293</v>
      </c>
      <c r="E10" s="68">
        <v>35.94644787924102</v>
      </c>
      <c r="F10" s="68">
        <v>50.106336427552094</v>
      </c>
      <c r="G10" s="11"/>
      <c r="H10" s="68">
        <f t="shared" ref="H10:H32" si="51">F10-D10</f>
        <v>23.350560374532801</v>
      </c>
      <c r="I10" s="68">
        <f>'RD T1'!E38</f>
        <v>15.324373764383882</v>
      </c>
      <c r="J10" s="68">
        <f t="shared" si="26"/>
        <v>38.674934138916683</v>
      </c>
      <c r="L10" t="str">
        <f t="shared" si="27"/>
        <v>21 Science, research, engineering and technology professionals</v>
      </c>
      <c r="M10" s="68">
        <v>85.04990859795403</v>
      </c>
      <c r="N10" s="68">
        <v>123.02880297957547</v>
      </c>
      <c r="O10" s="68">
        <v>135.15460440212206</v>
      </c>
      <c r="P10" s="68">
        <v>189.44266361462536</v>
      </c>
      <c r="Q10" s="68">
        <v>279.58079733615909</v>
      </c>
      <c r="R10" s="11"/>
      <c r="S10" s="68">
        <f t="shared" si="28"/>
        <v>144.42619293403703</v>
      </c>
      <c r="T10" s="68">
        <f>'RD T1'!E67</f>
        <v>84.913601155477892</v>
      </c>
      <c r="U10" s="68">
        <f t="shared" si="29"/>
        <v>229.33979408951492</v>
      </c>
      <c r="W10" t="str">
        <f t="shared" si="30"/>
        <v>21 Science, research, engineering and technology professionals</v>
      </c>
      <c r="X10" s="68">
        <v>134.21597750545351</v>
      </c>
      <c r="Y10" s="68">
        <v>146.43954196406378</v>
      </c>
      <c r="Z10" s="68">
        <v>151.10260258774679</v>
      </c>
      <c r="AA10" s="68">
        <v>140.93318120715617</v>
      </c>
      <c r="AB10" s="68">
        <v>114.52340407392155</v>
      </c>
      <c r="AC10" s="68"/>
      <c r="AD10" s="68">
        <f t="shared" si="31"/>
        <v>-36.579198513825233</v>
      </c>
      <c r="AE10" s="68">
        <f>'RD T1'!E96</f>
        <v>55.436568918070236</v>
      </c>
      <c r="AF10" s="68">
        <f t="shared" si="32"/>
        <v>18.857370404245003</v>
      </c>
      <c r="AH10" t="str">
        <f t="shared" si="33"/>
        <v>21 Science, research, engineering and technology professionals</v>
      </c>
      <c r="AI10" s="68">
        <v>14.093456754491363</v>
      </c>
      <c r="AJ10" s="68">
        <v>15.621694025354422</v>
      </c>
      <c r="AK10" s="68">
        <v>17.058868419809119</v>
      </c>
      <c r="AL10" s="68">
        <v>16.83179910240624</v>
      </c>
      <c r="AM10" s="68">
        <v>15.379616291987611</v>
      </c>
      <c r="AN10" s="68"/>
      <c r="AO10" s="68">
        <f t="shared" si="34"/>
        <v>-1.679252127821508</v>
      </c>
      <c r="AP10" s="68">
        <f>'RD T1'!E125</f>
        <v>6.6309229519210522</v>
      </c>
      <c r="AQ10" s="68">
        <f t="shared" si="35"/>
        <v>4.9516708240995442</v>
      </c>
      <c r="AS10" t="str">
        <f t="shared" si="36"/>
        <v>21 Science, research, engineering and technology professionals</v>
      </c>
      <c r="AT10" s="68">
        <v>27.520358808582305</v>
      </c>
      <c r="AU10" s="68">
        <v>30.228100172441028</v>
      </c>
      <c r="AV10" s="68">
        <v>31.828906142966215</v>
      </c>
      <c r="AW10" s="68">
        <v>28.341155276076435</v>
      </c>
      <c r="AX10" s="68">
        <v>23.680330985950111</v>
      </c>
      <c r="AY10" s="68"/>
      <c r="AZ10" s="68">
        <f t="shared" si="37"/>
        <v>-8.1485751570161042</v>
      </c>
      <c r="BA10" s="68">
        <f>'RD T1'!E154</f>
        <v>11.125633209714309</v>
      </c>
      <c r="BB10" s="68">
        <f t="shared" si="38"/>
        <v>2.9770580526982044</v>
      </c>
      <c r="BD10" t="str">
        <f t="shared" si="39"/>
        <v>21 Science, research, engineering and technology professionals</v>
      </c>
      <c r="BE10" s="68">
        <v>24.399493653240388</v>
      </c>
      <c r="BF10" s="68">
        <v>22.796315283549468</v>
      </c>
      <c r="BG10" s="68">
        <v>25.729731832248724</v>
      </c>
      <c r="BH10" s="68">
        <v>18.144450486393104</v>
      </c>
      <c r="BI10" s="68">
        <v>11.377353982604754</v>
      </c>
      <c r="BJ10" s="68"/>
      <c r="BK10" s="68">
        <f t="shared" si="40"/>
        <v>-14.35237784964397</v>
      </c>
      <c r="BL10" s="68">
        <f>'RD T1'!E183</f>
        <v>4.7060294832805525</v>
      </c>
      <c r="BM10" s="68">
        <f t="shared" si="41"/>
        <v>-9.6463483663634175</v>
      </c>
      <c r="BO10" t="str">
        <f t="shared" si="42"/>
        <v>21 Science, research, engineering and technology professionals</v>
      </c>
      <c r="BP10" s="68">
        <v>19.374434996340714</v>
      </c>
      <c r="BQ10" s="68">
        <v>22.191622167728671</v>
      </c>
      <c r="BR10" s="68">
        <v>18.299253470914934</v>
      </c>
      <c r="BS10" s="68">
        <v>16.313973841808544</v>
      </c>
      <c r="BT10" s="68">
        <v>9.248874706846177</v>
      </c>
      <c r="BU10" s="68"/>
      <c r="BV10" s="68">
        <f t="shared" si="43"/>
        <v>-9.050378764068757</v>
      </c>
      <c r="BW10" s="68">
        <f>'RD T1'!E212</f>
        <v>4.1880225004544824</v>
      </c>
      <c r="BX10" s="68">
        <f t="shared" si="44"/>
        <v>-4.8623562636142745</v>
      </c>
      <c r="BZ10" t="str">
        <f t="shared" si="45"/>
        <v>21 Science, research, engineering and technology professionals</v>
      </c>
      <c r="CA10" s="68">
        <v>14.558500811599458</v>
      </c>
      <c r="CB10" s="68">
        <v>15.557710028847575</v>
      </c>
      <c r="CC10" s="68">
        <v>14.843486699094344</v>
      </c>
      <c r="CD10" s="68">
        <v>12.329948233156177</v>
      </c>
      <c r="CE10" s="68">
        <v>4.7024167619690118</v>
      </c>
      <c r="CF10" s="68"/>
      <c r="CG10" s="68">
        <f t="shared" si="46"/>
        <v>-10.141069937125332</v>
      </c>
      <c r="CH10" s="68">
        <f>'RD T1'!E241</f>
        <v>2.5401358631507787</v>
      </c>
      <c r="CI10" s="68">
        <f t="shared" si="47"/>
        <v>-7.6009340739745532</v>
      </c>
      <c r="CK10" t="str">
        <f t="shared" si="48"/>
        <v>21 Science, research, engineering and technology professionals</v>
      </c>
      <c r="CL10" s="68">
        <v>3.5900722485380254</v>
      </c>
      <c r="CM10" s="68">
        <v>4.3410405267562346</v>
      </c>
      <c r="CN10" s="68">
        <v>3.065628036016669</v>
      </c>
      <c r="CO10" s="68">
        <v>3.4625459293192167</v>
      </c>
      <c r="CP10" s="68">
        <v>2.9707313524127166</v>
      </c>
      <c r="CQ10" s="68"/>
      <c r="CR10" s="68">
        <f t="shared" si="49"/>
        <v>-9.4896683603952425E-2</v>
      </c>
      <c r="CS10" s="68">
        <f>'RD T1'!E270</f>
        <v>0.94930136618067429</v>
      </c>
      <c r="CT10" s="68">
        <f t="shared" si="50"/>
        <v>0.85440468257672186</v>
      </c>
    </row>
    <row r="11" spans="1:98" x14ac:dyDescent="0.2">
      <c r="A11" s="10" t="str">
        <f>name!D7</f>
        <v>22 Health professionals</v>
      </c>
      <c r="B11" s="68">
        <v>15.914095267392401</v>
      </c>
      <c r="C11" s="68">
        <v>23.438479978607521</v>
      </c>
      <c r="D11" s="68">
        <v>25.466440555518659</v>
      </c>
      <c r="E11" s="68">
        <v>34.807039065061652</v>
      </c>
      <c r="F11" s="68">
        <v>49.188215925115223</v>
      </c>
      <c r="G11" s="11"/>
      <c r="H11" s="68">
        <f t="shared" si="51"/>
        <v>23.721775369596564</v>
      </c>
      <c r="I11" s="68">
        <f>'RD T1'!E39</f>
        <v>19.101951231016091</v>
      </c>
      <c r="J11" s="68">
        <f t="shared" si="26"/>
        <v>42.823726600612659</v>
      </c>
      <c r="L11" t="str">
        <f t="shared" si="27"/>
        <v>22 Health professionals</v>
      </c>
      <c r="M11" s="68">
        <v>52.775648557169546</v>
      </c>
      <c r="N11" s="68">
        <v>73.303031858916327</v>
      </c>
      <c r="O11" s="68">
        <v>78.394938683136601</v>
      </c>
      <c r="P11" s="68">
        <v>102.26353286032445</v>
      </c>
      <c r="Q11" s="68">
        <v>139.09631589530562</v>
      </c>
      <c r="R11" s="11"/>
      <c r="S11" s="68">
        <f t="shared" si="28"/>
        <v>60.701377212169021</v>
      </c>
      <c r="T11" s="68">
        <f>'RD T1'!E68</f>
        <v>60.65964964097688</v>
      </c>
      <c r="U11" s="68">
        <f t="shared" si="29"/>
        <v>121.3610268531459</v>
      </c>
      <c r="W11" t="str">
        <f t="shared" si="30"/>
        <v>22 Health professionals</v>
      </c>
      <c r="X11" s="68">
        <v>89.681516339221375</v>
      </c>
      <c r="Y11" s="68">
        <v>102.9381222025678</v>
      </c>
      <c r="Z11" s="68">
        <v>102.28838957052763</v>
      </c>
      <c r="AA11" s="68">
        <v>98.538824473738401</v>
      </c>
      <c r="AB11" s="68">
        <v>79.766322690754251</v>
      </c>
      <c r="AC11" s="68"/>
      <c r="AD11" s="68">
        <f t="shared" si="31"/>
        <v>-22.522066879773377</v>
      </c>
      <c r="AE11" s="68">
        <f>'RD T1'!E97</f>
        <v>53.325366522848881</v>
      </c>
      <c r="AF11" s="68">
        <f t="shared" si="32"/>
        <v>30.803299643075505</v>
      </c>
      <c r="AH11" t="str">
        <f t="shared" si="33"/>
        <v>22 Health professionals</v>
      </c>
      <c r="AI11" s="68">
        <v>46.627270028000581</v>
      </c>
      <c r="AJ11" s="68">
        <v>36.725987359386551</v>
      </c>
      <c r="AK11" s="68">
        <v>33.255387040998428</v>
      </c>
      <c r="AL11" s="68">
        <v>19.26853093131167</v>
      </c>
      <c r="AM11" s="68">
        <v>7.3346640885660079</v>
      </c>
      <c r="AN11" s="68"/>
      <c r="AO11" s="68">
        <f t="shared" si="34"/>
        <v>-25.920722952432421</v>
      </c>
      <c r="AP11" s="68">
        <f>'RD T1'!E126</f>
        <v>6.4938321407731436</v>
      </c>
      <c r="AQ11" s="68">
        <f t="shared" si="35"/>
        <v>-19.426890811659277</v>
      </c>
      <c r="AS11" t="str">
        <f t="shared" si="36"/>
        <v>22 Health professionals</v>
      </c>
      <c r="AT11" s="68">
        <v>6.9243840386470321</v>
      </c>
      <c r="AU11" s="68">
        <v>7.5635458758749143</v>
      </c>
      <c r="AV11" s="68">
        <v>8.3847351221958508</v>
      </c>
      <c r="AW11" s="68">
        <v>8.0423482126826968</v>
      </c>
      <c r="AX11" s="68">
        <v>7.3556576006686765</v>
      </c>
      <c r="AY11" s="68"/>
      <c r="AZ11" s="68">
        <f t="shared" si="37"/>
        <v>-1.0290775215271744</v>
      </c>
      <c r="BA11" s="68">
        <f>'RD T1'!E155</f>
        <v>4.0354053965129655</v>
      </c>
      <c r="BB11" s="68">
        <f t="shared" si="38"/>
        <v>3.0063278749857911</v>
      </c>
      <c r="BD11" t="str">
        <f t="shared" si="39"/>
        <v>22 Health professionals</v>
      </c>
      <c r="BE11" s="68">
        <v>19.030881394226931</v>
      </c>
      <c r="BF11" s="68">
        <v>23.378471299303627</v>
      </c>
      <c r="BG11" s="68">
        <v>20.409515877898365</v>
      </c>
      <c r="BH11" s="68">
        <v>22.274335891376627</v>
      </c>
      <c r="BI11" s="68">
        <v>18.709690906845449</v>
      </c>
      <c r="BJ11" s="68"/>
      <c r="BK11" s="68">
        <f t="shared" si="40"/>
        <v>-1.6998249710529159</v>
      </c>
      <c r="BL11" s="68">
        <f>'RD T1'!E184</f>
        <v>10.751766538348267</v>
      </c>
      <c r="BM11" s="68">
        <f t="shared" si="41"/>
        <v>9.0519415672953514</v>
      </c>
      <c r="BO11" t="str">
        <f t="shared" si="42"/>
        <v>22 Health professionals</v>
      </c>
      <c r="BP11" s="68">
        <v>12.266967367086085</v>
      </c>
      <c r="BQ11" s="68">
        <v>14.228945010843464</v>
      </c>
      <c r="BR11" s="68">
        <v>11.780118317177539</v>
      </c>
      <c r="BS11" s="68">
        <v>11.593319118713179</v>
      </c>
      <c r="BT11" s="68">
        <v>7.056537331451322</v>
      </c>
      <c r="BU11" s="68"/>
      <c r="BV11" s="68">
        <f t="shared" si="43"/>
        <v>-4.7235809857262172</v>
      </c>
      <c r="BW11" s="68">
        <f>'RD T1'!E213</f>
        <v>4.2337449932501405</v>
      </c>
      <c r="BX11" s="68">
        <f t="shared" si="44"/>
        <v>-0.48983599247607668</v>
      </c>
      <c r="BZ11" t="str">
        <f t="shared" si="45"/>
        <v>22 Health professionals</v>
      </c>
      <c r="CA11" s="68">
        <v>9.0081072146241787</v>
      </c>
      <c r="CB11" s="68">
        <v>9.8964201453587002</v>
      </c>
      <c r="CC11" s="68">
        <v>8.889124925155576</v>
      </c>
      <c r="CD11" s="68">
        <v>8.7477917975132478</v>
      </c>
      <c r="CE11" s="68">
        <v>4.7070156393763209</v>
      </c>
      <c r="CF11" s="68"/>
      <c r="CG11" s="68">
        <f t="shared" si="46"/>
        <v>-4.182109285779255</v>
      </c>
      <c r="CH11" s="68">
        <f>'RD T1'!E242</f>
        <v>2.8037983263920805</v>
      </c>
      <c r="CI11" s="68">
        <f t="shared" si="47"/>
        <v>-1.3783109593871745</v>
      </c>
      <c r="CK11" t="str">
        <f t="shared" si="48"/>
        <v>22 Health professionals</v>
      </c>
      <c r="CL11" s="68">
        <v>1.1513891208434648</v>
      </c>
      <c r="CM11" s="68">
        <v>1.3896590185040154</v>
      </c>
      <c r="CN11" s="68">
        <v>0.99512169390655025</v>
      </c>
      <c r="CO11" s="68">
        <v>1.3322810921265162</v>
      </c>
      <c r="CP11" s="68">
        <v>1.4181181744719533</v>
      </c>
      <c r="CQ11" s="68"/>
      <c r="CR11" s="68">
        <f t="shared" si="49"/>
        <v>0.42299648056540307</v>
      </c>
      <c r="CS11" s="68">
        <f>'RD T1'!E271</f>
        <v>0.47523301197353823</v>
      </c>
      <c r="CT11" s="68">
        <f t="shared" si="50"/>
        <v>0.89822949253894135</v>
      </c>
    </row>
    <row r="12" spans="1:98" x14ac:dyDescent="0.2">
      <c r="A12" s="10" t="str">
        <f>name!D8</f>
        <v>23 Teaching and other educational professionals</v>
      </c>
      <c r="B12" s="68">
        <v>30.815989681031127</v>
      </c>
      <c r="C12" s="68">
        <v>34.835691699734198</v>
      </c>
      <c r="D12" s="68">
        <v>37.39001180991859</v>
      </c>
      <c r="E12" s="68">
        <v>43.21062674217508</v>
      </c>
      <c r="F12" s="68">
        <v>54.224061837804179</v>
      </c>
      <c r="G12" s="11"/>
      <c r="H12" s="68">
        <f t="shared" si="51"/>
        <v>16.834050027885588</v>
      </c>
      <c r="I12" s="68">
        <f>'RD T1'!E40</f>
        <v>23.346130401980403</v>
      </c>
      <c r="J12" s="68">
        <f t="shared" si="26"/>
        <v>40.180180429865992</v>
      </c>
      <c r="L12" t="str">
        <f t="shared" si="27"/>
        <v>23 Teaching and other educational professionals</v>
      </c>
      <c r="M12" s="68">
        <v>173.20549103398895</v>
      </c>
      <c r="N12" s="68">
        <v>196.95146709372347</v>
      </c>
      <c r="O12" s="68">
        <v>211.71419939870535</v>
      </c>
      <c r="P12" s="68">
        <v>237.73221532074501</v>
      </c>
      <c r="Q12" s="68">
        <v>281.50480955704722</v>
      </c>
      <c r="R12" s="11"/>
      <c r="S12" s="68">
        <f t="shared" si="28"/>
        <v>69.790610158341877</v>
      </c>
      <c r="T12" s="68">
        <f>'RD T1'!E69</f>
        <v>132.0189701437788</v>
      </c>
      <c r="U12" s="68">
        <f t="shared" si="29"/>
        <v>201.80958030212068</v>
      </c>
      <c r="W12" t="str">
        <f t="shared" si="30"/>
        <v>23 Teaching and other educational professionals</v>
      </c>
      <c r="X12" s="68">
        <v>97.179940396379237</v>
      </c>
      <c r="Y12" s="68">
        <v>80.166510849674594</v>
      </c>
      <c r="Z12" s="68">
        <v>84.318630702045596</v>
      </c>
      <c r="AA12" s="68">
        <v>62.219564067844942</v>
      </c>
      <c r="AB12" s="68">
        <v>38.175326558793202</v>
      </c>
      <c r="AC12" s="68"/>
      <c r="AD12" s="68">
        <f t="shared" si="31"/>
        <v>-46.143304143252394</v>
      </c>
      <c r="AE12" s="68">
        <f>'RD T1'!E98</f>
        <v>28.925407330222875</v>
      </c>
      <c r="AF12" s="68">
        <f t="shared" si="32"/>
        <v>-17.217896813029519</v>
      </c>
      <c r="AH12" t="str">
        <f t="shared" si="33"/>
        <v>23 Teaching and other educational professionals</v>
      </c>
      <c r="AI12" s="68">
        <v>12.897566235391446</v>
      </c>
      <c r="AJ12" s="68">
        <v>7.4927975842596855</v>
      </c>
      <c r="AK12" s="68">
        <v>7.537191078046293</v>
      </c>
      <c r="AL12" s="68">
        <v>5.6492241095251448</v>
      </c>
      <c r="AM12" s="68">
        <v>5.2593254152712623</v>
      </c>
      <c r="AN12" s="68"/>
      <c r="AO12" s="68">
        <f t="shared" si="34"/>
        <v>-2.2778656627750307</v>
      </c>
      <c r="AP12" s="68">
        <f>'RD T1'!E127</f>
        <v>1.8681823880934365</v>
      </c>
      <c r="AQ12" s="68">
        <f t="shared" si="35"/>
        <v>-0.40968327468159416</v>
      </c>
      <c r="AS12" t="str">
        <f t="shared" si="36"/>
        <v>23 Teaching and other educational professionals</v>
      </c>
      <c r="AT12" s="68">
        <v>4.6904013925065753</v>
      </c>
      <c r="AU12" s="68">
        <v>4.6703618890186567</v>
      </c>
      <c r="AV12" s="68">
        <v>5.434936683572932</v>
      </c>
      <c r="AW12" s="68">
        <v>5.0608444785725988</v>
      </c>
      <c r="AX12" s="68">
        <v>4.823105414512618</v>
      </c>
      <c r="AY12" s="68"/>
      <c r="AZ12" s="68">
        <f t="shared" si="37"/>
        <v>-0.61183126906031404</v>
      </c>
      <c r="BA12" s="68">
        <f>'RD T1'!E156</f>
        <v>2.7737692074743054</v>
      </c>
      <c r="BB12" s="68">
        <f t="shared" si="38"/>
        <v>2.1619379384139914</v>
      </c>
      <c r="BD12" t="str">
        <f t="shared" si="39"/>
        <v>23 Teaching and other educational professionals</v>
      </c>
      <c r="BE12" s="68">
        <v>9.8330153992954887</v>
      </c>
      <c r="BF12" s="68">
        <v>9.3490600486768916</v>
      </c>
      <c r="BG12" s="68">
        <v>10.912423703835092</v>
      </c>
      <c r="BH12" s="68">
        <v>10.707439219104387</v>
      </c>
      <c r="BI12" s="68">
        <v>9.2221375277730591</v>
      </c>
      <c r="BJ12" s="68"/>
      <c r="BK12" s="68">
        <f t="shared" si="40"/>
        <v>-1.6902861760620329</v>
      </c>
      <c r="BL12" s="68">
        <f>'RD T1'!E185</f>
        <v>4.2690125133878905</v>
      </c>
      <c r="BM12" s="68">
        <f t="shared" si="41"/>
        <v>2.5787263373258575</v>
      </c>
      <c r="BO12" t="str">
        <f t="shared" si="42"/>
        <v>23 Teaching and other educational professionals</v>
      </c>
      <c r="BP12" s="68">
        <v>7.1226351401189891</v>
      </c>
      <c r="BQ12" s="68">
        <v>7.5293675506723057</v>
      </c>
      <c r="BR12" s="68">
        <v>6.7874041364796707</v>
      </c>
      <c r="BS12" s="68">
        <v>7.2055801902328787</v>
      </c>
      <c r="BT12" s="68">
        <v>6.8979514759943488</v>
      </c>
      <c r="BU12" s="68"/>
      <c r="BV12" s="68">
        <f t="shared" si="43"/>
        <v>0.1105473395146781</v>
      </c>
      <c r="BW12" s="68">
        <f>'RD T1'!E214</f>
        <v>2.8847245064062204</v>
      </c>
      <c r="BX12" s="68">
        <f t="shared" si="44"/>
        <v>2.9952718459208985</v>
      </c>
      <c r="BZ12" t="str">
        <f t="shared" si="45"/>
        <v>23 Teaching and other educational professionals</v>
      </c>
      <c r="CA12" s="68">
        <v>5.7463950522155978</v>
      </c>
      <c r="CB12" s="68">
        <v>5.509714712101756</v>
      </c>
      <c r="CC12" s="68">
        <v>5.5577915961204551</v>
      </c>
      <c r="CD12" s="68">
        <v>5.2882733508104236</v>
      </c>
      <c r="CE12" s="68">
        <v>4.55179181866486</v>
      </c>
      <c r="CF12" s="68"/>
      <c r="CG12" s="68">
        <f t="shared" si="46"/>
        <v>-1.0059997774555951</v>
      </c>
      <c r="CH12" s="68">
        <f>'RD T1'!E243</f>
        <v>1.9253718290395123</v>
      </c>
      <c r="CI12" s="68">
        <f t="shared" si="47"/>
        <v>0.91937205158391722</v>
      </c>
      <c r="CK12" t="str">
        <f t="shared" si="48"/>
        <v>23 Teaching and other educational professionals</v>
      </c>
      <c r="CL12" s="68">
        <v>1.1417955657830661</v>
      </c>
      <c r="CM12" s="68">
        <v>1.2193276790503742</v>
      </c>
      <c r="CN12" s="68">
        <v>1.0049451277653549</v>
      </c>
      <c r="CO12" s="68">
        <v>1.0929987761744444</v>
      </c>
      <c r="CP12" s="68">
        <v>0.65898204918755821</v>
      </c>
      <c r="CQ12" s="68"/>
      <c r="CR12" s="68">
        <f t="shared" si="49"/>
        <v>-0.34596307857779673</v>
      </c>
      <c r="CS12" s="68">
        <f>'RD T1'!E272</f>
        <v>0.31429404586635806</v>
      </c>
      <c r="CT12" s="68">
        <f t="shared" si="50"/>
        <v>-3.1669032711438672E-2</v>
      </c>
    </row>
    <row r="13" spans="1:98" x14ac:dyDescent="0.2">
      <c r="A13" s="10" t="str">
        <f>name!D9</f>
        <v>24 Business, media and public service professionals</v>
      </c>
      <c r="B13" s="68">
        <v>13.347206700481435</v>
      </c>
      <c r="C13" s="68">
        <v>19.320454032347648</v>
      </c>
      <c r="D13" s="68">
        <v>21.010399183190227</v>
      </c>
      <c r="E13" s="68">
        <v>32.43994769305619</v>
      </c>
      <c r="F13" s="68">
        <v>51.8011840105871</v>
      </c>
      <c r="G13" s="11"/>
      <c r="H13" s="68">
        <f t="shared" si="51"/>
        <v>30.790784827396873</v>
      </c>
      <c r="I13" s="68">
        <f>'RD T1'!E41</f>
        <v>18.135284239173497</v>
      </c>
      <c r="J13" s="68">
        <f t="shared" si="26"/>
        <v>48.926069066570371</v>
      </c>
      <c r="L13" t="str">
        <f t="shared" si="27"/>
        <v>24 Business, media and public service professionals</v>
      </c>
      <c r="M13" s="68">
        <v>165.45123638392471</v>
      </c>
      <c r="N13" s="68">
        <v>235.99615544782174</v>
      </c>
      <c r="O13" s="68">
        <v>257.63487960270822</v>
      </c>
      <c r="P13" s="68">
        <v>366.16761763694643</v>
      </c>
      <c r="Q13" s="68">
        <v>528.93531564075658</v>
      </c>
      <c r="R13" s="11"/>
      <c r="S13" s="68">
        <f t="shared" si="28"/>
        <v>271.30043603804836</v>
      </c>
      <c r="T13" s="68">
        <f>'RD T1'!E70</f>
        <v>197.53949272847279</v>
      </c>
      <c r="U13" s="68">
        <f t="shared" si="29"/>
        <v>468.83992876652115</v>
      </c>
      <c r="W13" t="str">
        <f t="shared" si="30"/>
        <v>24 Business, media and public service professionals</v>
      </c>
      <c r="X13" s="68">
        <v>248.22298742098687</v>
      </c>
      <c r="Y13" s="68">
        <v>276.87637327290753</v>
      </c>
      <c r="Z13" s="68">
        <v>287.93312366830401</v>
      </c>
      <c r="AA13" s="68">
        <v>283.3717422298123</v>
      </c>
      <c r="AB13" s="68">
        <v>229.42532497263554</v>
      </c>
      <c r="AC13" s="68"/>
      <c r="AD13" s="68">
        <f t="shared" si="31"/>
        <v>-58.50779869566847</v>
      </c>
      <c r="AE13" s="68">
        <f>'RD T1'!E99</f>
        <v>136.98690341165016</v>
      </c>
      <c r="AF13" s="68">
        <f t="shared" si="32"/>
        <v>78.479104715981691</v>
      </c>
      <c r="AH13" t="str">
        <f t="shared" si="33"/>
        <v>24 Business, media and public service professionals</v>
      </c>
      <c r="AI13" s="68">
        <v>19.929095024485619</v>
      </c>
      <c r="AJ13" s="68">
        <v>19.643908607342595</v>
      </c>
      <c r="AK13" s="68">
        <v>22.262060190497596</v>
      </c>
      <c r="AL13" s="68">
        <v>20.795596720974668</v>
      </c>
      <c r="AM13" s="68">
        <v>18.34887192122719</v>
      </c>
      <c r="AN13" s="68"/>
      <c r="AO13" s="68">
        <f t="shared" si="34"/>
        <v>-3.9131882692704067</v>
      </c>
      <c r="AP13" s="68">
        <f>'RD T1'!E128</f>
        <v>8.0086014636436467</v>
      </c>
      <c r="AQ13" s="68">
        <f t="shared" si="35"/>
        <v>4.0954131943732399</v>
      </c>
      <c r="AS13" t="str">
        <f t="shared" si="36"/>
        <v>24 Business, media and public service professionals</v>
      </c>
      <c r="AT13" s="68">
        <v>33.546145430755203</v>
      </c>
      <c r="AU13" s="68">
        <v>37.386784962565358</v>
      </c>
      <c r="AV13" s="68">
        <v>40.430365073106785</v>
      </c>
      <c r="AW13" s="68">
        <v>39.618627584324251</v>
      </c>
      <c r="AX13" s="68">
        <v>33.353568387877367</v>
      </c>
      <c r="AY13" s="68"/>
      <c r="AZ13" s="68">
        <f t="shared" si="37"/>
        <v>-7.076796685229418</v>
      </c>
      <c r="BA13" s="68">
        <f>'RD T1'!E157</f>
        <v>18.924791599122013</v>
      </c>
      <c r="BB13" s="68">
        <f t="shared" si="38"/>
        <v>11.847994913892595</v>
      </c>
      <c r="BD13" t="str">
        <f t="shared" si="39"/>
        <v>24 Business, media and public service professionals</v>
      </c>
      <c r="BE13" s="68">
        <v>41.466423193539313</v>
      </c>
      <c r="BF13" s="68">
        <v>42.594162334816161</v>
      </c>
      <c r="BG13" s="68">
        <v>45.29355467578327</v>
      </c>
      <c r="BH13" s="68">
        <v>38.36178975082948</v>
      </c>
      <c r="BI13" s="68">
        <v>24.326103703674441</v>
      </c>
      <c r="BJ13" s="68"/>
      <c r="BK13" s="68">
        <f t="shared" si="40"/>
        <v>-20.967450972108828</v>
      </c>
      <c r="BL13" s="68">
        <f>'RD T1'!E186</f>
        <v>12.697600306518394</v>
      </c>
      <c r="BM13" s="68">
        <f t="shared" si="41"/>
        <v>-8.2698506655904342</v>
      </c>
      <c r="BO13" t="str">
        <f t="shared" si="42"/>
        <v>24 Business, media and public service professionals</v>
      </c>
      <c r="BP13" s="68">
        <v>30.260457671415207</v>
      </c>
      <c r="BQ13" s="68">
        <v>34.835631592149525</v>
      </c>
      <c r="BR13" s="68">
        <v>28.943937903842194</v>
      </c>
      <c r="BS13" s="68">
        <v>26.530595985723291</v>
      </c>
      <c r="BT13" s="68">
        <v>14.317951915536273</v>
      </c>
      <c r="BU13" s="68"/>
      <c r="BV13" s="68">
        <f t="shared" si="43"/>
        <v>-14.625985988305921</v>
      </c>
      <c r="BW13" s="68">
        <f>'RD T1'!E215</f>
        <v>7.7986079577765866</v>
      </c>
      <c r="BX13" s="68">
        <f t="shared" si="44"/>
        <v>-6.8273780305293341</v>
      </c>
      <c r="BZ13" t="str">
        <f t="shared" si="45"/>
        <v>24 Business, media and public service professionals</v>
      </c>
      <c r="CA13" s="68">
        <v>21.123038474825417</v>
      </c>
      <c r="CB13" s="68">
        <v>22.07216905056282</v>
      </c>
      <c r="CC13" s="68">
        <v>22.118898451400099</v>
      </c>
      <c r="CD13" s="68">
        <v>18.982625172928678</v>
      </c>
      <c r="CE13" s="68">
        <v>7.9401663414323913</v>
      </c>
      <c r="CF13" s="68"/>
      <c r="CG13" s="68">
        <f t="shared" si="46"/>
        <v>-14.178732109967708</v>
      </c>
      <c r="CH13" s="68">
        <f>'RD T1'!E244</f>
        <v>4.8245540535740146</v>
      </c>
      <c r="CI13" s="68">
        <f t="shared" si="47"/>
        <v>-9.3541780563936925</v>
      </c>
      <c r="CK13" t="str">
        <f t="shared" si="48"/>
        <v>24 Business, media and public service professionals</v>
      </c>
      <c r="CL13" s="68">
        <v>5.5085179407265858</v>
      </c>
      <c r="CM13" s="68">
        <v>6.0632007879410237</v>
      </c>
      <c r="CN13" s="68">
        <v>4.2259064644352247</v>
      </c>
      <c r="CO13" s="68">
        <v>4.1457727812298737</v>
      </c>
      <c r="CP13" s="68">
        <v>2.3963186038659696</v>
      </c>
      <c r="CQ13" s="68"/>
      <c r="CR13" s="68">
        <f t="shared" si="49"/>
        <v>-1.829587860569255</v>
      </c>
      <c r="CS13" s="68">
        <f>'RD T1'!E273</f>
        <v>1.0846221501366233</v>
      </c>
      <c r="CT13" s="68">
        <f t="shared" si="50"/>
        <v>-0.74496571043263171</v>
      </c>
    </row>
    <row r="14" spans="1:98" x14ac:dyDescent="0.2">
      <c r="A14" s="10" t="str">
        <f>name!D10</f>
        <v>31 Science, engineering and technology associate professionals</v>
      </c>
      <c r="B14" s="68">
        <v>2.2960554119898875</v>
      </c>
      <c r="C14" s="68">
        <v>3.4167528247313044</v>
      </c>
      <c r="D14" s="68">
        <v>3.6950790862172043</v>
      </c>
      <c r="E14" s="68">
        <v>4.7466808476129962</v>
      </c>
      <c r="F14" s="68">
        <v>7.8403200145283529</v>
      </c>
      <c r="G14" s="11"/>
      <c r="H14" s="68">
        <f t="shared" si="51"/>
        <v>4.1452409283111482</v>
      </c>
      <c r="I14" s="68">
        <f>'RD T1'!E42</f>
        <v>2.6176445166250457</v>
      </c>
      <c r="J14" s="68">
        <f t="shared" si="26"/>
        <v>6.7628854449361935</v>
      </c>
      <c r="L14" t="str">
        <f t="shared" si="27"/>
        <v>31 Science, engineering and technology associate professionals</v>
      </c>
      <c r="M14" s="68">
        <v>13.271675121303167</v>
      </c>
      <c r="N14" s="68">
        <v>19.222042101567119</v>
      </c>
      <c r="O14" s="68">
        <v>21.671518529790117</v>
      </c>
      <c r="P14" s="68">
        <v>25.489989506358651</v>
      </c>
      <c r="Q14" s="68">
        <v>37.655491840736971</v>
      </c>
      <c r="R14" s="11"/>
      <c r="S14" s="68">
        <f t="shared" si="28"/>
        <v>15.983973310946855</v>
      </c>
      <c r="T14" s="68">
        <f>'RD T1'!E71</f>
        <v>12.492675592180071</v>
      </c>
      <c r="U14" s="68">
        <f t="shared" si="29"/>
        <v>28.476648903126925</v>
      </c>
      <c r="W14" t="str">
        <f t="shared" si="30"/>
        <v>31 Science, engineering and technology associate professionals</v>
      </c>
      <c r="X14" s="68">
        <v>28.35902299277128</v>
      </c>
      <c r="Y14" s="68">
        <v>33.814329060783848</v>
      </c>
      <c r="Z14" s="68">
        <v>35.731451635184506</v>
      </c>
      <c r="AA14" s="68">
        <v>30.641617003805887</v>
      </c>
      <c r="AB14" s="68">
        <v>28.457000099371829</v>
      </c>
      <c r="AC14" s="68"/>
      <c r="AD14" s="68">
        <f t="shared" si="31"/>
        <v>-7.2744515358126769</v>
      </c>
      <c r="AE14" s="68">
        <f>'RD T1'!E100</f>
        <v>14.052649460426903</v>
      </c>
      <c r="AF14" s="68">
        <f t="shared" si="32"/>
        <v>6.7781979246142257</v>
      </c>
      <c r="AH14" t="str">
        <f t="shared" si="33"/>
        <v>31 Science, engineering and technology associate professionals</v>
      </c>
      <c r="AI14" s="68">
        <v>4.0879600130126699</v>
      </c>
      <c r="AJ14" s="68">
        <v>5.2138990914359686</v>
      </c>
      <c r="AK14" s="68">
        <v>5.9104143687334654</v>
      </c>
      <c r="AL14" s="68">
        <v>5.8802419109003647</v>
      </c>
      <c r="AM14" s="68">
        <v>7.011612554952114</v>
      </c>
      <c r="AN14" s="68"/>
      <c r="AO14" s="68">
        <f t="shared" si="34"/>
        <v>1.1011981862186486</v>
      </c>
      <c r="AP14" s="68">
        <f>'RD T1'!E129</f>
        <v>3.1511039786807329</v>
      </c>
      <c r="AQ14" s="68">
        <f t="shared" si="35"/>
        <v>4.2523021648993815</v>
      </c>
      <c r="AS14" t="str">
        <f t="shared" si="36"/>
        <v>31 Science, engineering and technology associate professionals</v>
      </c>
      <c r="AT14" s="68">
        <v>9.832265431643318</v>
      </c>
      <c r="AU14" s="68">
        <v>10.52564663152563</v>
      </c>
      <c r="AV14" s="68">
        <v>11.106476640859558</v>
      </c>
      <c r="AW14" s="68">
        <v>8.7985704846527888</v>
      </c>
      <c r="AX14" s="68">
        <v>7.7698960227784735</v>
      </c>
      <c r="AY14" s="68"/>
      <c r="AZ14" s="68">
        <f t="shared" si="37"/>
        <v>-3.3365806180810846</v>
      </c>
      <c r="BA14" s="68">
        <f>'RD T1'!E158</f>
        <v>3.5239096981285774</v>
      </c>
      <c r="BB14" s="68">
        <f t="shared" si="38"/>
        <v>0.18732908004749271</v>
      </c>
      <c r="BD14" t="str">
        <f t="shared" si="39"/>
        <v>31 Science, engineering and technology associate professionals</v>
      </c>
      <c r="BE14" s="68">
        <v>8.781914675975937</v>
      </c>
      <c r="BF14" s="68">
        <v>8.3490121005217741</v>
      </c>
      <c r="BG14" s="68">
        <v>9.6182881176568245</v>
      </c>
      <c r="BH14" s="68">
        <v>5.9367759043847732</v>
      </c>
      <c r="BI14" s="68">
        <v>3.5978735307349163</v>
      </c>
      <c r="BJ14" s="68"/>
      <c r="BK14" s="68">
        <f t="shared" si="40"/>
        <v>-6.0204145869219081</v>
      </c>
      <c r="BL14" s="68">
        <f>'RD T1'!E187</f>
        <v>1.8528911070964502</v>
      </c>
      <c r="BM14" s="68">
        <f t="shared" si="41"/>
        <v>-4.1675234798254577</v>
      </c>
      <c r="BO14" t="str">
        <f t="shared" si="42"/>
        <v>31 Science, engineering and technology associate professionals</v>
      </c>
      <c r="BP14" s="68">
        <v>6.9578709633685749</v>
      </c>
      <c r="BQ14" s="68">
        <v>8.8423559333900421</v>
      </c>
      <c r="BR14" s="68">
        <v>7.9371526782265329</v>
      </c>
      <c r="BS14" s="68">
        <v>6.6948931301014518</v>
      </c>
      <c r="BT14" s="68">
        <v>5.2039790513764164</v>
      </c>
      <c r="BU14" s="68"/>
      <c r="BV14" s="68">
        <f t="shared" si="43"/>
        <v>-2.7331736268501166</v>
      </c>
      <c r="BW14" s="68">
        <f>'RD T1'!E216</f>
        <v>2.1206297455943131</v>
      </c>
      <c r="BX14" s="68">
        <f t="shared" si="44"/>
        <v>-0.6125438812558035</v>
      </c>
      <c r="BZ14" t="str">
        <f t="shared" si="45"/>
        <v>31 Science, engineering and technology associate professionals</v>
      </c>
      <c r="CA14" s="68">
        <v>6.5060159483483719</v>
      </c>
      <c r="CB14" s="68">
        <v>7.4683404923339962</v>
      </c>
      <c r="CC14" s="68">
        <v>7.7154256309976095</v>
      </c>
      <c r="CD14" s="68">
        <v>5.8580432078762259</v>
      </c>
      <c r="CE14" s="68">
        <v>3.1295753406810252</v>
      </c>
      <c r="CF14" s="68"/>
      <c r="CG14" s="68">
        <f t="shared" si="46"/>
        <v>-4.5858502903165839</v>
      </c>
      <c r="CH14" s="68">
        <f>'RD T1'!E245</f>
        <v>1.5017863638071396</v>
      </c>
      <c r="CI14" s="68">
        <f t="shared" si="47"/>
        <v>-3.0840639265094443</v>
      </c>
      <c r="CK14" t="str">
        <f t="shared" si="48"/>
        <v>31 Science, engineering and technology associate professionals</v>
      </c>
      <c r="CL14" s="68">
        <v>1.810983320211186</v>
      </c>
      <c r="CM14" s="68">
        <v>2.4604310622491687</v>
      </c>
      <c r="CN14" s="68">
        <v>2.0564754884008893</v>
      </c>
      <c r="CO14" s="68">
        <v>2.3252996837475663</v>
      </c>
      <c r="CP14" s="68">
        <v>3.058900736869965</v>
      </c>
      <c r="CQ14" s="68"/>
      <c r="CR14" s="68">
        <f t="shared" si="49"/>
        <v>1.0024252484690757</v>
      </c>
      <c r="CS14" s="68">
        <f>'RD T1'!E274</f>
        <v>0.93402111457748693</v>
      </c>
      <c r="CT14" s="68">
        <f t="shared" si="50"/>
        <v>1.9364463630465627</v>
      </c>
    </row>
    <row r="15" spans="1:98" x14ac:dyDescent="0.2">
      <c r="A15" s="10" t="str">
        <f>name!D11</f>
        <v>32 Health and social care associate professionals</v>
      </c>
      <c r="B15" s="68">
        <v>0.58729574551675989</v>
      </c>
      <c r="C15" s="68">
        <v>0.82198028443211313</v>
      </c>
      <c r="D15" s="68">
        <v>0.86486135976137557</v>
      </c>
      <c r="E15" s="68">
        <v>1.2688471113612254</v>
      </c>
      <c r="F15" s="68">
        <v>2.2636642336550059</v>
      </c>
      <c r="G15" s="11"/>
      <c r="H15" s="68">
        <f t="shared" si="51"/>
        <v>1.3988028738936302</v>
      </c>
      <c r="I15" s="68">
        <f>'RD T1'!E43</f>
        <v>0.94191378569876694</v>
      </c>
      <c r="J15" s="68">
        <f t="shared" si="26"/>
        <v>2.3407166595923972</v>
      </c>
      <c r="L15" t="str">
        <f t="shared" si="27"/>
        <v>32 Health and social care associate professionals</v>
      </c>
      <c r="M15" s="68">
        <v>13.618963833111737</v>
      </c>
      <c r="N15" s="68">
        <v>18.814123329326666</v>
      </c>
      <c r="O15" s="68">
        <v>21.045746005941353</v>
      </c>
      <c r="P15" s="68">
        <v>28.066603169058993</v>
      </c>
      <c r="Q15" s="68">
        <v>45.460537277311481</v>
      </c>
      <c r="R15" s="11"/>
      <c r="S15" s="68">
        <f t="shared" si="28"/>
        <v>24.414791271370127</v>
      </c>
      <c r="T15" s="68">
        <f>'RD T1'!E72</f>
        <v>19.282403801455906</v>
      </c>
      <c r="U15" s="68">
        <f t="shared" si="29"/>
        <v>43.697195072826034</v>
      </c>
      <c r="W15" t="str">
        <f t="shared" si="30"/>
        <v>32 Health and social care associate professionals</v>
      </c>
      <c r="X15" s="68">
        <v>31.672394821485099</v>
      </c>
      <c r="Y15" s="68">
        <v>36.749302899590013</v>
      </c>
      <c r="Z15" s="68">
        <v>38.178431831182131</v>
      </c>
      <c r="AA15" s="68">
        <v>37.34696453329579</v>
      </c>
      <c r="AB15" s="68">
        <v>34.913187635824499</v>
      </c>
      <c r="AC15" s="68"/>
      <c r="AD15" s="68">
        <f t="shared" si="31"/>
        <v>-3.2652441953576314</v>
      </c>
      <c r="AE15" s="68">
        <f>'RD T1'!E101</f>
        <v>23.13823522383997</v>
      </c>
      <c r="AF15" s="68">
        <f t="shared" si="32"/>
        <v>19.872991028482339</v>
      </c>
      <c r="AH15" t="str">
        <f t="shared" si="33"/>
        <v>32 Health and social care associate professionals</v>
      </c>
      <c r="AI15" s="68">
        <v>21.379194850495818</v>
      </c>
      <c r="AJ15" s="68">
        <v>18.420476093634647</v>
      </c>
      <c r="AK15" s="68">
        <v>18.22015371165989</v>
      </c>
      <c r="AL15" s="68">
        <v>12.63581260952475</v>
      </c>
      <c r="AM15" s="68">
        <v>6.5065942335091318</v>
      </c>
      <c r="AN15" s="68"/>
      <c r="AO15" s="68">
        <f t="shared" si="34"/>
        <v>-11.713559478150758</v>
      </c>
      <c r="AP15" s="68">
        <f>'RD T1'!E130</f>
        <v>4.8955143233742886</v>
      </c>
      <c r="AQ15" s="68">
        <f t="shared" si="35"/>
        <v>-6.8180451547764696</v>
      </c>
      <c r="AS15" t="str">
        <f t="shared" si="36"/>
        <v>32 Health and social care associate professionals</v>
      </c>
      <c r="AT15" s="68">
        <v>4.6016096131564703</v>
      </c>
      <c r="AU15" s="68">
        <v>5.0743860809437944</v>
      </c>
      <c r="AV15" s="68">
        <v>5.7655610804634616</v>
      </c>
      <c r="AW15" s="68">
        <v>4.9981803744877755</v>
      </c>
      <c r="AX15" s="68">
        <v>4.4999424084044879</v>
      </c>
      <c r="AY15" s="68"/>
      <c r="AZ15" s="68">
        <f t="shared" si="37"/>
        <v>-1.2656186720589737</v>
      </c>
      <c r="BA15" s="68">
        <f>'RD T1'!E159</f>
        <v>2.8655949776541254</v>
      </c>
      <c r="BB15" s="68">
        <f t="shared" si="38"/>
        <v>1.5999763055951517</v>
      </c>
      <c r="BD15" t="str">
        <f t="shared" si="39"/>
        <v>32 Health and social care associate professionals</v>
      </c>
      <c r="BE15" s="68">
        <v>11.340546683839392</v>
      </c>
      <c r="BF15" s="68">
        <v>13.814026908262624</v>
      </c>
      <c r="BG15" s="68">
        <v>12.770117986854212</v>
      </c>
      <c r="BH15" s="68">
        <v>12.935056634184747</v>
      </c>
      <c r="BI15" s="68">
        <v>11.6185700626183</v>
      </c>
      <c r="BJ15" s="68"/>
      <c r="BK15" s="68">
        <f t="shared" si="40"/>
        <v>-1.1515479242359117</v>
      </c>
      <c r="BL15" s="68">
        <f>'RD T1'!E188</f>
        <v>6.7073073163157932</v>
      </c>
      <c r="BM15" s="68">
        <f t="shared" si="41"/>
        <v>5.5557593920798816</v>
      </c>
      <c r="BO15" t="str">
        <f t="shared" si="42"/>
        <v>32 Health and social care associate professionals</v>
      </c>
      <c r="BP15" s="68">
        <v>8.0723147347913731</v>
      </c>
      <c r="BQ15" s="68">
        <v>9.3603883088734428</v>
      </c>
      <c r="BR15" s="68">
        <v>7.9803274011492045</v>
      </c>
      <c r="BS15" s="68">
        <v>7.4499124355392343</v>
      </c>
      <c r="BT15" s="68">
        <v>4.8259534759828941</v>
      </c>
      <c r="BU15" s="68"/>
      <c r="BV15" s="68">
        <f t="shared" si="43"/>
        <v>-3.1543739251663103</v>
      </c>
      <c r="BW15" s="68">
        <f>'RD T1'!E217</f>
        <v>3.0033126648403163</v>
      </c>
      <c r="BX15" s="68">
        <f t="shared" si="44"/>
        <v>-0.15106126032599398</v>
      </c>
      <c r="BZ15" t="str">
        <f t="shared" si="45"/>
        <v>32 Health and social care associate professionals</v>
      </c>
      <c r="CA15" s="68">
        <v>4.5415130384606739</v>
      </c>
      <c r="CB15" s="68">
        <v>4.3822686591206406</v>
      </c>
      <c r="CC15" s="68">
        <v>4.179055937485689</v>
      </c>
      <c r="CD15" s="68">
        <v>3.6858066500716147</v>
      </c>
      <c r="CE15" s="68">
        <v>2.1701099325519349</v>
      </c>
      <c r="CF15" s="68"/>
      <c r="CG15" s="68">
        <f t="shared" si="46"/>
        <v>-2.0089460049337542</v>
      </c>
      <c r="CH15" s="68">
        <f>'RD T1'!E246</f>
        <v>1.2258246558474015</v>
      </c>
      <c r="CI15" s="68">
        <f t="shared" si="47"/>
        <v>-0.78312134908635267</v>
      </c>
      <c r="CK15" t="str">
        <f t="shared" si="48"/>
        <v>32 Health and social care associate professionals</v>
      </c>
      <c r="CL15" s="68">
        <v>0.8032239047010008</v>
      </c>
      <c r="CM15" s="68">
        <v>0.87983479134843845</v>
      </c>
      <c r="CN15" s="68">
        <v>0.65385289361620513</v>
      </c>
      <c r="CO15" s="68">
        <v>0.74510207528099837</v>
      </c>
      <c r="CP15" s="68">
        <v>0.76263341293702902</v>
      </c>
      <c r="CQ15" s="68"/>
      <c r="CR15" s="68">
        <f t="shared" si="49"/>
        <v>0.10878051932082389</v>
      </c>
      <c r="CS15" s="68">
        <f>'RD T1'!E275</f>
        <v>0.28226847309700298</v>
      </c>
      <c r="CT15" s="68">
        <f t="shared" si="50"/>
        <v>0.39104899241782687</v>
      </c>
    </row>
    <row r="16" spans="1:98" x14ac:dyDescent="0.2">
      <c r="A16" s="10" t="str">
        <f>name!D12</f>
        <v>33 Protective service occupations</v>
      </c>
      <c r="B16" s="68">
        <v>0.33142678881623205</v>
      </c>
      <c r="C16" s="68">
        <v>0.3819451040718625</v>
      </c>
      <c r="D16" s="68">
        <v>0.42680778965538979</v>
      </c>
      <c r="E16" s="68">
        <v>0.78638508895698878</v>
      </c>
      <c r="F16" s="68">
        <v>1.4713354006232302</v>
      </c>
      <c r="G16" s="11"/>
      <c r="H16" s="68">
        <f t="shared" si="51"/>
        <v>1.0445276109678403</v>
      </c>
      <c r="I16" s="68">
        <f>'RD T1'!E44</f>
        <v>0.32744813736725864</v>
      </c>
      <c r="J16" s="68">
        <f t="shared" si="26"/>
        <v>1.3719757483350989</v>
      </c>
      <c r="L16" t="str">
        <f t="shared" si="27"/>
        <v>33 Protective service occupations</v>
      </c>
      <c r="M16" s="68">
        <v>5.736874841246034</v>
      </c>
      <c r="N16" s="68">
        <v>7.6997332963565386</v>
      </c>
      <c r="O16" s="68">
        <v>8.9984721058527128</v>
      </c>
      <c r="P16" s="68">
        <v>15.977266282235309</v>
      </c>
      <c r="Q16" s="68">
        <v>31.04405134935687</v>
      </c>
      <c r="R16" s="11"/>
      <c r="S16" s="68">
        <f t="shared" si="28"/>
        <v>22.045579243504157</v>
      </c>
      <c r="T16" s="68">
        <f>'RD T1'!E73</f>
        <v>6.5027791799259704</v>
      </c>
      <c r="U16" s="68">
        <f t="shared" si="29"/>
        <v>28.548358423430127</v>
      </c>
      <c r="W16" t="str">
        <f t="shared" si="30"/>
        <v>33 Protective service occupations</v>
      </c>
      <c r="X16" s="68">
        <v>19.654796904068498</v>
      </c>
      <c r="Y16" s="68">
        <v>22.340889001012549</v>
      </c>
      <c r="Z16" s="68">
        <v>25.123549110413528</v>
      </c>
      <c r="AA16" s="68">
        <v>30.878601473312443</v>
      </c>
      <c r="AB16" s="68">
        <v>36.43638285286449</v>
      </c>
      <c r="AC16" s="68"/>
      <c r="AD16" s="68">
        <f t="shared" si="31"/>
        <v>11.312833742450962</v>
      </c>
      <c r="AE16" s="68">
        <f>'RD T1'!E102</f>
        <v>13.560320332836509</v>
      </c>
      <c r="AF16" s="68">
        <f t="shared" si="32"/>
        <v>24.873154075287474</v>
      </c>
      <c r="AH16" t="str">
        <f t="shared" si="33"/>
        <v>33 Protective service occupations</v>
      </c>
      <c r="AI16" s="68">
        <v>5.1104483732559647</v>
      </c>
      <c r="AJ16" s="68">
        <v>5.6583951486340016</v>
      </c>
      <c r="AK16" s="68">
        <v>6.5255242885699438</v>
      </c>
      <c r="AL16" s="68">
        <v>8.0089639416016638</v>
      </c>
      <c r="AM16" s="68">
        <v>9.7609637104336979</v>
      </c>
      <c r="AN16" s="68"/>
      <c r="AO16" s="68">
        <f t="shared" si="34"/>
        <v>3.2354394218637541</v>
      </c>
      <c r="AP16" s="68">
        <f>'RD T1'!E131</f>
        <v>3.2266773400490449</v>
      </c>
      <c r="AQ16" s="68">
        <f t="shared" si="35"/>
        <v>6.4621167619127995</v>
      </c>
      <c r="AS16" t="str">
        <f t="shared" si="36"/>
        <v>33 Protective service occupations</v>
      </c>
      <c r="AT16" s="68">
        <v>4.7644860222072181</v>
      </c>
      <c r="AU16" s="68">
        <v>4.4029521951452804</v>
      </c>
      <c r="AV16" s="68">
        <v>4.8297121407536192</v>
      </c>
      <c r="AW16" s="68">
        <v>4.8258903062884766</v>
      </c>
      <c r="AX16" s="68">
        <v>4.386808082272168</v>
      </c>
      <c r="AY16" s="68"/>
      <c r="AZ16" s="68">
        <f t="shared" si="37"/>
        <v>-0.4429040584814512</v>
      </c>
      <c r="BA16" s="68">
        <f>'RD T1'!E160</f>
        <v>1.7063090564049788</v>
      </c>
      <c r="BB16" s="68">
        <f t="shared" si="38"/>
        <v>1.2634049979235276</v>
      </c>
      <c r="BD16" t="str">
        <f t="shared" si="39"/>
        <v>33 Protective service occupations</v>
      </c>
      <c r="BE16" s="68">
        <v>10.415481445264101</v>
      </c>
      <c r="BF16" s="68">
        <v>8.8379989975492652</v>
      </c>
      <c r="BG16" s="68">
        <v>10.601587951727998</v>
      </c>
      <c r="BH16" s="68">
        <v>9.1768893169895946</v>
      </c>
      <c r="BI16" s="68">
        <v>5.9424403685426928</v>
      </c>
      <c r="BJ16" s="68"/>
      <c r="BK16" s="68">
        <f t="shared" si="40"/>
        <v>-4.6591475831853053</v>
      </c>
      <c r="BL16" s="68">
        <f>'RD T1'!E189</f>
        <v>2.017648421341085</v>
      </c>
      <c r="BM16" s="68">
        <f t="shared" si="41"/>
        <v>-2.6414991618442203</v>
      </c>
      <c r="BO16" t="str">
        <f t="shared" si="42"/>
        <v>33 Protective service occupations</v>
      </c>
      <c r="BP16" s="68">
        <v>11.444962641085688</v>
      </c>
      <c r="BQ16" s="68">
        <v>12.751801401512092</v>
      </c>
      <c r="BR16" s="68">
        <v>10.767253493766388</v>
      </c>
      <c r="BS16" s="68">
        <v>10.84831980365869</v>
      </c>
      <c r="BT16" s="68">
        <v>4.8135477652119496</v>
      </c>
      <c r="BU16" s="68"/>
      <c r="BV16" s="68">
        <f t="shared" si="43"/>
        <v>-5.9537057285544384</v>
      </c>
      <c r="BW16" s="68">
        <f>'RD T1'!E218</f>
        <v>2.1082779601659052</v>
      </c>
      <c r="BX16" s="68">
        <f t="shared" si="44"/>
        <v>-3.8454277683885332</v>
      </c>
      <c r="BZ16" t="str">
        <f t="shared" si="45"/>
        <v>33 Protective service occupations</v>
      </c>
      <c r="CA16" s="68">
        <v>7.6469130068128219</v>
      </c>
      <c r="CB16" s="68">
        <v>7.6389389585502636</v>
      </c>
      <c r="CC16" s="68">
        <v>7.8233534264623437</v>
      </c>
      <c r="CD16" s="68">
        <v>8.041985515975222</v>
      </c>
      <c r="CE16" s="68">
        <v>7.3736223469147131</v>
      </c>
      <c r="CF16" s="68"/>
      <c r="CG16" s="68">
        <f t="shared" si="46"/>
        <v>-0.44973107954763059</v>
      </c>
      <c r="CH16" s="68">
        <f>'RD T1'!E247</f>
        <v>2.715698513099666</v>
      </c>
      <c r="CI16" s="68">
        <f t="shared" si="47"/>
        <v>2.2659674335520354</v>
      </c>
      <c r="CK16" t="str">
        <f t="shared" si="48"/>
        <v>33 Protective service occupations</v>
      </c>
      <c r="CL16" s="68">
        <v>1.3063951706731138</v>
      </c>
      <c r="CM16" s="68">
        <v>1.0207260372225166</v>
      </c>
      <c r="CN16" s="68">
        <v>0.70815541831086404</v>
      </c>
      <c r="CO16" s="68">
        <v>0.49873424450703641</v>
      </c>
      <c r="CP16" s="68">
        <v>0.37454146865051396</v>
      </c>
      <c r="CQ16" s="68"/>
      <c r="CR16" s="68">
        <f t="shared" si="49"/>
        <v>-0.33361394966035007</v>
      </c>
      <c r="CS16" s="68">
        <f>'RD T1'!E276</f>
        <v>0.10307105721336678</v>
      </c>
      <c r="CT16" s="68">
        <f t="shared" si="50"/>
        <v>-0.23054289244698328</v>
      </c>
    </row>
    <row r="17" spans="1:98" x14ac:dyDescent="0.2">
      <c r="A17" s="10" t="str">
        <f>name!D13</f>
        <v>34 Culture, media and sports occupations</v>
      </c>
      <c r="B17" s="68">
        <v>2.0278003909773346</v>
      </c>
      <c r="C17" s="68">
        <v>2.6308394841606151</v>
      </c>
      <c r="D17" s="68">
        <v>2.9018364050871486</v>
      </c>
      <c r="E17" s="68">
        <v>3.6678609397974671</v>
      </c>
      <c r="F17" s="68">
        <v>5.4216182468313212</v>
      </c>
      <c r="G17" s="11"/>
      <c r="H17" s="68">
        <f t="shared" si="51"/>
        <v>2.5197818417441726</v>
      </c>
      <c r="I17" s="68">
        <f>'RD T1'!E45</f>
        <v>2.2018332599582018</v>
      </c>
      <c r="J17" s="68">
        <f t="shared" si="26"/>
        <v>4.7216151017023744</v>
      </c>
      <c r="L17" t="str">
        <f t="shared" si="27"/>
        <v>34 Culture, media and sports occupations</v>
      </c>
      <c r="M17" s="68">
        <v>46.983265615520871</v>
      </c>
      <c r="N17" s="68">
        <v>54.681082087899689</v>
      </c>
      <c r="O17" s="68">
        <v>70.0987478124853</v>
      </c>
      <c r="P17" s="68">
        <v>93.800766327547976</v>
      </c>
      <c r="Q17" s="68">
        <v>140.07837269212828</v>
      </c>
      <c r="R17" s="11"/>
      <c r="S17" s="68">
        <f t="shared" si="28"/>
        <v>69.979624879642984</v>
      </c>
      <c r="T17" s="68">
        <f>'RD T1'!E74</f>
        <v>52.932085761463576</v>
      </c>
      <c r="U17" s="68">
        <f t="shared" si="29"/>
        <v>122.91171064110657</v>
      </c>
      <c r="W17" t="str">
        <f t="shared" si="30"/>
        <v>34 Culture, media and sports occupations</v>
      </c>
      <c r="X17" s="68">
        <v>94.845163383947423</v>
      </c>
      <c r="Y17" s="68">
        <v>85.628928596975484</v>
      </c>
      <c r="Z17" s="68">
        <v>98.051298913238483</v>
      </c>
      <c r="AA17" s="68">
        <v>93.598636298565665</v>
      </c>
      <c r="AB17" s="68">
        <v>84.560316868341644</v>
      </c>
      <c r="AC17" s="68"/>
      <c r="AD17" s="68">
        <f t="shared" si="31"/>
        <v>-13.490982044896839</v>
      </c>
      <c r="AE17" s="68">
        <f>'RD T1'!E103</f>
        <v>43.287755624383351</v>
      </c>
      <c r="AF17" s="68">
        <f t="shared" si="32"/>
        <v>29.796773579486512</v>
      </c>
      <c r="AH17" t="str">
        <f t="shared" si="33"/>
        <v>34 Culture, media and sports occupations</v>
      </c>
      <c r="AI17" s="68">
        <v>13.74782042695645</v>
      </c>
      <c r="AJ17" s="68">
        <v>13.705062045233651</v>
      </c>
      <c r="AK17" s="68">
        <v>15.850395797999212</v>
      </c>
      <c r="AL17" s="68">
        <v>15.609980669563244</v>
      </c>
      <c r="AM17" s="68">
        <v>17.382129824115989</v>
      </c>
      <c r="AN17" s="68"/>
      <c r="AO17" s="68">
        <f t="shared" si="34"/>
        <v>1.5317340261167764</v>
      </c>
      <c r="AP17" s="68">
        <f>'RD T1'!E132</f>
        <v>8.0548402968971491</v>
      </c>
      <c r="AQ17" s="68">
        <f t="shared" si="35"/>
        <v>9.5865743230139255</v>
      </c>
      <c r="AS17" t="str">
        <f t="shared" si="36"/>
        <v>34 Culture, media and sports occupations</v>
      </c>
      <c r="AT17" s="68">
        <v>14.008578742545033</v>
      </c>
      <c r="AU17" s="68">
        <v>12.062676202022814</v>
      </c>
      <c r="AV17" s="68">
        <v>13.55326085817212</v>
      </c>
      <c r="AW17" s="68">
        <v>11.740192459728314</v>
      </c>
      <c r="AX17" s="68">
        <v>10.070952364649143</v>
      </c>
      <c r="AY17" s="68"/>
      <c r="AZ17" s="68">
        <f t="shared" si="37"/>
        <v>-3.4823084935229769</v>
      </c>
      <c r="BA17" s="68">
        <f>'RD T1'!E161</f>
        <v>5.2672722592048986</v>
      </c>
      <c r="BB17" s="68">
        <f t="shared" si="38"/>
        <v>1.7849637656819217</v>
      </c>
      <c r="BD17" t="str">
        <f t="shared" si="39"/>
        <v>34 Culture, media and sports occupations</v>
      </c>
      <c r="BE17" s="68">
        <v>24.339931141316224</v>
      </c>
      <c r="BF17" s="68">
        <v>19.593263970278596</v>
      </c>
      <c r="BG17" s="68">
        <v>22.347872709294215</v>
      </c>
      <c r="BH17" s="68">
        <v>17.653243548598837</v>
      </c>
      <c r="BI17" s="68">
        <v>12.137041387474028</v>
      </c>
      <c r="BJ17" s="68"/>
      <c r="BK17" s="68">
        <f t="shared" si="40"/>
        <v>-10.210831321820187</v>
      </c>
      <c r="BL17" s="68">
        <f>'RD T1'!E190</f>
        <v>5.6522768104652137</v>
      </c>
      <c r="BM17" s="68">
        <f t="shared" si="41"/>
        <v>-4.5585545113549735</v>
      </c>
      <c r="BO17" t="str">
        <f t="shared" si="42"/>
        <v>34 Culture, media and sports occupations</v>
      </c>
      <c r="BP17" s="68">
        <v>12.191499791588001</v>
      </c>
      <c r="BQ17" s="68">
        <v>10.881815056622994</v>
      </c>
      <c r="BR17" s="68">
        <v>9.4310753129524194</v>
      </c>
      <c r="BS17" s="68">
        <v>6.821023050066831</v>
      </c>
      <c r="BT17" s="68">
        <v>2.792074862205022</v>
      </c>
      <c r="BU17" s="68"/>
      <c r="BV17" s="68">
        <f t="shared" si="43"/>
        <v>-6.6390004507473979</v>
      </c>
      <c r="BW17" s="68">
        <f>'RD T1'!E219</f>
        <v>1.7409840795742106</v>
      </c>
      <c r="BX17" s="68">
        <f t="shared" si="44"/>
        <v>-4.8980163711731874</v>
      </c>
      <c r="BZ17" t="str">
        <f t="shared" si="45"/>
        <v>34 Culture, media and sports occupations</v>
      </c>
      <c r="CA17" s="68">
        <v>11.408424719529425</v>
      </c>
      <c r="CB17" s="68">
        <v>9.5373031748934647</v>
      </c>
      <c r="CC17" s="68">
        <v>9.6191255179408852</v>
      </c>
      <c r="CD17" s="68">
        <v>7.8129349055879729</v>
      </c>
      <c r="CE17" s="68">
        <v>4.7610572480409861</v>
      </c>
      <c r="CF17" s="68"/>
      <c r="CG17" s="68">
        <f t="shared" si="46"/>
        <v>-4.8580682698998991</v>
      </c>
      <c r="CH17" s="68">
        <f>'RD T1'!E248</f>
        <v>2.0906487622084104</v>
      </c>
      <c r="CI17" s="68">
        <f t="shared" si="47"/>
        <v>-2.7674195076914887</v>
      </c>
      <c r="CK17" t="str">
        <f t="shared" si="48"/>
        <v>34 Culture, media and sports occupations</v>
      </c>
      <c r="CL17" s="68">
        <v>3.972778602448491</v>
      </c>
      <c r="CM17" s="68">
        <v>3.871113147003777</v>
      </c>
      <c r="CN17" s="68">
        <v>2.661781050294989</v>
      </c>
      <c r="CO17" s="68">
        <v>2.3622237826647101</v>
      </c>
      <c r="CP17" s="68">
        <v>1.4067109988504236</v>
      </c>
      <c r="CQ17" s="68"/>
      <c r="CR17" s="68">
        <f t="shared" si="49"/>
        <v>-1.2550700514445654</v>
      </c>
      <c r="CS17" s="68">
        <f>'RD T1'!E277</f>
        <v>0.58280117575544577</v>
      </c>
      <c r="CT17" s="68">
        <f t="shared" si="50"/>
        <v>-0.67226887568911964</v>
      </c>
    </row>
    <row r="18" spans="1:98" x14ac:dyDescent="0.2">
      <c r="A18" s="10" t="str">
        <f>name!D14</f>
        <v>35 Business and public service associate professionals</v>
      </c>
      <c r="B18" s="68">
        <v>8.7343375675085255</v>
      </c>
      <c r="C18" s="68">
        <v>11.953040491669599</v>
      </c>
      <c r="D18" s="68">
        <v>12.879770803960131</v>
      </c>
      <c r="E18" s="68">
        <v>18.124012212603898</v>
      </c>
      <c r="F18" s="68">
        <v>29.836274424641271</v>
      </c>
      <c r="G18" s="11"/>
      <c r="H18" s="68">
        <f t="shared" si="51"/>
        <v>16.95650362068114</v>
      </c>
      <c r="I18" s="68">
        <f>'RD T1'!E46</f>
        <v>10.071677555685724</v>
      </c>
      <c r="J18" s="68">
        <f t="shared" si="26"/>
        <v>27.028181176366864</v>
      </c>
      <c r="L18" t="str">
        <f t="shared" si="27"/>
        <v>35 Business and public service associate professionals</v>
      </c>
      <c r="M18" s="68">
        <v>95.506944539868101</v>
      </c>
      <c r="N18" s="68">
        <v>126.91690003350044</v>
      </c>
      <c r="O18" s="68">
        <v>136.87695367757865</v>
      </c>
      <c r="P18" s="68">
        <v>177.94384937647314</v>
      </c>
      <c r="Q18" s="68">
        <v>260.74302927605476</v>
      </c>
      <c r="R18" s="11"/>
      <c r="S18" s="68">
        <f t="shared" si="28"/>
        <v>123.8660755984761</v>
      </c>
      <c r="T18" s="68">
        <f>'RD T1'!E75</f>
        <v>97.247847400461907</v>
      </c>
      <c r="U18" s="68">
        <f t="shared" si="29"/>
        <v>221.11392299893799</v>
      </c>
      <c r="W18" t="str">
        <f t="shared" si="30"/>
        <v>35 Business and public service associate professionals</v>
      </c>
      <c r="X18" s="68">
        <v>168.54489236026004</v>
      </c>
      <c r="Y18" s="68">
        <v>174.71386732595511</v>
      </c>
      <c r="Z18" s="68">
        <v>176.50779523517124</v>
      </c>
      <c r="AA18" s="68">
        <v>156.21029170862295</v>
      </c>
      <c r="AB18" s="68">
        <v>129.61654015485277</v>
      </c>
      <c r="AC18" s="68"/>
      <c r="AD18" s="68">
        <f t="shared" si="31"/>
        <v>-46.891255080318473</v>
      </c>
      <c r="AE18" s="68">
        <f>'RD T1'!E104</f>
        <v>75.405026768503973</v>
      </c>
      <c r="AF18" s="68">
        <f t="shared" si="32"/>
        <v>28.5137716881855</v>
      </c>
      <c r="AH18" t="str">
        <f t="shared" si="33"/>
        <v>35 Business and public service associate professionals</v>
      </c>
      <c r="AI18" s="68">
        <v>38.011332579256475</v>
      </c>
      <c r="AJ18" s="68">
        <v>39.242518042938258</v>
      </c>
      <c r="AK18" s="68">
        <v>44.137580810812061</v>
      </c>
      <c r="AL18" s="68">
        <v>39.765299470189404</v>
      </c>
      <c r="AM18" s="68">
        <v>36.299729020138223</v>
      </c>
      <c r="AN18" s="68"/>
      <c r="AO18" s="68">
        <f t="shared" si="34"/>
        <v>-7.8378517906738381</v>
      </c>
      <c r="AP18" s="68">
        <f>'RD T1'!E133</f>
        <v>19.195761036637016</v>
      </c>
      <c r="AQ18" s="68">
        <f t="shared" si="35"/>
        <v>11.357909245963178</v>
      </c>
      <c r="AS18" t="str">
        <f t="shared" si="36"/>
        <v>35 Business and public service associate professionals</v>
      </c>
      <c r="AT18" s="68">
        <v>34.364394609719142</v>
      </c>
      <c r="AU18" s="68">
        <v>35.347641079698498</v>
      </c>
      <c r="AV18" s="68">
        <v>37.819068440428396</v>
      </c>
      <c r="AW18" s="68">
        <v>33.258439663012844</v>
      </c>
      <c r="AX18" s="68">
        <v>29.525742258458671</v>
      </c>
      <c r="AY18" s="68"/>
      <c r="AZ18" s="68">
        <f t="shared" si="37"/>
        <v>-8.293326181969725</v>
      </c>
      <c r="BA18" s="68">
        <f>'RD T1'!E162</f>
        <v>15.741824189831098</v>
      </c>
      <c r="BB18" s="68">
        <f t="shared" si="38"/>
        <v>7.4484980078613727</v>
      </c>
      <c r="BD18" t="str">
        <f t="shared" si="39"/>
        <v>35 Business and public service associate professionals</v>
      </c>
      <c r="BE18" s="68">
        <v>61.679998375817057</v>
      </c>
      <c r="BF18" s="68">
        <v>59.441253478516224</v>
      </c>
      <c r="BG18" s="68">
        <v>59.21841271322554</v>
      </c>
      <c r="BH18" s="68">
        <v>45.462276486496876</v>
      </c>
      <c r="BI18" s="68">
        <v>32.081904914149895</v>
      </c>
      <c r="BJ18" s="68"/>
      <c r="BK18" s="68">
        <f t="shared" si="40"/>
        <v>-27.136507799075645</v>
      </c>
      <c r="BL18" s="68">
        <f>'RD T1'!E191</f>
        <v>16.682554707775182</v>
      </c>
      <c r="BM18" s="68">
        <f t="shared" si="41"/>
        <v>-10.453953091300463</v>
      </c>
      <c r="BO18" t="str">
        <f t="shared" si="42"/>
        <v>35 Business and public service associate professionals</v>
      </c>
      <c r="BP18" s="68">
        <v>50.913878538667952</v>
      </c>
      <c r="BQ18" s="68">
        <v>53.584676323504603</v>
      </c>
      <c r="BR18" s="68">
        <v>43.944660244072409</v>
      </c>
      <c r="BS18" s="68">
        <v>34.789836131612809</v>
      </c>
      <c r="BT18" s="68">
        <v>20.167047829490294</v>
      </c>
      <c r="BU18" s="68"/>
      <c r="BV18" s="68">
        <f t="shared" si="43"/>
        <v>-23.777612414582116</v>
      </c>
      <c r="BW18" s="68">
        <f>'RD T1'!E220</f>
        <v>10.315931517755034</v>
      </c>
      <c r="BX18" s="68">
        <f t="shared" si="44"/>
        <v>-13.461680896827081</v>
      </c>
      <c r="BZ18" t="str">
        <f t="shared" si="45"/>
        <v>35 Business and public service associate professionals</v>
      </c>
      <c r="CA18" s="68">
        <v>37.116066307031893</v>
      </c>
      <c r="CB18" s="68">
        <v>34.597889833539881</v>
      </c>
      <c r="CC18" s="68">
        <v>33.021327416301155</v>
      </c>
      <c r="CD18" s="68">
        <v>25.393810791764299</v>
      </c>
      <c r="CE18" s="68">
        <v>11.942592428876699</v>
      </c>
      <c r="CF18" s="68"/>
      <c r="CG18" s="68">
        <f t="shared" si="46"/>
        <v>-21.078734987424454</v>
      </c>
      <c r="CH18" s="68">
        <f>'RD T1'!E249</f>
        <v>6.5532525569946598</v>
      </c>
      <c r="CI18" s="68">
        <f t="shared" si="47"/>
        <v>-14.525482430429793</v>
      </c>
      <c r="CK18" t="str">
        <f t="shared" si="48"/>
        <v>35 Business and public service associate professionals</v>
      </c>
      <c r="CL18" s="68">
        <v>8.5314441617538641</v>
      </c>
      <c r="CM18" s="68">
        <v>8.1647975727032893</v>
      </c>
      <c r="CN18" s="68">
        <v>5.6521572002953127</v>
      </c>
      <c r="CO18" s="68">
        <v>4.6845203700177622</v>
      </c>
      <c r="CP18" s="68">
        <v>3.6960215306721795</v>
      </c>
      <c r="CQ18" s="68"/>
      <c r="CR18" s="68">
        <f t="shared" si="49"/>
        <v>-1.9561356696231331</v>
      </c>
      <c r="CS18" s="68">
        <f>'RD T1'!E278</f>
        <v>1.3268872248371633</v>
      </c>
      <c r="CT18" s="68">
        <f t="shared" si="50"/>
        <v>-0.62924844478596986</v>
      </c>
    </row>
    <row r="19" spans="1:98" x14ac:dyDescent="0.2">
      <c r="A19" s="10" t="str">
        <f>name!D15</f>
        <v>41 Administrative occupations</v>
      </c>
      <c r="B19" s="68">
        <v>2.7442790910441412</v>
      </c>
      <c r="C19" s="68">
        <v>3.5995285893598532</v>
      </c>
      <c r="D19" s="68">
        <v>4.2159814385508305</v>
      </c>
      <c r="E19" s="68">
        <v>5.9907233675280995</v>
      </c>
      <c r="F19" s="68">
        <v>10.53345376102877</v>
      </c>
      <c r="G19" s="11"/>
      <c r="H19" s="68">
        <f t="shared" si="51"/>
        <v>6.3174723224779399</v>
      </c>
      <c r="I19" s="68">
        <f>'RD T1'!E47</f>
        <v>3.8715602242246647</v>
      </c>
      <c r="J19" s="68">
        <f t="shared" si="26"/>
        <v>10.189032546702604</v>
      </c>
      <c r="L19" t="str">
        <f t="shared" si="27"/>
        <v>41 Administrative occupations</v>
      </c>
      <c r="M19" s="68">
        <v>35.966700174320323</v>
      </c>
      <c r="N19" s="68">
        <v>44.716681811591663</v>
      </c>
      <c r="O19" s="68">
        <v>52.750269142579064</v>
      </c>
      <c r="P19" s="68">
        <v>71.105151847955824</v>
      </c>
      <c r="Q19" s="68">
        <v>113.77888054694125</v>
      </c>
      <c r="R19" s="11"/>
      <c r="S19" s="68">
        <f t="shared" si="28"/>
        <v>61.028611404362188</v>
      </c>
      <c r="T19" s="68">
        <f>'RD T1'!E76</f>
        <v>45.057527283292075</v>
      </c>
      <c r="U19" s="68">
        <f t="shared" si="29"/>
        <v>106.08613868765426</v>
      </c>
      <c r="W19" t="str">
        <f t="shared" si="30"/>
        <v>41 Administrative occupations</v>
      </c>
      <c r="X19" s="68">
        <v>97.967370111991869</v>
      </c>
      <c r="Y19" s="68">
        <v>98.959797553418881</v>
      </c>
      <c r="Z19" s="68">
        <v>109.91389749432282</v>
      </c>
      <c r="AA19" s="68">
        <v>105.23355889399038</v>
      </c>
      <c r="AB19" s="68">
        <v>99.024567536152531</v>
      </c>
      <c r="AC19" s="68"/>
      <c r="AD19" s="68">
        <f t="shared" si="31"/>
        <v>-10.889329958170293</v>
      </c>
      <c r="AE19" s="68">
        <f>'RD T1'!E105</f>
        <v>58.586689770339795</v>
      </c>
      <c r="AF19" s="68">
        <f t="shared" si="32"/>
        <v>47.697359812169502</v>
      </c>
      <c r="AH19" t="str">
        <f t="shared" si="33"/>
        <v>41 Administrative occupations</v>
      </c>
      <c r="AI19" s="68">
        <v>30.284292956716516</v>
      </c>
      <c r="AJ19" s="68">
        <v>30.325481519877627</v>
      </c>
      <c r="AK19" s="68">
        <v>34.541934579091865</v>
      </c>
      <c r="AL19" s="68">
        <v>31.874588777653461</v>
      </c>
      <c r="AM19" s="68">
        <v>29.356684210111609</v>
      </c>
      <c r="AN19" s="68"/>
      <c r="AO19" s="68">
        <f t="shared" si="34"/>
        <v>-5.185250368980256</v>
      </c>
      <c r="AP19" s="68">
        <f>'RD T1'!E134</f>
        <v>18.411763610364559</v>
      </c>
      <c r="AQ19" s="68">
        <f t="shared" si="35"/>
        <v>13.226513241384303</v>
      </c>
      <c r="AS19" t="str">
        <f t="shared" si="36"/>
        <v>41 Administrative occupations</v>
      </c>
      <c r="AT19" s="68">
        <v>31.541026496694666</v>
      </c>
      <c r="AU19" s="68">
        <v>31.206512655182486</v>
      </c>
      <c r="AV19" s="68">
        <v>34.649020143200637</v>
      </c>
      <c r="AW19" s="68">
        <v>30.952349368425228</v>
      </c>
      <c r="AX19" s="68">
        <v>28.37658593256813</v>
      </c>
      <c r="AY19" s="68"/>
      <c r="AZ19" s="68">
        <f t="shared" si="37"/>
        <v>-6.2724342106325075</v>
      </c>
      <c r="BA19" s="68">
        <f>'RD T1'!E163</f>
        <v>17.17926963648263</v>
      </c>
      <c r="BB19" s="68">
        <f t="shared" si="38"/>
        <v>10.906835425850122</v>
      </c>
      <c r="BD19" t="str">
        <f t="shared" si="39"/>
        <v>41 Administrative occupations</v>
      </c>
      <c r="BE19" s="68">
        <v>69.004031651205892</v>
      </c>
      <c r="BF19" s="68">
        <v>66.508213734275458</v>
      </c>
      <c r="BG19" s="68">
        <v>63.291731793891159</v>
      </c>
      <c r="BH19" s="68">
        <v>51.976896936634191</v>
      </c>
      <c r="BI19" s="68">
        <v>28.775279552288119</v>
      </c>
      <c r="BJ19" s="68"/>
      <c r="BK19" s="68">
        <f t="shared" si="40"/>
        <v>-34.516452241603041</v>
      </c>
      <c r="BL19" s="68">
        <f>'RD T1'!E192</f>
        <v>19.762799669937685</v>
      </c>
      <c r="BM19" s="68">
        <f t="shared" si="41"/>
        <v>-14.753652571665356</v>
      </c>
      <c r="BO19" t="str">
        <f t="shared" si="42"/>
        <v>41 Administrative occupations</v>
      </c>
      <c r="BP19" s="68">
        <v>69.431155126525482</v>
      </c>
      <c r="BQ19" s="68">
        <v>65.048342441969183</v>
      </c>
      <c r="BR19" s="68">
        <v>56.587278139049772</v>
      </c>
      <c r="BS19" s="68">
        <v>42.762966832240458</v>
      </c>
      <c r="BT19" s="68">
        <v>17.798094588249143</v>
      </c>
      <c r="BU19" s="68"/>
      <c r="BV19" s="68">
        <f t="shared" si="43"/>
        <v>-38.78918355080063</v>
      </c>
      <c r="BW19" s="68">
        <f>'RD T1'!E221</f>
        <v>12.733595944547995</v>
      </c>
      <c r="BX19" s="68">
        <f t="shared" si="44"/>
        <v>-26.055587606252637</v>
      </c>
      <c r="BZ19" t="str">
        <f t="shared" si="45"/>
        <v>41 Administrative occupations</v>
      </c>
      <c r="CA19" s="68">
        <v>49.663225944241823</v>
      </c>
      <c r="CB19" s="68">
        <v>40.597885668748994</v>
      </c>
      <c r="CC19" s="68">
        <v>40.130228508653197</v>
      </c>
      <c r="CD19" s="68">
        <v>20.319736225305707</v>
      </c>
      <c r="CE19" s="68">
        <v>4.8241535741375037</v>
      </c>
      <c r="CF19" s="68"/>
      <c r="CG19" s="68">
        <f t="shared" si="46"/>
        <v>-35.306074934515692</v>
      </c>
      <c r="CH19" s="68">
        <f>'RD T1'!E250</f>
        <v>5.75413412454499</v>
      </c>
      <c r="CI19" s="68">
        <f t="shared" si="47"/>
        <v>-29.551940809970702</v>
      </c>
      <c r="CK19" t="str">
        <f t="shared" si="48"/>
        <v>41 Administrative occupations</v>
      </c>
      <c r="CL19" s="68">
        <v>13.23669037425498</v>
      </c>
      <c r="CM19" s="68">
        <v>10.781567779840785</v>
      </c>
      <c r="CN19" s="68">
        <v>7.5594805499164197</v>
      </c>
      <c r="CO19" s="68">
        <v>5.4940810194282435</v>
      </c>
      <c r="CP19" s="68">
        <v>3.1564848231913687</v>
      </c>
      <c r="CQ19" s="68"/>
      <c r="CR19" s="68">
        <f t="shared" si="49"/>
        <v>-4.4029957267250506</v>
      </c>
      <c r="CS19" s="68">
        <f>'RD T1'!E279</f>
        <v>1.4240348627182389</v>
      </c>
      <c r="CT19" s="68">
        <f t="shared" si="50"/>
        <v>-2.9789608640068117</v>
      </c>
    </row>
    <row r="20" spans="1:98" x14ac:dyDescent="0.2">
      <c r="A20" s="10" t="str">
        <f>name!D16</f>
        <v>42 Secretarial and related occupations</v>
      </c>
      <c r="B20" s="68">
        <v>0.30534255693451107</v>
      </c>
      <c r="C20" s="68">
        <v>0.43819375103863711</v>
      </c>
      <c r="D20" s="68">
        <v>0.44453072540564342</v>
      </c>
      <c r="E20" s="68">
        <v>0.79998475962118676</v>
      </c>
      <c r="F20" s="68">
        <v>1.7372825402601948</v>
      </c>
      <c r="G20" s="11"/>
      <c r="H20" s="68">
        <f t="shared" si="51"/>
        <v>1.2927518148545514</v>
      </c>
      <c r="I20" s="68">
        <f>'RD T1'!E48</f>
        <v>0.74985394500678892</v>
      </c>
      <c r="J20" s="68">
        <f t="shared" si="26"/>
        <v>2.0426057598613401</v>
      </c>
      <c r="L20" t="str">
        <f t="shared" si="27"/>
        <v>42 Secretarial and related occupations</v>
      </c>
      <c r="M20" s="68">
        <v>5.9085667324441387</v>
      </c>
      <c r="N20" s="68">
        <v>7.2472592378700673</v>
      </c>
      <c r="O20" s="68">
        <v>7.9116109709290718</v>
      </c>
      <c r="P20" s="68">
        <v>13.631231565111486</v>
      </c>
      <c r="Q20" s="68">
        <v>20.559221056004287</v>
      </c>
      <c r="R20" s="11"/>
      <c r="S20" s="68">
        <f t="shared" si="28"/>
        <v>12.647610085075215</v>
      </c>
      <c r="T20" s="68">
        <f>'RD T1'!E77</f>
        <v>9.0409455454796621</v>
      </c>
      <c r="U20" s="68">
        <f t="shared" si="29"/>
        <v>21.688555630554877</v>
      </c>
      <c r="W20" t="str">
        <f t="shared" si="30"/>
        <v>42 Secretarial and related occupations</v>
      </c>
      <c r="X20" s="68">
        <v>19.053375738203012</v>
      </c>
      <c r="Y20" s="68">
        <v>19.085510317154345</v>
      </c>
      <c r="Z20" s="68">
        <v>20.231420177567824</v>
      </c>
      <c r="AA20" s="68">
        <v>27.63165109416175</v>
      </c>
      <c r="AB20" s="68">
        <v>33.674868669410117</v>
      </c>
      <c r="AC20" s="68"/>
      <c r="AD20" s="68">
        <f t="shared" si="31"/>
        <v>13.443448491842293</v>
      </c>
      <c r="AE20" s="68">
        <f>'RD T1'!E106</f>
        <v>18.167094019861619</v>
      </c>
      <c r="AF20" s="68">
        <f t="shared" si="32"/>
        <v>31.610542511703912</v>
      </c>
      <c r="AH20" t="str">
        <f t="shared" si="33"/>
        <v>42 Secretarial and related occupations</v>
      </c>
      <c r="AI20" s="68">
        <v>8.033013969597949</v>
      </c>
      <c r="AJ20" s="68">
        <v>7.9490028014401135</v>
      </c>
      <c r="AK20" s="68">
        <v>8.9975048535047648</v>
      </c>
      <c r="AL20" s="68">
        <v>11.382071883668779</v>
      </c>
      <c r="AM20" s="68">
        <v>12.183597969282641</v>
      </c>
      <c r="AN20" s="68"/>
      <c r="AO20" s="68">
        <f t="shared" si="34"/>
        <v>3.1860931157778758</v>
      </c>
      <c r="AP20" s="68">
        <f>'RD T1'!E135</f>
        <v>7.0064170370639154</v>
      </c>
      <c r="AQ20" s="68">
        <f t="shared" si="35"/>
        <v>10.192510152841791</v>
      </c>
      <c r="AS20" t="str">
        <f t="shared" si="36"/>
        <v>42 Secretarial and related occupations</v>
      </c>
      <c r="AT20" s="68">
        <v>6.1558802881997066</v>
      </c>
      <c r="AU20" s="68">
        <v>5.5748461371853217</v>
      </c>
      <c r="AV20" s="68">
        <v>5.885660128618496</v>
      </c>
      <c r="AW20" s="68">
        <v>6.8193420278878181</v>
      </c>
      <c r="AX20" s="68">
        <v>5.1979321562223264</v>
      </c>
      <c r="AY20" s="68"/>
      <c r="AZ20" s="68">
        <f t="shared" si="37"/>
        <v>-0.68772797239616956</v>
      </c>
      <c r="BA20" s="68">
        <f>'RD T1'!E164</f>
        <v>3.67169030507868</v>
      </c>
      <c r="BB20" s="68">
        <f t="shared" si="38"/>
        <v>2.9839623326825104</v>
      </c>
      <c r="BD20" t="str">
        <f t="shared" si="39"/>
        <v>42 Secretarial and related occupations</v>
      </c>
      <c r="BE20" s="68">
        <v>15.529112542116472</v>
      </c>
      <c r="BF20" s="68">
        <v>14.152592549132441</v>
      </c>
      <c r="BG20" s="68">
        <v>11.600819953117918</v>
      </c>
      <c r="BH20" s="68">
        <v>9.7841566197938956</v>
      </c>
      <c r="BI20" s="68">
        <v>1.3115248237018899</v>
      </c>
      <c r="BJ20" s="68"/>
      <c r="BK20" s="68">
        <f t="shared" si="40"/>
        <v>-10.289295129416029</v>
      </c>
      <c r="BL20" s="68">
        <f>'RD T1'!E193</f>
        <v>2.8820615891929577</v>
      </c>
      <c r="BM20" s="68">
        <f t="shared" si="41"/>
        <v>-7.4072335402230713</v>
      </c>
      <c r="BO20" t="str">
        <f t="shared" si="42"/>
        <v>42 Secretarial and related occupations</v>
      </c>
      <c r="BP20" s="68">
        <v>18.793835046383162</v>
      </c>
      <c r="BQ20" s="68">
        <v>15.086606772022199</v>
      </c>
      <c r="BR20" s="68">
        <v>12.086538116464823</v>
      </c>
      <c r="BS20" s="68">
        <v>7.3095321493876488</v>
      </c>
      <c r="BT20" s="68">
        <v>0.63149462729568051</v>
      </c>
      <c r="BU20" s="68"/>
      <c r="BV20" s="68">
        <f t="shared" si="43"/>
        <v>-11.455043489169142</v>
      </c>
      <c r="BW20" s="68">
        <f>'RD T1'!E222</f>
        <v>2.0230539273650145</v>
      </c>
      <c r="BX20" s="68">
        <f t="shared" si="44"/>
        <v>-9.4319895618041283</v>
      </c>
      <c r="BZ20" t="str">
        <f t="shared" si="45"/>
        <v>42 Secretarial and related occupations</v>
      </c>
      <c r="CA20" s="68">
        <v>22.284652224495321</v>
      </c>
      <c r="CB20" s="68">
        <v>18.194636330564727</v>
      </c>
      <c r="CC20" s="68">
        <v>17.551964198549964</v>
      </c>
      <c r="CD20" s="68">
        <v>6.4746438042232732</v>
      </c>
      <c r="CE20" s="68">
        <v>0.78934724493170316</v>
      </c>
      <c r="CF20" s="68"/>
      <c r="CG20" s="68">
        <f t="shared" si="46"/>
        <v>-16.762616953618259</v>
      </c>
      <c r="CH20" s="68">
        <f>'RD T1'!E251</f>
        <v>2.516824655326197</v>
      </c>
      <c r="CI20" s="68">
        <f t="shared" si="47"/>
        <v>-14.245792298292063</v>
      </c>
      <c r="CK20" t="str">
        <f t="shared" si="48"/>
        <v>42 Secretarial and related occupations</v>
      </c>
      <c r="CL20" s="68">
        <v>5.8010772135202409</v>
      </c>
      <c r="CM20" s="68">
        <v>5.4572297275783539</v>
      </c>
      <c r="CN20" s="68">
        <v>4.0077598367939133</v>
      </c>
      <c r="CO20" s="68">
        <v>4.3126897562826372</v>
      </c>
      <c r="CP20" s="68">
        <v>2.4423447504112863</v>
      </c>
      <c r="CQ20" s="68"/>
      <c r="CR20" s="68">
        <f t="shared" si="49"/>
        <v>-1.5654150863826271</v>
      </c>
      <c r="CS20" s="68">
        <f>'RD T1'!E280</f>
        <v>1.4037499537690759</v>
      </c>
      <c r="CT20" s="68">
        <f t="shared" si="50"/>
        <v>-0.1616651326135512</v>
      </c>
    </row>
    <row r="21" spans="1:98" x14ac:dyDescent="0.2">
      <c r="A21" s="10" t="str">
        <f>name!D17</f>
        <v>51 Skilled agricultural and related trades</v>
      </c>
      <c r="B21" s="68">
        <v>0.10029846232293319</v>
      </c>
      <c r="C21" s="68">
        <v>0.14243775624725116</v>
      </c>
      <c r="D21" s="68">
        <v>0.12205349398198176</v>
      </c>
      <c r="E21" s="68">
        <v>0.17189098257629867</v>
      </c>
      <c r="F21" s="68">
        <v>0.30981897852320545</v>
      </c>
      <c r="G21" s="11"/>
      <c r="H21" s="68">
        <f t="shared" si="51"/>
        <v>0.18776548454122369</v>
      </c>
      <c r="I21" s="68">
        <f>'RD T1'!E49</f>
        <v>0.16264056711011368</v>
      </c>
      <c r="J21" s="68">
        <f t="shared" si="26"/>
        <v>0.35040605165133737</v>
      </c>
      <c r="L21" t="str">
        <f t="shared" si="27"/>
        <v>51 Skilled agricultural and related trades</v>
      </c>
      <c r="M21" s="68">
        <v>0.88098862436232606</v>
      </c>
      <c r="N21" s="68">
        <v>1.2100091228671936</v>
      </c>
      <c r="O21" s="68">
        <v>1.0696287629646655</v>
      </c>
      <c r="P21" s="68">
        <v>1.545700464003007</v>
      </c>
      <c r="Q21" s="68">
        <v>2.8074940951014504</v>
      </c>
      <c r="R21" s="11"/>
      <c r="S21" s="68">
        <f t="shared" si="28"/>
        <v>1.737865332136785</v>
      </c>
      <c r="T21" s="68">
        <f>'RD T1'!E78</f>
        <v>1.4257535723180457</v>
      </c>
      <c r="U21" s="68">
        <f t="shared" si="29"/>
        <v>3.1636189044548306</v>
      </c>
      <c r="W21" t="str">
        <f t="shared" si="30"/>
        <v>51 Skilled agricultural and related trades</v>
      </c>
      <c r="X21" s="68">
        <v>3.8866471326636267</v>
      </c>
      <c r="Y21" s="68">
        <v>3.9697383082027939</v>
      </c>
      <c r="Z21" s="68">
        <v>5.3966196892948801</v>
      </c>
      <c r="AA21" s="68">
        <v>6.2122338331369722</v>
      </c>
      <c r="AB21" s="68">
        <v>8.722681479069756</v>
      </c>
      <c r="AC21" s="68"/>
      <c r="AD21" s="68">
        <f t="shared" si="31"/>
        <v>3.3260617897748759</v>
      </c>
      <c r="AE21" s="68">
        <f>'RD T1'!E107</f>
        <v>5.45697983353024</v>
      </c>
      <c r="AF21" s="68">
        <f t="shared" si="32"/>
        <v>8.7830416233051167</v>
      </c>
      <c r="AH21" t="str">
        <f t="shared" si="33"/>
        <v>51 Skilled agricultural and related trades</v>
      </c>
      <c r="AI21" s="68">
        <v>2.4399873647285237</v>
      </c>
      <c r="AJ21" s="68">
        <v>2.6730046723897405</v>
      </c>
      <c r="AK21" s="68">
        <v>2.7242844180045873</v>
      </c>
      <c r="AL21" s="68">
        <v>3.1884112947951704</v>
      </c>
      <c r="AM21" s="68">
        <v>3.9775352386534957</v>
      </c>
      <c r="AN21" s="68"/>
      <c r="AO21" s="68">
        <f t="shared" si="34"/>
        <v>1.2532508206489084</v>
      </c>
      <c r="AP21" s="68">
        <f>'RD T1'!E136</f>
        <v>2.8104548707947252</v>
      </c>
      <c r="AQ21" s="68">
        <f t="shared" si="35"/>
        <v>4.0637056914436336</v>
      </c>
      <c r="AS21" t="str">
        <f t="shared" si="36"/>
        <v>51 Skilled agricultural and related trades</v>
      </c>
      <c r="AT21" s="68">
        <v>2.6477588073717286</v>
      </c>
      <c r="AU21" s="68">
        <v>2.7771322632496656</v>
      </c>
      <c r="AV21" s="68">
        <v>2.8517149837018754</v>
      </c>
      <c r="AW21" s="68">
        <v>3.2209719209123904</v>
      </c>
      <c r="AX21" s="68">
        <v>4.3931013087012065</v>
      </c>
      <c r="AY21" s="68"/>
      <c r="AZ21" s="68">
        <f t="shared" si="37"/>
        <v>1.5413863249993311</v>
      </c>
      <c r="BA21" s="68">
        <f>'RD T1'!E165</f>
        <v>2.7011654446153641</v>
      </c>
      <c r="BB21" s="68">
        <f t="shared" si="38"/>
        <v>4.2425517696146953</v>
      </c>
      <c r="BD21" t="str">
        <f t="shared" si="39"/>
        <v>51 Skilled agricultural and related trades</v>
      </c>
      <c r="BE21" s="68">
        <v>2.8156288760268784</v>
      </c>
      <c r="BF21" s="68">
        <v>2.582579084518815</v>
      </c>
      <c r="BG21" s="68">
        <v>2.522231111293725</v>
      </c>
      <c r="BH21" s="68">
        <v>1.9554031926411011</v>
      </c>
      <c r="BI21" s="68">
        <v>1.5047687657312108</v>
      </c>
      <c r="BJ21" s="68"/>
      <c r="BK21" s="68">
        <f t="shared" si="40"/>
        <v>-1.0174623455625142</v>
      </c>
      <c r="BL21" s="68">
        <f>'RD T1'!E194</f>
        <v>1.0097340067584246</v>
      </c>
      <c r="BM21" s="68">
        <f t="shared" si="41"/>
        <v>-7.7283388040896295E-3</v>
      </c>
      <c r="BO21" t="str">
        <f t="shared" si="42"/>
        <v>51 Skilled agricultural and related trades</v>
      </c>
      <c r="BP21" s="68">
        <v>4.7909293448294754</v>
      </c>
      <c r="BQ21" s="68">
        <v>5.4569783750588066</v>
      </c>
      <c r="BR21" s="68">
        <v>4.3135659801163895</v>
      </c>
      <c r="BS21" s="68">
        <v>4.686931102970318</v>
      </c>
      <c r="BT21" s="68">
        <v>4.3383450445368199</v>
      </c>
      <c r="BU21" s="68"/>
      <c r="BV21" s="68">
        <f t="shared" si="43"/>
        <v>2.477906442043043E-2</v>
      </c>
      <c r="BW21" s="68">
        <f>'RD T1'!E223</f>
        <v>2.4373462369465564</v>
      </c>
      <c r="BX21" s="68">
        <f t="shared" si="44"/>
        <v>2.4621253013669868</v>
      </c>
      <c r="BZ21" t="str">
        <f t="shared" si="45"/>
        <v>51 Skilled agricultural and related trades</v>
      </c>
      <c r="CA21" s="68">
        <v>5.0680603217318811</v>
      </c>
      <c r="CB21" s="68">
        <v>4.8362163700780973</v>
      </c>
      <c r="CC21" s="68">
        <v>4.4621208968253132</v>
      </c>
      <c r="CD21" s="68">
        <v>4.6236222654230685</v>
      </c>
      <c r="CE21" s="68">
        <v>5.832170681928754</v>
      </c>
      <c r="CF21" s="68"/>
      <c r="CG21" s="68">
        <f t="shared" si="46"/>
        <v>1.3700497851034408</v>
      </c>
      <c r="CH21" s="68">
        <f>'RD T1'!E252</f>
        <v>2.2819428819495249</v>
      </c>
      <c r="CI21" s="68">
        <f t="shared" si="47"/>
        <v>3.6519926670529657</v>
      </c>
      <c r="CK21" t="str">
        <f t="shared" si="48"/>
        <v>51 Skilled agricultural and related trades</v>
      </c>
      <c r="CL21" s="68">
        <v>3.6641546506895137</v>
      </c>
      <c r="CM21" s="68">
        <v>2.815607565384366</v>
      </c>
      <c r="CN21" s="68">
        <v>1.7625669582022372</v>
      </c>
      <c r="CO21" s="68">
        <v>1.6064377204842475</v>
      </c>
      <c r="CP21" s="68">
        <v>0.58909527423584596</v>
      </c>
      <c r="CQ21" s="68"/>
      <c r="CR21" s="68">
        <f t="shared" si="49"/>
        <v>-1.1734716839663912</v>
      </c>
      <c r="CS21" s="68">
        <f>'RD T1'!E281</f>
        <v>0.47085373983014212</v>
      </c>
      <c r="CT21" s="68">
        <f t="shared" si="50"/>
        <v>-0.70261794413624912</v>
      </c>
    </row>
    <row r="22" spans="1:98" x14ac:dyDescent="0.2">
      <c r="A22" s="10" t="str">
        <f>name!D18</f>
        <v>52 Skilled metal, electrical and electronic trades</v>
      </c>
      <c r="B22" s="68">
        <v>0.3070112662305361</v>
      </c>
      <c r="C22" s="68">
        <v>0.44645868973320818</v>
      </c>
      <c r="D22" s="68">
        <v>0.49798199905233664</v>
      </c>
      <c r="E22" s="68">
        <v>0.73342247631509849</v>
      </c>
      <c r="F22" s="68">
        <v>1.3706826552262674</v>
      </c>
      <c r="G22" s="11"/>
      <c r="H22" s="68">
        <f t="shared" si="51"/>
        <v>0.87270065617393078</v>
      </c>
      <c r="I22" s="68">
        <f>'RD T1'!E50</f>
        <v>0.42875253069609665</v>
      </c>
      <c r="J22" s="68">
        <f t="shared" si="26"/>
        <v>1.3014531868700274</v>
      </c>
      <c r="L22" t="str">
        <f t="shared" si="27"/>
        <v>52 Skilled metal, electrical and electronic trades</v>
      </c>
      <c r="M22" s="68">
        <v>4.5877134281412948</v>
      </c>
      <c r="N22" s="68">
        <v>6.4428839547536896</v>
      </c>
      <c r="O22" s="68">
        <v>6.2502370376631422</v>
      </c>
      <c r="P22" s="68">
        <v>11.448392262558572</v>
      </c>
      <c r="Q22" s="68">
        <v>21.56532630016898</v>
      </c>
      <c r="R22" s="11"/>
      <c r="S22" s="68">
        <f t="shared" si="28"/>
        <v>15.315089262505838</v>
      </c>
      <c r="T22" s="68">
        <f>'RD T1'!E79</f>
        <v>6.8604008623381745</v>
      </c>
      <c r="U22" s="68">
        <f t="shared" si="29"/>
        <v>22.175490124844011</v>
      </c>
      <c r="W22" t="str">
        <f t="shared" si="30"/>
        <v>52 Skilled metal, electrical and electronic trades</v>
      </c>
      <c r="X22" s="68">
        <v>12.095196456687406</v>
      </c>
      <c r="Y22" s="68">
        <v>13.090992318413992</v>
      </c>
      <c r="Z22" s="68">
        <v>11.391482684952548</v>
      </c>
      <c r="AA22" s="68">
        <v>13.676769721101026</v>
      </c>
      <c r="AB22" s="68">
        <v>16.479953010390613</v>
      </c>
      <c r="AC22" s="68"/>
      <c r="AD22" s="68">
        <f t="shared" si="31"/>
        <v>5.088470325438065</v>
      </c>
      <c r="AE22" s="68">
        <f>'RD T1'!E108</f>
        <v>7.3187015033358138</v>
      </c>
      <c r="AF22" s="68">
        <f t="shared" si="32"/>
        <v>12.40717182877388</v>
      </c>
      <c r="AH22" t="str">
        <f t="shared" si="33"/>
        <v>52 Skilled metal, electrical and electronic trades</v>
      </c>
      <c r="AI22" s="68">
        <v>3.6539150796178017</v>
      </c>
      <c r="AJ22" s="68">
        <v>4.1762202763084018</v>
      </c>
      <c r="AK22" s="68">
        <v>4.0226830426133997</v>
      </c>
      <c r="AL22" s="68">
        <v>4.557965225979852</v>
      </c>
      <c r="AM22" s="68">
        <v>6.2178668668928951</v>
      </c>
      <c r="AN22" s="68"/>
      <c r="AO22" s="68">
        <f t="shared" si="34"/>
        <v>2.1951838242794954</v>
      </c>
      <c r="AP22" s="68">
        <f>'RD T1'!E137</f>
        <v>2.4746354364378731</v>
      </c>
      <c r="AQ22" s="68">
        <f t="shared" si="35"/>
        <v>4.6698192607173681</v>
      </c>
      <c r="AS22" t="str">
        <f t="shared" si="36"/>
        <v>52 Skilled metal, electrical and electronic trades</v>
      </c>
      <c r="AT22" s="68">
        <v>14.265373310162843</v>
      </c>
      <c r="AU22" s="68">
        <v>15.357368811899983</v>
      </c>
      <c r="AV22" s="68">
        <v>14.092709484843692</v>
      </c>
      <c r="AW22" s="68">
        <v>15.939163041881143</v>
      </c>
      <c r="AX22" s="68">
        <v>20.86379111165656</v>
      </c>
      <c r="AY22" s="68"/>
      <c r="AZ22" s="68">
        <f t="shared" si="37"/>
        <v>6.7710816268128688</v>
      </c>
      <c r="BA22" s="68">
        <f>'RD T1'!E166</f>
        <v>8.22577591975503</v>
      </c>
      <c r="BB22" s="68">
        <f t="shared" si="38"/>
        <v>14.996857546567899</v>
      </c>
      <c r="BD22" t="str">
        <f t="shared" si="39"/>
        <v>52 Skilled metal, electrical and electronic trades</v>
      </c>
      <c r="BE22" s="68">
        <v>38.621258876769424</v>
      </c>
      <c r="BF22" s="68">
        <v>35.478424424862396</v>
      </c>
      <c r="BG22" s="68">
        <v>37.293539207839771</v>
      </c>
      <c r="BH22" s="68">
        <v>31.600773232104775</v>
      </c>
      <c r="BI22" s="68">
        <v>24.34629551788473</v>
      </c>
      <c r="BJ22" s="68"/>
      <c r="BK22" s="68">
        <f t="shared" si="40"/>
        <v>-12.947243689955041</v>
      </c>
      <c r="BL22" s="68">
        <f>'RD T1'!E195</f>
        <v>9.8424184512257558</v>
      </c>
      <c r="BM22" s="68">
        <f t="shared" si="41"/>
        <v>-3.1048252387292852</v>
      </c>
      <c r="BO22" t="str">
        <f t="shared" si="42"/>
        <v>52 Skilled metal, electrical and electronic trades</v>
      </c>
      <c r="BP22" s="68">
        <v>24.956602181137875</v>
      </c>
      <c r="BQ22" s="68">
        <v>29.301019126384535</v>
      </c>
      <c r="BR22" s="68">
        <v>21.328579834322127</v>
      </c>
      <c r="BS22" s="68">
        <v>21.185823329351408</v>
      </c>
      <c r="BT22" s="68">
        <v>13.59652826983776</v>
      </c>
      <c r="BU22" s="68"/>
      <c r="BV22" s="68">
        <f t="shared" si="43"/>
        <v>-7.732051564484367</v>
      </c>
      <c r="BW22" s="68">
        <f>'RD T1'!E224</f>
        <v>5.9896979838968782</v>
      </c>
      <c r="BX22" s="68">
        <f t="shared" si="44"/>
        <v>-1.7423535805874888</v>
      </c>
      <c r="BZ22" t="str">
        <f t="shared" si="45"/>
        <v>52 Skilled metal, electrical and electronic trades</v>
      </c>
      <c r="CA22" s="68">
        <v>14.532788856407057</v>
      </c>
      <c r="CB22" s="68">
        <v>14.864689496615119</v>
      </c>
      <c r="CC22" s="68">
        <v>12.035489308886014</v>
      </c>
      <c r="CD22" s="68">
        <v>12.352727670280803</v>
      </c>
      <c r="CE22" s="68">
        <v>5.7418554774112547</v>
      </c>
      <c r="CF22" s="68"/>
      <c r="CG22" s="68">
        <f t="shared" si="46"/>
        <v>-6.2936338314747591</v>
      </c>
      <c r="CH22" s="68">
        <f>'RD T1'!E253</f>
        <v>3.0976639754198887</v>
      </c>
      <c r="CI22" s="68">
        <f t="shared" si="47"/>
        <v>-3.1959698560548704</v>
      </c>
      <c r="CK22" t="str">
        <f t="shared" si="48"/>
        <v>52 Skilled metal, electrical and electronic trades</v>
      </c>
      <c r="CL22" s="68">
        <v>6.8617414728526072</v>
      </c>
      <c r="CM22" s="68">
        <v>7.169681439203166</v>
      </c>
      <c r="CN22" s="68">
        <v>4.2280130103165448</v>
      </c>
      <c r="CO22" s="68">
        <v>4.2176161795816718</v>
      </c>
      <c r="CP22" s="68">
        <v>1.7506701131857669</v>
      </c>
      <c r="CQ22" s="68"/>
      <c r="CR22" s="68">
        <f t="shared" si="49"/>
        <v>-2.4773428971307778</v>
      </c>
      <c r="CS22" s="68">
        <f>'RD T1'!E282</f>
        <v>1.0899417734495715</v>
      </c>
      <c r="CT22" s="68">
        <f t="shared" si="50"/>
        <v>-1.3874011236812063</v>
      </c>
    </row>
    <row r="23" spans="1:98" x14ac:dyDescent="0.2">
      <c r="A23" s="10" t="str">
        <f>name!D19</f>
        <v>53 Skilled construction and building trades</v>
      </c>
      <c r="B23" s="68">
        <v>0.161519924599103</v>
      </c>
      <c r="C23" s="68">
        <v>0.13931484579279585</v>
      </c>
      <c r="D23" s="68">
        <v>0.10173336356650668</v>
      </c>
      <c r="E23" s="68">
        <v>0.21555910248010107</v>
      </c>
      <c r="F23" s="68">
        <v>0.35457828196227709</v>
      </c>
      <c r="G23" s="11"/>
      <c r="H23" s="68">
        <f t="shared" si="51"/>
        <v>0.25284491839577039</v>
      </c>
      <c r="I23" s="68">
        <f>'RD T1'!E51</f>
        <v>0.11364054625109256</v>
      </c>
      <c r="J23" s="68">
        <f t="shared" si="26"/>
        <v>0.36648546464686294</v>
      </c>
      <c r="L23" t="str">
        <f t="shared" si="27"/>
        <v>53 Skilled construction and building trades</v>
      </c>
      <c r="M23" s="68">
        <v>3.4760578613104389</v>
      </c>
      <c r="N23" s="68">
        <v>4.3280873384622867</v>
      </c>
      <c r="O23" s="68">
        <v>3.5764778405180264</v>
      </c>
      <c r="P23" s="68">
        <v>6.3629182589501285</v>
      </c>
      <c r="Q23" s="68">
        <v>13.071683223227343</v>
      </c>
      <c r="R23" s="11"/>
      <c r="S23" s="68">
        <f t="shared" si="28"/>
        <v>9.4952053827093152</v>
      </c>
      <c r="T23" s="68">
        <f>'RD T1'!E80</f>
        <v>4.3350545794008628</v>
      </c>
      <c r="U23" s="68">
        <f t="shared" si="29"/>
        <v>13.830259962110178</v>
      </c>
      <c r="W23" t="str">
        <f t="shared" si="30"/>
        <v>53 Skilled construction and building trades</v>
      </c>
      <c r="X23" s="68">
        <v>8.6576482711310963</v>
      </c>
      <c r="Y23" s="68">
        <v>8.2731797613055331</v>
      </c>
      <c r="Z23" s="68">
        <v>7.2624540440612675</v>
      </c>
      <c r="AA23" s="68">
        <v>8.9167683049919102</v>
      </c>
      <c r="AB23" s="68">
        <v>10.492868524528239</v>
      </c>
      <c r="AC23" s="68"/>
      <c r="AD23" s="68">
        <f t="shared" si="31"/>
        <v>3.2304144804669717</v>
      </c>
      <c r="AE23" s="68">
        <f>'RD T1'!E109</f>
        <v>5.4845638144317537</v>
      </c>
      <c r="AF23" s="68">
        <f t="shared" si="32"/>
        <v>8.7149782948987244</v>
      </c>
      <c r="AH23" t="str">
        <f t="shared" si="33"/>
        <v>53 Skilled construction and building trades</v>
      </c>
      <c r="AI23" s="68">
        <v>5.7272229649727358</v>
      </c>
      <c r="AJ23" s="68">
        <v>5.8548353085096716</v>
      </c>
      <c r="AK23" s="68">
        <v>4.8290768549880498</v>
      </c>
      <c r="AL23" s="68">
        <v>5.9268174657984618</v>
      </c>
      <c r="AM23" s="68">
        <v>7.3119241893887637</v>
      </c>
      <c r="AN23" s="68"/>
      <c r="AO23" s="68">
        <f t="shared" si="34"/>
        <v>2.4828473344007138</v>
      </c>
      <c r="AP23" s="68">
        <f>'RD T1'!E138</f>
        <v>3.921149677669669</v>
      </c>
      <c r="AQ23" s="68">
        <f t="shared" si="35"/>
        <v>6.4039970120703824</v>
      </c>
      <c r="AS23" t="str">
        <f t="shared" si="36"/>
        <v>53 Skilled construction and building trades</v>
      </c>
      <c r="AT23" s="68">
        <v>9.072300272176534</v>
      </c>
      <c r="AU23" s="68">
        <v>7.9125371784987566</v>
      </c>
      <c r="AV23" s="68">
        <v>7.1593244417535606</v>
      </c>
      <c r="AW23" s="68">
        <v>9.463053168503837</v>
      </c>
      <c r="AX23" s="68">
        <v>11.736327793848226</v>
      </c>
      <c r="AY23" s="68"/>
      <c r="AZ23" s="68">
        <f t="shared" si="37"/>
        <v>4.5770033520946649</v>
      </c>
      <c r="BA23" s="68">
        <f>'RD T1'!E167</f>
        <v>6.2789187026967541</v>
      </c>
      <c r="BB23" s="68">
        <f t="shared" si="38"/>
        <v>10.855922054791419</v>
      </c>
      <c r="BD23" t="str">
        <f t="shared" si="39"/>
        <v>53 Skilled construction and building trades</v>
      </c>
      <c r="BE23" s="68">
        <v>48.339001214589906</v>
      </c>
      <c r="BF23" s="68">
        <v>35.201078016932037</v>
      </c>
      <c r="BG23" s="68">
        <v>34.230324554235736</v>
      </c>
      <c r="BH23" s="68">
        <v>30.627344121031047</v>
      </c>
      <c r="BI23" s="68">
        <v>23.994764186207963</v>
      </c>
      <c r="BJ23" s="68"/>
      <c r="BK23" s="68">
        <f t="shared" si="40"/>
        <v>-10.235560368027773</v>
      </c>
      <c r="BL23" s="68">
        <f>'RD T1'!E196</f>
        <v>10.870890625284451</v>
      </c>
      <c r="BM23" s="68">
        <f t="shared" si="41"/>
        <v>0.63533025725667791</v>
      </c>
      <c r="BO23" t="str">
        <f t="shared" si="42"/>
        <v>53 Skilled construction and building trades</v>
      </c>
      <c r="BP23" s="68">
        <v>42.063203179041494</v>
      </c>
      <c r="BQ23" s="68">
        <v>44.024108321144944</v>
      </c>
      <c r="BR23" s="68">
        <v>30.364169942663096</v>
      </c>
      <c r="BS23" s="68">
        <v>39.423072400468591</v>
      </c>
      <c r="BT23" s="68">
        <v>43.574412283260543</v>
      </c>
      <c r="BU23" s="68"/>
      <c r="BV23" s="68">
        <f t="shared" si="43"/>
        <v>13.210242340597446</v>
      </c>
      <c r="BW23" s="68">
        <f>'RD T1'!E225</f>
        <v>16.085259559616375</v>
      </c>
      <c r="BX23" s="68">
        <f t="shared" si="44"/>
        <v>29.295501900213822</v>
      </c>
      <c r="BZ23" t="str">
        <f t="shared" si="45"/>
        <v>53 Skilled construction and building trades</v>
      </c>
      <c r="CA23" s="68">
        <v>26.506371485937194</v>
      </c>
      <c r="CB23" s="68">
        <v>23.505444699421666</v>
      </c>
      <c r="CC23" s="68">
        <v>17.858929941994305</v>
      </c>
      <c r="CD23" s="68">
        <v>22.313119133742912</v>
      </c>
      <c r="CE23" s="68">
        <v>26.127691988941272</v>
      </c>
      <c r="CF23" s="68"/>
      <c r="CG23" s="68">
        <f t="shared" si="46"/>
        <v>8.2687620469469678</v>
      </c>
      <c r="CH23" s="68">
        <f>'RD T1'!E254</f>
        <v>8.1656217364033488</v>
      </c>
      <c r="CI23" s="68">
        <f t="shared" si="47"/>
        <v>16.434383783350317</v>
      </c>
      <c r="CK23" t="str">
        <f t="shared" si="48"/>
        <v>53 Skilled construction and building trades</v>
      </c>
      <c r="CL23" s="68">
        <v>19.130329688028599</v>
      </c>
      <c r="CM23" s="68">
        <v>13.402362516886486</v>
      </c>
      <c r="CN23" s="68">
        <v>6.8768632529672695</v>
      </c>
      <c r="CO23" s="68">
        <v>5.5220970683101465</v>
      </c>
      <c r="CP23" s="68">
        <v>0.80938598171702036</v>
      </c>
      <c r="CQ23" s="68"/>
      <c r="CR23" s="68">
        <f t="shared" si="49"/>
        <v>-6.0674772712502492</v>
      </c>
      <c r="CS23" s="68">
        <f>'RD T1'!E283</f>
        <v>1.0725574179034818</v>
      </c>
      <c r="CT23" s="68">
        <f t="shared" si="50"/>
        <v>-4.9949198533467669</v>
      </c>
    </row>
    <row r="24" spans="1:98" x14ac:dyDescent="0.2">
      <c r="A24" s="10" t="str">
        <f>name!D20</f>
        <v>54 Textiles, printing and other skilled trades</v>
      </c>
      <c r="B24" s="68">
        <v>0.42117389009546391</v>
      </c>
      <c r="C24" s="68">
        <v>0.54518650494497811</v>
      </c>
      <c r="D24" s="68">
        <v>0.60383382270356178</v>
      </c>
      <c r="E24" s="68">
        <v>0.90996321332492769</v>
      </c>
      <c r="F24" s="68">
        <v>1.5551475053661803</v>
      </c>
      <c r="G24" s="11"/>
      <c r="H24" s="68">
        <f t="shared" si="51"/>
        <v>0.95131368266261851</v>
      </c>
      <c r="I24" s="68">
        <f>'RD T1'!E52</f>
        <v>0.55832911250035977</v>
      </c>
      <c r="J24" s="68">
        <f t="shared" si="26"/>
        <v>1.5096427951629783</v>
      </c>
      <c r="L24" t="str">
        <f t="shared" si="27"/>
        <v>54 Textiles, printing and other skilled trades</v>
      </c>
      <c r="M24" s="68">
        <v>4.940348329098982</v>
      </c>
      <c r="N24" s="68">
        <v>6.3689082369490357</v>
      </c>
      <c r="O24" s="68">
        <v>6.9880106420425196</v>
      </c>
      <c r="P24" s="68">
        <v>11.72544040427641</v>
      </c>
      <c r="Q24" s="68">
        <v>25.206735979679877</v>
      </c>
      <c r="R24" s="11"/>
      <c r="S24" s="68">
        <f t="shared" si="28"/>
        <v>18.218725337637359</v>
      </c>
      <c r="T24" s="68">
        <f>'RD T1'!E81</f>
        <v>7.9402363100226303</v>
      </c>
      <c r="U24" s="68">
        <f t="shared" si="29"/>
        <v>26.158961647659989</v>
      </c>
      <c r="W24" t="str">
        <f t="shared" si="30"/>
        <v>54 Textiles, printing and other skilled trades</v>
      </c>
      <c r="X24" s="68">
        <v>14.00841093195948</v>
      </c>
      <c r="Y24" s="68">
        <v>15.201149797762834</v>
      </c>
      <c r="Z24" s="68">
        <v>14.64583448727317</v>
      </c>
      <c r="AA24" s="68">
        <v>18.090317230308042</v>
      </c>
      <c r="AB24" s="68">
        <v>23.679497150082206</v>
      </c>
      <c r="AC24" s="68"/>
      <c r="AD24" s="68">
        <f t="shared" si="31"/>
        <v>9.0336626628090357</v>
      </c>
      <c r="AE24" s="68">
        <f>'RD T1'!E110</f>
        <v>10.803434508252039</v>
      </c>
      <c r="AF24" s="68">
        <f t="shared" si="32"/>
        <v>19.837097171061075</v>
      </c>
      <c r="AH24" t="str">
        <f t="shared" si="33"/>
        <v>54 Textiles, printing and other skilled trades</v>
      </c>
      <c r="AI24" s="68">
        <v>4.8617591160716351</v>
      </c>
      <c r="AJ24" s="68">
        <v>5.241408276621458</v>
      </c>
      <c r="AK24" s="68">
        <v>5.1977532394417816</v>
      </c>
      <c r="AL24" s="68">
        <v>5.3867514076307828</v>
      </c>
      <c r="AM24" s="68">
        <v>6.1076459410395945</v>
      </c>
      <c r="AN24" s="68"/>
      <c r="AO24" s="68">
        <f t="shared" si="34"/>
        <v>0.90989270159781288</v>
      </c>
      <c r="AP24" s="68">
        <f>'RD T1'!E139</f>
        <v>3.0713867814517357</v>
      </c>
      <c r="AQ24" s="68">
        <f t="shared" si="35"/>
        <v>3.9812794830495486</v>
      </c>
      <c r="AS24" t="str">
        <f t="shared" si="36"/>
        <v>54 Textiles, printing and other skilled trades</v>
      </c>
      <c r="AT24" s="68">
        <v>6.664679197545472</v>
      </c>
      <c r="AU24" s="68">
        <v>6.7830225804780078</v>
      </c>
      <c r="AV24" s="68">
        <v>6.8410601012300969</v>
      </c>
      <c r="AW24" s="68">
        <v>7.9522786532598326</v>
      </c>
      <c r="AX24" s="68">
        <v>9.8654829884631159</v>
      </c>
      <c r="AY24" s="68"/>
      <c r="AZ24" s="68">
        <f t="shared" si="37"/>
        <v>3.024422887233019</v>
      </c>
      <c r="BA24" s="68">
        <f>'RD T1'!E168</f>
        <v>4.5357620802962089</v>
      </c>
      <c r="BB24" s="68">
        <f t="shared" si="38"/>
        <v>7.5601849675292279</v>
      </c>
      <c r="BD24" t="str">
        <f t="shared" si="39"/>
        <v>54 Textiles, printing and other skilled trades</v>
      </c>
      <c r="BE24" s="68">
        <v>28.904245794917699</v>
      </c>
      <c r="BF24" s="68">
        <v>28.349479701187047</v>
      </c>
      <c r="BG24" s="68">
        <v>27.256417302615265</v>
      </c>
      <c r="BH24" s="68">
        <v>27.61239113713944</v>
      </c>
      <c r="BI24" s="68">
        <v>25.369642865175354</v>
      </c>
      <c r="BJ24" s="68"/>
      <c r="BK24" s="68">
        <f t="shared" si="40"/>
        <v>-1.8867744374399109</v>
      </c>
      <c r="BL24" s="68">
        <f>'RD T1'!E197</f>
        <v>10.429485864466239</v>
      </c>
      <c r="BM24" s="68">
        <f t="shared" si="41"/>
        <v>8.5427114270263278</v>
      </c>
      <c r="BO24" t="str">
        <f t="shared" si="42"/>
        <v>54 Textiles, printing and other skilled trades</v>
      </c>
      <c r="BP24" s="68">
        <v>24.975454110290535</v>
      </c>
      <c r="BQ24" s="68">
        <v>23.877386604664732</v>
      </c>
      <c r="BR24" s="68">
        <v>18.346916919612198</v>
      </c>
      <c r="BS24" s="68">
        <v>13.385185790961394</v>
      </c>
      <c r="BT24" s="68">
        <v>10.021350536659639</v>
      </c>
      <c r="BU24" s="68"/>
      <c r="BV24" s="68">
        <f t="shared" si="43"/>
        <v>-8.3255663829525588</v>
      </c>
      <c r="BW24" s="68">
        <f>'RD T1'!E226</f>
        <v>4.6090083651652201</v>
      </c>
      <c r="BX24" s="68">
        <f t="shared" si="44"/>
        <v>-3.7165580177873387</v>
      </c>
      <c r="BZ24" t="str">
        <f t="shared" si="45"/>
        <v>54 Textiles, printing and other skilled trades</v>
      </c>
      <c r="CA24" s="68">
        <v>29.69240266212498</v>
      </c>
      <c r="CB24" s="68">
        <v>30.003415238079331</v>
      </c>
      <c r="CC24" s="68">
        <v>25.681854673059402</v>
      </c>
      <c r="CD24" s="68">
        <v>27.354834600799215</v>
      </c>
      <c r="CE24" s="68">
        <v>22.557639261821492</v>
      </c>
      <c r="CF24" s="68"/>
      <c r="CG24" s="68">
        <f t="shared" si="46"/>
        <v>-3.124215411237909</v>
      </c>
      <c r="CH24" s="68">
        <f>'RD T1'!E255</f>
        <v>7.9946232255537248</v>
      </c>
      <c r="CI24" s="68">
        <f t="shared" si="47"/>
        <v>4.8704078143158158</v>
      </c>
      <c r="CK24" t="str">
        <f t="shared" si="48"/>
        <v>54 Textiles, printing and other skilled trades</v>
      </c>
      <c r="CL24" s="68">
        <v>14.516660925359323</v>
      </c>
      <c r="CM24" s="68">
        <v>12.579879268647597</v>
      </c>
      <c r="CN24" s="68">
        <v>7.616906089497367</v>
      </c>
      <c r="CO24" s="68">
        <v>5.2192674722692702</v>
      </c>
      <c r="CP24" s="68">
        <v>2.3202122866732702</v>
      </c>
      <c r="CQ24" s="68"/>
      <c r="CR24" s="68">
        <f t="shared" si="49"/>
        <v>-5.2966938028240964</v>
      </c>
      <c r="CS24" s="68">
        <f>'RD T1'!E284</f>
        <v>1.2190824390358022</v>
      </c>
      <c r="CT24" s="68">
        <f t="shared" si="50"/>
        <v>-4.0776113637882947</v>
      </c>
    </row>
    <row r="25" spans="1:98" x14ac:dyDescent="0.2">
      <c r="A25" s="10" t="str">
        <f>name!D21</f>
        <v>61 Caring personal service occupations</v>
      </c>
      <c r="B25" s="68">
        <v>0.4187229648342195</v>
      </c>
      <c r="C25" s="68">
        <v>0.5095188553358494</v>
      </c>
      <c r="D25" s="68">
        <v>0.55682983834151001</v>
      </c>
      <c r="E25" s="68">
        <v>0.9905810068749249</v>
      </c>
      <c r="F25" s="68">
        <v>1.9461590799294148</v>
      </c>
      <c r="G25" s="11"/>
      <c r="H25" s="68">
        <f t="shared" si="51"/>
        <v>1.3893292415879048</v>
      </c>
      <c r="I25" s="68">
        <f>'RD T1'!E53</f>
        <v>0.67094194267920459</v>
      </c>
      <c r="J25" s="68">
        <f t="shared" si="26"/>
        <v>2.0602711842671093</v>
      </c>
      <c r="L25" t="str">
        <f t="shared" si="27"/>
        <v>61 Caring personal service occupations</v>
      </c>
      <c r="M25" s="68">
        <v>15.820725074008422</v>
      </c>
      <c r="N25" s="68">
        <v>22.803213499908761</v>
      </c>
      <c r="O25" s="68">
        <v>24.327553671337235</v>
      </c>
      <c r="P25" s="68">
        <v>38.710838046165549</v>
      </c>
      <c r="Q25" s="68">
        <v>71.981421524350338</v>
      </c>
      <c r="R25" s="11"/>
      <c r="S25" s="68">
        <f t="shared" si="28"/>
        <v>47.653867853013104</v>
      </c>
      <c r="T25" s="68">
        <f>'RD T1'!E82</f>
        <v>28.49956681359966</v>
      </c>
      <c r="U25" s="68">
        <f t="shared" si="29"/>
        <v>76.153434666612768</v>
      </c>
      <c r="W25" t="str">
        <f t="shared" si="30"/>
        <v>61 Caring personal service occupations</v>
      </c>
      <c r="X25" s="68">
        <v>37.775729929426959</v>
      </c>
      <c r="Y25" s="68">
        <v>41.022025875935846</v>
      </c>
      <c r="Z25" s="68">
        <v>44.02523081375093</v>
      </c>
      <c r="AA25" s="68">
        <v>47.289777983493956</v>
      </c>
      <c r="AB25" s="68">
        <v>50.97194387860263</v>
      </c>
      <c r="AC25" s="68"/>
      <c r="AD25" s="68">
        <f t="shared" si="31"/>
        <v>6.9467130648516999</v>
      </c>
      <c r="AE25" s="68">
        <f>'RD T1'!E111</f>
        <v>31.436091034259341</v>
      </c>
      <c r="AF25" s="68">
        <f t="shared" si="32"/>
        <v>38.382804099111041</v>
      </c>
      <c r="AH25" t="str">
        <f t="shared" si="33"/>
        <v>61 Caring personal service occupations</v>
      </c>
      <c r="AI25" s="68">
        <v>33.995124753177677</v>
      </c>
      <c r="AJ25" s="68">
        <v>33.448083470640015</v>
      </c>
      <c r="AK25" s="68">
        <v>35.406062983851285</v>
      </c>
      <c r="AL25" s="68">
        <v>33.976379977413714</v>
      </c>
      <c r="AM25" s="68">
        <v>31.015656933045872</v>
      </c>
      <c r="AN25" s="68"/>
      <c r="AO25" s="68">
        <f t="shared" si="34"/>
        <v>-4.3904060508054137</v>
      </c>
      <c r="AP25" s="68">
        <f>'RD T1'!E140</f>
        <v>20.114518080991296</v>
      </c>
      <c r="AQ25" s="68">
        <f t="shared" si="35"/>
        <v>15.724112030185882</v>
      </c>
      <c r="AS25" t="str">
        <f t="shared" si="36"/>
        <v>61 Caring personal service occupations</v>
      </c>
      <c r="AT25" s="68">
        <v>17.853567721292965</v>
      </c>
      <c r="AU25" s="68">
        <v>19.445751679705765</v>
      </c>
      <c r="AV25" s="68">
        <v>20.682170850399046</v>
      </c>
      <c r="AW25" s="68">
        <v>20.309970906443098</v>
      </c>
      <c r="AX25" s="68">
        <v>20.158388953550496</v>
      </c>
      <c r="AY25" s="68"/>
      <c r="AZ25" s="68">
        <f t="shared" si="37"/>
        <v>-0.52378189684855059</v>
      </c>
      <c r="BA25" s="68">
        <f>'RD T1'!E169</f>
        <v>12.404026354320608</v>
      </c>
      <c r="BB25" s="68">
        <f t="shared" si="38"/>
        <v>11.880244457472058</v>
      </c>
      <c r="BD25" t="str">
        <f t="shared" si="39"/>
        <v>61 Caring personal service occupations</v>
      </c>
      <c r="BE25" s="68">
        <v>69.635676881932923</v>
      </c>
      <c r="BF25" s="68">
        <v>77.448441864331926</v>
      </c>
      <c r="BG25" s="68">
        <v>69.066728643681259</v>
      </c>
      <c r="BH25" s="68">
        <v>75.300226019881762</v>
      </c>
      <c r="BI25" s="68">
        <v>72.595734757328572</v>
      </c>
      <c r="BJ25" s="68"/>
      <c r="BK25" s="68">
        <f t="shared" si="40"/>
        <v>3.5290061136473128</v>
      </c>
      <c r="BL25" s="68">
        <f>'RD T1'!E198</f>
        <v>37.15297476800184</v>
      </c>
      <c r="BM25" s="68">
        <f t="shared" si="41"/>
        <v>40.681980881649153</v>
      </c>
      <c r="BO25" t="str">
        <f t="shared" si="42"/>
        <v>61 Caring personal service occupations</v>
      </c>
      <c r="BP25" s="68">
        <v>52.412931087718341</v>
      </c>
      <c r="BQ25" s="68">
        <v>53.354078020344716</v>
      </c>
      <c r="BR25" s="68">
        <v>44.096247893939115</v>
      </c>
      <c r="BS25" s="68">
        <v>44.908625765874739</v>
      </c>
      <c r="BT25" s="68">
        <v>29.700031494744664</v>
      </c>
      <c r="BU25" s="68"/>
      <c r="BV25" s="68">
        <f t="shared" si="43"/>
        <v>-14.396216399194451</v>
      </c>
      <c r="BW25" s="68">
        <f>'RD T1'!E227</f>
        <v>16.637777578439692</v>
      </c>
      <c r="BX25" s="68">
        <f t="shared" si="44"/>
        <v>2.2415611792452417</v>
      </c>
      <c r="BZ25" t="str">
        <f t="shared" si="45"/>
        <v>61 Caring personal service occupations</v>
      </c>
      <c r="CA25" s="68">
        <v>20.378742207266839</v>
      </c>
      <c r="CB25" s="68">
        <v>12.841627533302546</v>
      </c>
      <c r="CC25" s="68">
        <v>11.369846898305711</v>
      </c>
      <c r="CD25" s="68">
        <v>9.2158818681130086</v>
      </c>
      <c r="CE25" s="68">
        <v>8.8091380733052631</v>
      </c>
      <c r="CF25" s="68"/>
      <c r="CG25" s="68">
        <f t="shared" si="46"/>
        <v>-2.5607088250004484</v>
      </c>
      <c r="CH25" s="68">
        <f>'RD T1'!E256</f>
        <v>2.6027134349333552</v>
      </c>
      <c r="CI25" s="68">
        <f t="shared" si="47"/>
        <v>4.2004609932906778E-2</v>
      </c>
      <c r="CK25" t="str">
        <f t="shared" si="48"/>
        <v>61 Caring personal service occupations</v>
      </c>
      <c r="CL25" s="68">
        <v>4.7132481000335833</v>
      </c>
      <c r="CM25" s="68">
        <v>3.9832670101229875</v>
      </c>
      <c r="CN25" s="68">
        <v>2.6325383300457976</v>
      </c>
      <c r="CO25" s="68">
        <v>2.6230202150280997</v>
      </c>
      <c r="CP25" s="68">
        <v>1.4999947882299833</v>
      </c>
      <c r="CQ25" s="68"/>
      <c r="CR25" s="68">
        <f t="shared" si="49"/>
        <v>-1.1325435418158143</v>
      </c>
      <c r="CS25" s="68">
        <f>'RD T1'!E285</f>
        <v>0.58509821111153082</v>
      </c>
      <c r="CT25" s="68">
        <f t="shared" si="50"/>
        <v>-0.54744533070428347</v>
      </c>
    </row>
    <row r="26" spans="1:98" x14ac:dyDescent="0.2">
      <c r="A26" s="10" t="str">
        <f>name!D22</f>
        <v>62 Leisure, travel and related personal service occupations</v>
      </c>
      <c r="B26" s="68">
        <v>0.15783221058122127</v>
      </c>
      <c r="C26" s="68">
        <v>0.20156341985774523</v>
      </c>
      <c r="D26" s="68">
        <v>0.24865534597130201</v>
      </c>
      <c r="E26" s="68">
        <v>0.39880388151729629</v>
      </c>
      <c r="F26" s="68">
        <v>0.795256240447339</v>
      </c>
      <c r="G26" s="11"/>
      <c r="H26" s="68">
        <f t="shared" si="51"/>
        <v>0.54660089447603699</v>
      </c>
      <c r="I26" s="68">
        <f>'RD T1'!E54</f>
        <v>0.27059208140044677</v>
      </c>
      <c r="J26" s="68">
        <f t="shared" si="26"/>
        <v>0.81719297587648376</v>
      </c>
      <c r="L26" t="str">
        <f t="shared" si="27"/>
        <v>62 Leisure, travel and related personal service occupations</v>
      </c>
      <c r="M26" s="68">
        <v>3.6282558269722824</v>
      </c>
      <c r="N26" s="68">
        <v>4.8547925503896225</v>
      </c>
      <c r="O26" s="68">
        <v>4.6841391964006762</v>
      </c>
      <c r="P26" s="68">
        <v>7.0821868237732666</v>
      </c>
      <c r="Q26" s="68">
        <v>13.508830294805746</v>
      </c>
      <c r="R26" s="11"/>
      <c r="S26" s="68">
        <f t="shared" si="28"/>
        <v>8.8246910984050686</v>
      </c>
      <c r="T26" s="68">
        <f>'RD T1'!E83</f>
        <v>5.1739557648475065</v>
      </c>
      <c r="U26" s="68">
        <f t="shared" si="29"/>
        <v>13.998646863252574</v>
      </c>
      <c r="W26" t="str">
        <f t="shared" si="30"/>
        <v>62 Leisure, travel and related personal service occupations</v>
      </c>
      <c r="X26" s="68">
        <v>14.629559255193497</v>
      </c>
      <c r="Y26" s="68">
        <v>16.524506559298512</v>
      </c>
      <c r="Z26" s="68">
        <v>15.689622073215595</v>
      </c>
      <c r="AA26" s="68">
        <v>18.198530030495331</v>
      </c>
      <c r="AB26" s="68">
        <v>23.513176963217433</v>
      </c>
      <c r="AC26" s="68"/>
      <c r="AD26" s="68">
        <f t="shared" si="31"/>
        <v>7.8235548900018372</v>
      </c>
      <c r="AE26" s="68">
        <f>'RD T1'!E112</f>
        <v>11.909247882989355</v>
      </c>
      <c r="AF26" s="68">
        <f t="shared" si="32"/>
        <v>19.732802772991192</v>
      </c>
      <c r="AH26" t="str">
        <f t="shared" si="33"/>
        <v>62 Leisure, travel and related personal service occupations</v>
      </c>
      <c r="AI26" s="68">
        <v>7.8200624164047703</v>
      </c>
      <c r="AJ26" s="68">
        <v>9.643614476701444</v>
      </c>
      <c r="AK26" s="68">
        <v>9.980234758489372</v>
      </c>
      <c r="AL26" s="68">
        <v>11.189530901002321</v>
      </c>
      <c r="AM26" s="68">
        <v>14.24990928726867</v>
      </c>
      <c r="AN26" s="68"/>
      <c r="AO26" s="68">
        <f t="shared" si="34"/>
        <v>4.2696745287792979</v>
      </c>
      <c r="AP26" s="68">
        <f>'RD T1'!E141</f>
        <v>7.7245542650495524</v>
      </c>
      <c r="AQ26" s="68">
        <f t="shared" si="35"/>
        <v>11.994228793828849</v>
      </c>
      <c r="AS26" t="str">
        <f t="shared" si="36"/>
        <v>62 Leisure, travel and related personal service occupations</v>
      </c>
      <c r="AT26" s="68">
        <v>9.2404222290555946</v>
      </c>
      <c r="AU26" s="68">
        <v>11.300181784929945</v>
      </c>
      <c r="AV26" s="68">
        <v>12.480998903609693</v>
      </c>
      <c r="AW26" s="68">
        <v>14.54091568299847</v>
      </c>
      <c r="AX26" s="68">
        <v>19.942476936823958</v>
      </c>
      <c r="AY26" s="68"/>
      <c r="AZ26" s="68">
        <f t="shared" si="37"/>
        <v>7.4614780332142647</v>
      </c>
      <c r="BA26" s="68">
        <f>'RD T1'!E170</f>
        <v>10.280487268507995</v>
      </c>
      <c r="BB26" s="68">
        <f t="shared" si="38"/>
        <v>17.74196530172226</v>
      </c>
      <c r="BD26" t="str">
        <f t="shared" si="39"/>
        <v>62 Leisure, travel and related personal service occupations</v>
      </c>
      <c r="BE26" s="68">
        <v>22.267070978663057</v>
      </c>
      <c r="BF26" s="68">
        <v>23.292839035412406</v>
      </c>
      <c r="BG26" s="68">
        <v>20.180874676045466</v>
      </c>
      <c r="BH26" s="68">
        <v>20.302905212778647</v>
      </c>
      <c r="BI26" s="68">
        <v>17.066288296950276</v>
      </c>
      <c r="BJ26" s="68"/>
      <c r="BK26" s="68">
        <f t="shared" si="40"/>
        <v>-3.11458637909519</v>
      </c>
      <c r="BL26" s="68">
        <f>'RD T1'!E199</f>
        <v>8.3656337779982142</v>
      </c>
      <c r="BM26" s="68">
        <f t="shared" si="41"/>
        <v>5.2510473989030242</v>
      </c>
      <c r="BO26" t="str">
        <f t="shared" si="42"/>
        <v>62 Leisure, travel and related personal service occupations</v>
      </c>
      <c r="BP26" s="68">
        <v>19.665017818289062</v>
      </c>
      <c r="BQ26" s="68">
        <v>21.319541797905849</v>
      </c>
      <c r="BR26" s="68">
        <v>17.033178863483418</v>
      </c>
      <c r="BS26" s="68">
        <v>16.127814716611432</v>
      </c>
      <c r="BT26" s="68">
        <v>10.918051961383544</v>
      </c>
      <c r="BU26" s="68"/>
      <c r="BV26" s="68">
        <f t="shared" si="43"/>
        <v>-6.115126902099874</v>
      </c>
      <c r="BW26" s="68">
        <f>'RD T1'!E228</f>
        <v>5.8928546966466273</v>
      </c>
      <c r="BX26" s="68">
        <f t="shared" si="44"/>
        <v>-0.22227220545324666</v>
      </c>
      <c r="BZ26" t="str">
        <f t="shared" si="45"/>
        <v>62 Leisure, travel and related personal service occupations</v>
      </c>
      <c r="CA26" s="68">
        <v>15.090366659683001</v>
      </c>
      <c r="CB26" s="68">
        <v>15.664099832997277</v>
      </c>
      <c r="CC26" s="68">
        <v>14.333456500866403</v>
      </c>
      <c r="CD26" s="68">
        <v>14.010069530937816</v>
      </c>
      <c r="CE26" s="68">
        <v>11.502744544440661</v>
      </c>
      <c r="CF26" s="68"/>
      <c r="CG26" s="68">
        <f t="shared" si="46"/>
        <v>-2.8307119564257412</v>
      </c>
      <c r="CH26" s="68">
        <f>'RD T1'!E257</f>
        <v>4.9350073061389796</v>
      </c>
      <c r="CI26" s="68">
        <f t="shared" si="47"/>
        <v>2.1042953497132384</v>
      </c>
      <c r="CK26" t="str">
        <f t="shared" si="48"/>
        <v>62 Leisure, travel and related personal service occupations</v>
      </c>
      <c r="CL26" s="68">
        <v>7.6866125865461736</v>
      </c>
      <c r="CM26" s="68">
        <v>7.1692584151536476</v>
      </c>
      <c r="CN26" s="68">
        <v>4.8608128399564867</v>
      </c>
      <c r="CO26" s="68">
        <v>4.0347965231679979</v>
      </c>
      <c r="CP26" s="68">
        <v>2.2830623898269979</v>
      </c>
      <c r="CQ26" s="68"/>
      <c r="CR26" s="68">
        <f t="shared" si="49"/>
        <v>-2.5777504501294888</v>
      </c>
      <c r="CS26" s="68">
        <f>'RD T1'!E286</f>
        <v>1.059764567952505</v>
      </c>
      <c r="CT26" s="68">
        <f t="shared" si="50"/>
        <v>-1.5179858821769838</v>
      </c>
    </row>
    <row r="27" spans="1:98" x14ac:dyDescent="0.2">
      <c r="A27" s="10" t="str">
        <f>name!D23</f>
        <v>63 Community and civil enforcement occupations</v>
      </c>
      <c r="B27" s="68">
        <v>1.9418216183227293E-2</v>
      </c>
      <c r="C27" s="68">
        <v>1.8929307559103353E-2</v>
      </c>
      <c r="D27" s="68">
        <v>2.6119991039928053E-2</v>
      </c>
      <c r="E27" s="68">
        <v>3.3600238059402286E-2</v>
      </c>
      <c r="F27" s="68">
        <v>6.4602842964114171E-2</v>
      </c>
      <c r="G27" s="11"/>
      <c r="H27" s="68">
        <f t="shared" si="51"/>
        <v>3.8482851924186115E-2</v>
      </c>
      <c r="I27" s="68">
        <f>'RD T1'!E55</f>
        <v>2.4899843402416792E-2</v>
      </c>
      <c r="J27" s="68">
        <f t="shared" si="26"/>
        <v>6.33826953266029E-2</v>
      </c>
      <c r="L27" t="str">
        <f t="shared" si="27"/>
        <v>63 Community and civil enforcement occupations</v>
      </c>
      <c r="M27" s="68">
        <v>0.37243930703398714</v>
      </c>
      <c r="N27" s="68">
        <v>0.40283715227620082</v>
      </c>
      <c r="O27" s="68">
        <v>0.6099451391804136</v>
      </c>
      <c r="P27" s="68">
        <v>0.70479005438947828</v>
      </c>
      <c r="Q27" s="68">
        <v>1.3696131682772066</v>
      </c>
      <c r="R27" s="11"/>
      <c r="S27" s="68">
        <f t="shared" si="28"/>
        <v>0.75966802909679298</v>
      </c>
      <c r="T27" s="68">
        <f>'RD T1'!E84</f>
        <v>0.50531889503632799</v>
      </c>
      <c r="U27" s="68">
        <f t="shared" si="29"/>
        <v>1.2649869241331211</v>
      </c>
      <c r="W27" t="str">
        <f t="shared" si="30"/>
        <v>63 Community and civil enforcement occupations</v>
      </c>
      <c r="X27" s="68">
        <v>1.350985014238103</v>
      </c>
      <c r="Y27" s="68">
        <v>1.4267307746013689</v>
      </c>
      <c r="Z27" s="68">
        <v>1.6664791952496909</v>
      </c>
      <c r="AA27" s="68">
        <v>1.705733017414427</v>
      </c>
      <c r="AB27" s="68">
        <v>1.8726206857816292</v>
      </c>
      <c r="AC27" s="68"/>
      <c r="AD27" s="68">
        <f t="shared" si="31"/>
        <v>0.20614149053193831</v>
      </c>
      <c r="AE27" s="68">
        <f>'RD T1'!E113</f>
        <v>1.2024461599724523</v>
      </c>
      <c r="AF27" s="68">
        <f t="shared" si="32"/>
        <v>1.4085876505043906</v>
      </c>
      <c r="AH27" t="str">
        <f t="shared" si="33"/>
        <v>63 Community and civil enforcement occupations</v>
      </c>
      <c r="AI27" s="68">
        <v>0.3740314095351206</v>
      </c>
      <c r="AJ27" s="68">
        <v>0.36207020300124548</v>
      </c>
      <c r="AK27" s="68">
        <v>0.50500137968260994</v>
      </c>
      <c r="AL27" s="68">
        <v>0.42067459875800867</v>
      </c>
      <c r="AM27" s="68">
        <v>0.45502999254837728</v>
      </c>
      <c r="AN27" s="68"/>
      <c r="AO27" s="68">
        <f t="shared" si="34"/>
        <v>-4.9971387134232659E-2</v>
      </c>
      <c r="AP27" s="68">
        <f>'RD T1'!E142</f>
        <v>0.28149614454273886</v>
      </c>
      <c r="AQ27" s="68">
        <f t="shared" si="35"/>
        <v>0.2315247574085062</v>
      </c>
      <c r="AS27" t="str">
        <f t="shared" si="36"/>
        <v>63 Community and civil enforcement occupations</v>
      </c>
      <c r="AT27" s="68">
        <v>0.36709786922308035</v>
      </c>
      <c r="AU27" s="68">
        <v>0.32070701223559728</v>
      </c>
      <c r="AV27" s="68">
        <v>0.42205054190750918</v>
      </c>
      <c r="AW27" s="68">
        <v>0.31457269169992957</v>
      </c>
      <c r="AX27" s="68">
        <v>0.29410061477286659</v>
      </c>
      <c r="AY27" s="68"/>
      <c r="AZ27" s="68">
        <f t="shared" si="37"/>
        <v>-0.12794992713464259</v>
      </c>
      <c r="BA27" s="68">
        <f>'RD T1'!E171</f>
        <v>0.20040121401814767</v>
      </c>
      <c r="BB27" s="68">
        <f t="shared" si="38"/>
        <v>7.2451286883505078E-2</v>
      </c>
      <c r="BD27" t="str">
        <f t="shared" si="39"/>
        <v>63 Community and civil enforcement occupations</v>
      </c>
      <c r="BE27" s="68">
        <v>0.82150754979744922</v>
      </c>
      <c r="BF27" s="68">
        <v>0.54432771740129648</v>
      </c>
      <c r="BG27" s="68">
        <v>0.86042800045677381</v>
      </c>
      <c r="BH27" s="68">
        <v>0.47527896441524597</v>
      </c>
      <c r="BI27" s="68">
        <v>0.33990319456794232</v>
      </c>
      <c r="BJ27" s="68"/>
      <c r="BK27" s="68">
        <f t="shared" si="40"/>
        <v>-0.52052480588883143</v>
      </c>
      <c r="BL27" s="68">
        <f>'RD T1'!E200</f>
        <v>0.17157453489946545</v>
      </c>
      <c r="BM27" s="68">
        <f t="shared" si="41"/>
        <v>-0.34895027098936598</v>
      </c>
      <c r="BO27" t="str">
        <f t="shared" si="42"/>
        <v>63 Community and civil enforcement occupations</v>
      </c>
      <c r="BP27" s="68">
        <v>1.1207317192877642</v>
      </c>
      <c r="BQ27" s="68">
        <v>1.0510344057721028</v>
      </c>
      <c r="BR27" s="68">
        <v>1.1691916557592201</v>
      </c>
      <c r="BS27" s="68">
        <v>0.8466871796466473</v>
      </c>
      <c r="BT27" s="68">
        <v>0.64561199317998275</v>
      </c>
      <c r="BU27" s="68"/>
      <c r="BV27" s="68">
        <f t="shared" si="43"/>
        <v>-0.52357966257923738</v>
      </c>
      <c r="BW27" s="68">
        <f>'RD T1'!E229</f>
        <v>0.29857693743318681</v>
      </c>
      <c r="BX27" s="68">
        <f t="shared" si="44"/>
        <v>-0.22500272514605058</v>
      </c>
      <c r="BZ27" t="str">
        <f t="shared" si="45"/>
        <v>63 Community and civil enforcement occupations</v>
      </c>
      <c r="CA27" s="68">
        <v>1.0833024557212774</v>
      </c>
      <c r="CB27" s="68">
        <v>0.97370629619642135</v>
      </c>
      <c r="CC27" s="68">
        <v>1.2094310371447023</v>
      </c>
      <c r="CD27" s="68">
        <v>1.0038410298394882</v>
      </c>
      <c r="CE27" s="68">
        <v>0.89257666471176833</v>
      </c>
      <c r="CF27" s="68"/>
      <c r="CG27" s="68">
        <f t="shared" si="46"/>
        <v>-0.31685437243293402</v>
      </c>
      <c r="CH27" s="68">
        <f>'RD T1'!E258</f>
        <v>0.37115905751176581</v>
      </c>
      <c r="CI27" s="68">
        <f t="shared" si="47"/>
        <v>5.4304685078831794E-2</v>
      </c>
      <c r="CK27" t="str">
        <f t="shared" si="48"/>
        <v>63 Community and civil enforcement occupations</v>
      </c>
      <c r="CL27" s="68">
        <v>0.42878218083168113</v>
      </c>
      <c r="CM27" s="68">
        <v>0.27028840566573104</v>
      </c>
      <c r="CN27" s="68">
        <v>0.27037957385921751</v>
      </c>
      <c r="CO27" s="68">
        <v>0.1305864895469061</v>
      </c>
      <c r="CP27" s="68">
        <v>5.5784946243620182E-2</v>
      </c>
      <c r="CQ27" s="68"/>
      <c r="CR27" s="68">
        <f t="shared" si="49"/>
        <v>-0.21459462761559733</v>
      </c>
      <c r="CS27" s="68">
        <f>'RD T1'!E287</f>
        <v>2.8031396322544058E-2</v>
      </c>
      <c r="CT27" s="68">
        <f t="shared" si="50"/>
        <v>-0.18656323129305327</v>
      </c>
    </row>
    <row r="28" spans="1:98" x14ac:dyDescent="0.2">
      <c r="A28" s="10" t="str">
        <f>name!D24</f>
        <v>71 Sales occupations</v>
      </c>
      <c r="B28" s="68">
        <v>1.308947596444427</v>
      </c>
      <c r="C28" s="68">
        <v>1.5580724357916169</v>
      </c>
      <c r="D28" s="68">
        <v>1.4952514878618666</v>
      </c>
      <c r="E28" s="68">
        <v>2.0994821358623983</v>
      </c>
      <c r="F28" s="68">
        <v>3.6606291966635616</v>
      </c>
      <c r="G28" s="11"/>
      <c r="H28" s="68">
        <f t="shared" si="51"/>
        <v>2.165377708801695</v>
      </c>
      <c r="I28" s="68">
        <f>'RD T1'!E56</f>
        <v>1.1659376087425262</v>
      </c>
      <c r="J28" s="68">
        <f t="shared" si="26"/>
        <v>3.3313153175442212</v>
      </c>
      <c r="L28" t="str">
        <f t="shared" si="27"/>
        <v>71 Sales occupations</v>
      </c>
      <c r="M28" s="68">
        <v>16.749378519010843</v>
      </c>
      <c r="N28" s="68">
        <v>20.73819305743794</v>
      </c>
      <c r="O28" s="68">
        <v>23.178482044294832</v>
      </c>
      <c r="P28" s="68">
        <v>33.634079314482577</v>
      </c>
      <c r="Q28" s="68">
        <v>67.15559558314493</v>
      </c>
      <c r="R28" s="11"/>
      <c r="S28" s="68">
        <f t="shared" si="28"/>
        <v>43.977113538850098</v>
      </c>
      <c r="T28" s="68">
        <f>'RD T1'!E85</f>
        <v>20.53593714692083</v>
      </c>
      <c r="U28" s="68">
        <f t="shared" si="29"/>
        <v>64.513050685770935</v>
      </c>
      <c r="W28" t="str">
        <f t="shared" si="30"/>
        <v>71 Sales occupations</v>
      </c>
      <c r="X28" s="68">
        <v>53.309220483612997</v>
      </c>
      <c r="Y28" s="68">
        <v>52.134043231115498</v>
      </c>
      <c r="Z28" s="68">
        <v>56.278011557006622</v>
      </c>
      <c r="AA28" s="68">
        <v>56.893538947405254</v>
      </c>
      <c r="AB28" s="68">
        <v>63.131579335566194</v>
      </c>
      <c r="AC28" s="68"/>
      <c r="AD28" s="68">
        <f t="shared" si="31"/>
        <v>6.8535677785595723</v>
      </c>
      <c r="AE28" s="68">
        <f>'RD T1'!E114</f>
        <v>32.505332042032187</v>
      </c>
      <c r="AF28" s="68">
        <f t="shared" si="32"/>
        <v>39.358899820591759</v>
      </c>
      <c r="AH28" t="str">
        <f t="shared" si="33"/>
        <v>71 Sales occupations</v>
      </c>
      <c r="AI28" s="68">
        <v>15.35435953033193</v>
      </c>
      <c r="AJ28" s="68">
        <v>14.452480398956588</v>
      </c>
      <c r="AK28" s="68">
        <v>16.238070366844802</v>
      </c>
      <c r="AL28" s="68">
        <v>15.312125944320604</v>
      </c>
      <c r="AM28" s="68">
        <v>16.455966221378141</v>
      </c>
      <c r="AN28" s="68"/>
      <c r="AO28" s="68">
        <f t="shared" si="34"/>
        <v>0.21789585453333871</v>
      </c>
      <c r="AP28" s="68">
        <f>'RD T1'!E143</f>
        <v>8.7251744213778188</v>
      </c>
      <c r="AQ28" s="68">
        <f t="shared" si="35"/>
        <v>8.9430702759111576</v>
      </c>
      <c r="AS28" t="str">
        <f t="shared" si="36"/>
        <v>71 Sales occupations</v>
      </c>
      <c r="AT28" s="68">
        <v>14.525271159658704</v>
      </c>
      <c r="AU28" s="68">
        <v>12.869634080304115</v>
      </c>
      <c r="AV28" s="68">
        <v>13.688461276398929</v>
      </c>
      <c r="AW28" s="68">
        <v>12.7360923746306</v>
      </c>
      <c r="AX28" s="68">
        <v>13.631862417119802</v>
      </c>
      <c r="AY28" s="68"/>
      <c r="AZ28" s="68">
        <f t="shared" si="37"/>
        <v>-5.6598859279127112E-2</v>
      </c>
      <c r="BA28" s="68">
        <f>'RD T1'!E172</f>
        <v>6.2678383683720051</v>
      </c>
      <c r="BB28" s="68">
        <f t="shared" si="38"/>
        <v>6.211239509092878</v>
      </c>
      <c r="BD28" t="str">
        <f t="shared" si="39"/>
        <v>71 Sales occupations</v>
      </c>
      <c r="BE28" s="68">
        <v>68.913753255485204</v>
      </c>
      <c r="BF28" s="68">
        <v>60.068783148336856</v>
      </c>
      <c r="BG28" s="68">
        <v>61.83639558948331</v>
      </c>
      <c r="BH28" s="68">
        <v>53.42319335821891</v>
      </c>
      <c r="BI28" s="68">
        <v>42.513113533750797</v>
      </c>
      <c r="BJ28" s="68"/>
      <c r="BK28" s="68">
        <f t="shared" si="40"/>
        <v>-19.323282055732513</v>
      </c>
      <c r="BL28" s="68">
        <f>'RD T1'!E201</f>
        <v>21.698327899540921</v>
      </c>
      <c r="BM28" s="68">
        <f t="shared" si="41"/>
        <v>2.3750458438084081</v>
      </c>
      <c r="BO28" t="str">
        <f t="shared" si="42"/>
        <v>71 Sales occupations</v>
      </c>
      <c r="BP28" s="68">
        <v>63.918923803148367</v>
      </c>
      <c r="BQ28" s="68">
        <v>55.417257477960256</v>
      </c>
      <c r="BR28" s="68">
        <v>46.918456576968659</v>
      </c>
      <c r="BS28" s="68">
        <v>38.54468489846235</v>
      </c>
      <c r="BT28" s="68">
        <v>25.574606681377031</v>
      </c>
      <c r="BU28" s="68"/>
      <c r="BV28" s="68">
        <f t="shared" si="43"/>
        <v>-21.343849895591628</v>
      </c>
      <c r="BW28" s="68">
        <f>'RD T1'!E230</f>
        <v>13.953895673290301</v>
      </c>
      <c r="BX28" s="68">
        <f t="shared" si="44"/>
        <v>-7.389954222301327</v>
      </c>
      <c r="BZ28" t="str">
        <f t="shared" si="45"/>
        <v>71 Sales occupations</v>
      </c>
      <c r="CA28" s="68">
        <v>55.227401877043917</v>
      </c>
      <c r="CB28" s="68">
        <v>46.123317061202833</v>
      </c>
      <c r="CC28" s="68">
        <v>44.517994667406604</v>
      </c>
      <c r="CD28" s="68">
        <v>34.181873709657985</v>
      </c>
      <c r="CE28" s="68">
        <v>9.4200414598863151</v>
      </c>
      <c r="CF28" s="68"/>
      <c r="CG28" s="68">
        <f t="shared" si="46"/>
        <v>-35.097953207520291</v>
      </c>
      <c r="CH28" s="68">
        <f>'RD T1'!E259</f>
        <v>8.5652716112034533</v>
      </c>
      <c r="CI28" s="68">
        <f t="shared" si="47"/>
        <v>-26.532681596316838</v>
      </c>
      <c r="CK28" t="str">
        <f t="shared" si="48"/>
        <v>71 Sales occupations</v>
      </c>
      <c r="CL28" s="68">
        <v>28.351932868012117</v>
      </c>
      <c r="CM28" s="68">
        <v>20.477892825220962</v>
      </c>
      <c r="CN28" s="68">
        <v>12.959013437888547</v>
      </c>
      <c r="CO28" s="68">
        <v>8.4238619312004399</v>
      </c>
      <c r="CP28" s="68">
        <v>2.1421171549702178</v>
      </c>
      <c r="CQ28" s="68"/>
      <c r="CR28" s="68">
        <f t="shared" si="49"/>
        <v>-10.816896282918329</v>
      </c>
      <c r="CS28" s="68">
        <f>'RD T1'!E288</f>
        <v>1.5535987754097407</v>
      </c>
      <c r="CT28" s="68">
        <f t="shared" si="50"/>
        <v>-9.2632975075085877</v>
      </c>
    </row>
    <row r="29" spans="1:98" x14ac:dyDescent="0.2">
      <c r="A29" s="10" t="str">
        <f>name!D25</f>
        <v>72 Customer service occupations</v>
      </c>
      <c r="B29" s="68">
        <v>0.41654380007945513</v>
      </c>
      <c r="C29" s="68">
        <v>0.53650522351391827</v>
      </c>
      <c r="D29" s="68">
        <v>0.65163369722838194</v>
      </c>
      <c r="E29" s="68">
        <v>1.205820432071814</v>
      </c>
      <c r="F29" s="68">
        <v>2.3206339360349379</v>
      </c>
      <c r="G29" s="11"/>
      <c r="H29" s="68">
        <f>F29-D29</f>
        <v>1.6690002388065559</v>
      </c>
      <c r="I29" s="68">
        <f>'RD T1'!E57</f>
        <v>0.74083863080072121</v>
      </c>
      <c r="J29" s="68">
        <f t="shared" si="26"/>
        <v>2.409838869607277</v>
      </c>
      <c r="L29" t="str">
        <f t="shared" si="27"/>
        <v>72 Customer service occupations</v>
      </c>
      <c r="M29" s="68">
        <v>5.2937373509391517</v>
      </c>
      <c r="N29" s="68">
        <v>7.1965860967489235</v>
      </c>
      <c r="O29" s="68">
        <v>8.2216971115135316</v>
      </c>
      <c r="P29" s="68">
        <v>14.732521435886381</v>
      </c>
      <c r="Q29" s="68">
        <v>26.22643408264236</v>
      </c>
      <c r="R29" s="11"/>
      <c r="S29" s="68">
        <f t="shared" si="28"/>
        <v>18.004736971128828</v>
      </c>
      <c r="T29" s="68">
        <f>'RD T1'!E86</f>
        <v>9.0281381626544341</v>
      </c>
      <c r="U29" s="68">
        <f t="shared" si="29"/>
        <v>27.032875133783264</v>
      </c>
      <c r="W29" t="str">
        <f t="shared" si="30"/>
        <v>72 Customer service occupations</v>
      </c>
      <c r="X29" s="68">
        <v>15.940989380424828</v>
      </c>
      <c r="Y29" s="68">
        <v>17.333777433103453</v>
      </c>
      <c r="Z29" s="68">
        <v>19.38796736088262</v>
      </c>
      <c r="AA29" s="68">
        <v>24.251335627648039</v>
      </c>
      <c r="AB29" s="68">
        <v>28.061372976896649</v>
      </c>
      <c r="AC29" s="68"/>
      <c r="AD29" s="68">
        <f t="shared" si="31"/>
        <v>8.6734056160140298</v>
      </c>
      <c r="AE29" s="68">
        <f>'RD T1'!E115</f>
        <v>13.065328329330866</v>
      </c>
      <c r="AF29" s="68">
        <f t="shared" si="32"/>
        <v>21.738733945344897</v>
      </c>
      <c r="AH29" t="str">
        <f t="shared" si="33"/>
        <v>72 Customer service occupations</v>
      </c>
      <c r="AI29" s="68">
        <v>4.741427953517535</v>
      </c>
      <c r="AJ29" s="68">
        <v>5.4860430613467974</v>
      </c>
      <c r="AK29" s="68">
        <v>6.4621480491615033</v>
      </c>
      <c r="AL29" s="68">
        <v>8.4235470508311909</v>
      </c>
      <c r="AM29" s="68">
        <v>10.176591179107573</v>
      </c>
      <c r="AN29" s="68"/>
      <c r="AO29" s="68">
        <f t="shared" si="34"/>
        <v>3.7144431299460701</v>
      </c>
      <c r="AP29" s="68">
        <f>'RD T1'!E144</f>
        <v>4.9952961226680372</v>
      </c>
      <c r="AQ29" s="68">
        <f t="shared" si="35"/>
        <v>8.7097392526141064</v>
      </c>
      <c r="AS29" t="str">
        <f t="shared" si="36"/>
        <v>72 Customer service occupations</v>
      </c>
      <c r="AT29" s="68">
        <v>6.6474680443245049</v>
      </c>
      <c r="AU29" s="68">
        <v>7.2215750876131608</v>
      </c>
      <c r="AV29" s="68">
        <v>7.5215887739341767</v>
      </c>
      <c r="AW29" s="68">
        <v>9.4305406978651423</v>
      </c>
      <c r="AX29" s="68">
        <v>9.9263349688369598</v>
      </c>
      <c r="AY29" s="68"/>
      <c r="AZ29" s="68">
        <f t="shared" si="37"/>
        <v>2.4047461949027831</v>
      </c>
      <c r="BA29" s="68">
        <f>'RD T1'!E173</f>
        <v>4.5463292708456118</v>
      </c>
      <c r="BB29" s="68">
        <f t="shared" si="38"/>
        <v>6.9510754657483949</v>
      </c>
      <c r="BD29" t="str">
        <f t="shared" si="39"/>
        <v>72 Customer service occupations</v>
      </c>
      <c r="BE29" s="68">
        <v>15.569792836327439</v>
      </c>
      <c r="BF29" s="68">
        <v>16.40179061776842</v>
      </c>
      <c r="BG29" s="68">
        <v>16.024639684780322</v>
      </c>
      <c r="BH29" s="68">
        <v>18.425830719523109</v>
      </c>
      <c r="BI29" s="68">
        <v>16.710298859747308</v>
      </c>
      <c r="BJ29" s="68"/>
      <c r="BK29" s="68">
        <f t="shared" si="40"/>
        <v>0.68565917496698603</v>
      </c>
      <c r="BL29" s="68">
        <f>'RD T1'!E202</f>
        <v>7.2081299229991265</v>
      </c>
      <c r="BM29" s="68">
        <f t="shared" si="41"/>
        <v>7.8937890979661125</v>
      </c>
      <c r="BO29" t="str">
        <f t="shared" si="42"/>
        <v>72 Customer service occupations</v>
      </c>
      <c r="BP29" s="68">
        <v>16.766947895995656</v>
      </c>
      <c r="BQ29" s="68">
        <v>18.380443746713649</v>
      </c>
      <c r="BR29" s="68">
        <v>15.727253041385946</v>
      </c>
      <c r="BS29" s="68">
        <v>19.674729021300152</v>
      </c>
      <c r="BT29" s="68">
        <v>14.624541618939153</v>
      </c>
      <c r="BU29" s="68"/>
      <c r="BV29" s="68">
        <f t="shared" si="43"/>
        <v>-1.1027114224467933</v>
      </c>
      <c r="BW29" s="68">
        <f>'RD T1'!E231</f>
        <v>7.281080120731251</v>
      </c>
      <c r="BX29" s="68">
        <f t="shared" si="44"/>
        <v>6.1783686982844577</v>
      </c>
      <c r="BZ29" t="str">
        <f t="shared" si="45"/>
        <v>72 Customer service occupations</v>
      </c>
      <c r="CA29" s="68">
        <v>9.5188205273726183</v>
      </c>
      <c r="CB29" s="68">
        <v>8.4979308869917762</v>
      </c>
      <c r="CC29" s="68">
        <v>8.4804298629314285</v>
      </c>
      <c r="CD29" s="68">
        <v>8.4716550551104746</v>
      </c>
      <c r="CE29" s="68">
        <v>6.681691334593638</v>
      </c>
      <c r="CF29" s="68"/>
      <c r="CG29" s="68">
        <f t="shared" si="46"/>
        <v>-1.7987385283377906</v>
      </c>
      <c r="CH29" s="68">
        <f>'RD T1'!E260</f>
        <v>2.2485079554924172</v>
      </c>
      <c r="CI29" s="68">
        <f t="shared" si="47"/>
        <v>0.44976942715462664</v>
      </c>
      <c r="CK29" t="str">
        <f t="shared" si="48"/>
        <v>72 Customer service occupations</v>
      </c>
      <c r="CL29" s="68">
        <v>3.2197442396684184</v>
      </c>
      <c r="CM29" s="68">
        <v>3.3796579138454845</v>
      </c>
      <c r="CN29" s="68">
        <v>2.436973668114355</v>
      </c>
      <c r="CO29" s="68">
        <v>3.3910589173878112</v>
      </c>
      <c r="CP29" s="68">
        <v>3.0182487453267259</v>
      </c>
      <c r="CQ29" s="68"/>
      <c r="CR29" s="68">
        <f t="shared" si="49"/>
        <v>0.58127507721237093</v>
      </c>
      <c r="CS29" s="68">
        <f>'RD T1'!E289</f>
        <v>0.98194795359555653</v>
      </c>
      <c r="CT29" s="68">
        <f t="shared" si="50"/>
        <v>1.5632230308079276</v>
      </c>
    </row>
    <row r="30" spans="1:98" x14ac:dyDescent="0.2">
      <c r="A30" s="10" t="str">
        <f>name!D26</f>
        <v>81 Process, plant and machine operatives</v>
      </c>
      <c r="B30" s="68">
        <v>0.17305276644861317</v>
      </c>
      <c r="C30" s="68">
        <v>0.2089765844058665</v>
      </c>
      <c r="D30" s="68">
        <v>0.23025170249878016</v>
      </c>
      <c r="E30" s="68">
        <v>0.46118192765490618</v>
      </c>
      <c r="F30" s="68">
        <v>1.0715008994232826</v>
      </c>
      <c r="G30" s="11"/>
      <c r="H30" s="68">
        <f t="shared" si="51"/>
        <v>0.84124919692450251</v>
      </c>
      <c r="I30" s="68">
        <f>'RD T1'!E58</f>
        <v>0.30165424194164081</v>
      </c>
      <c r="J30" s="68">
        <f t="shared" si="26"/>
        <v>1.1429034388661434</v>
      </c>
      <c r="L30" t="str">
        <f t="shared" si="27"/>
        <v>81 Process, plant and machine operatives</v>
      </c>
      <c r="M30" s="68">
        <v>1.0458694675987834</v>
      </c>
      <c r="N30" s="68">
        <v>1.5245390401091492</v>
      </c>
      <c r="O30" s="68">
        <v>1.7061741453347898</v>
      </c>
      <c r="P30" s="68">
        <v>3.2686425780789228</v>
      </c>
      <c r="Q30" s="68">
        <v>7.3730042780207716</v>
      </c>
      <c r="R30" s="11"/>
      <c r="S30" s="68">
        <f t="shared" si="28"/>
        <v>5.6668301326859822</v>
      </c>
      <c r="T30" s="68">
        <f>'RD T1'!E87</f>
        <v>2.3397560018681145</v>
      </c>
      <c r="U30" s="68">
        <f t="shared" si="29"/>
        <v>8.0065861345540963</v>
      </c>
      <c r="W30" t="str">
        <f t="shared" si="30"/>
        <v>81 Process, plant and machine operatives</v>
      </c>
      <c r="X30" s="68">
        <v>2.6354177601059594</v>
      </c>
      <c r="Y30" s="68">
        <v>2.3900042283838814</v>
      </c>
      <c r="Z30" s="68">
        <v>2.4890497526014994</v>
      </c>
      <c r="AA30" s="68">
        <v>3.5909687031937088</v>
      </c>
      <c r="AB30" s="68">
        <v>5.7075678546387483</v>
      </c>
      <c r="AC30" s="68"/>
      <c r="AD30" s="68">
        <f t="shared" si="31"/>
        <v>3.2185181020372489</v>
      </c>
      <c r="AE30" s="68">
        <f>'RD T1'!E116</f>
        <v>2.2030604454303253</v>
      </c>
      <c r="AF30" s="68">
        <f t="shared" si="32"/>
        <v>5.4215785474675737</v>
      </c>
      <c r="AH30" t="str">
        <f t="shared" si="33"/>
        <v>81 Process, plant and machine operatives</v>
      </c>
      <c r="AI30" s="68">
        <v>0.99681840136341016</v>
      </c>
      <c r="AJ30" s="68">
        <v>0.93090789183348899</v>
      </c>
      <c r="AK30" s="68">
        <v>1.0720237107886763</v>
      </c>
      <c r="AL30" s="68">
        <v>1.5438100205803442</v>
      </c>
      <c r="AM30" s="68">
        <v>2.5086946078759311</v>
      </c>
      <c r="AN30" s="68"/>
      <c r="AO30" s="68">
        <f t="shared" si="34"/>
        <v>1.4366708970872548</v>
      </c>
      <c r="AP30" s="68">
        <f>'RD T1'!E145</f>
        <v>0.94607598349151167</v>
      </c>
      <c r="AQ30" s="68">
        <f t="shared" si="35"/>
        <v>2.3827468805787664</v>
      </c>
      <c r="AS30" t="str">
        <f t="shared" si="36"/>
        <v>81 Process, plant and machine operatives</v>
      </c>
      <c r="AT30" s="68">
        <v>2.2580195823909435</v>
      </c>
      <c r="AU30" s="68">
        <v>2.3010703038320308</v>
      </c>
      <c r="AV30" s="68">
        <v>2.5556076945705648</v>
      </c>
      <c r="AW30" s="68">
        <v>3.5669973018266723</v>
      </c>
      <c r="AX30" s="68">
        <v>4.740868823214992</v>
      </c>
      <c r="AY30" s="68"/>
      <c r="AZ30" s="68">
        <f t="shared" si="37"/>
        <v>2.1852611286444272</v>
      </c>
      <c r="BA30" s="68">
        <f>'RD T1'!E174</f>
        <v>2.1158004687831329</v>
      </c>
      <c r="BB30" s="68">
        <f t="shared" si="38"/>
        <v>4.3010615974275606</v>
      </c>
      <c r="BD30" t="str">
        <f t="shared" si="39"/>
        <v>81 Process, plant and machine operatives</v>
      </c>
      <c r="BE30" s="68">
        <v>6.1463389207244923</v>
      </c>
      <c r="BF30" s="68">
        <v>5.5867887529935736</v>
      </c>
      <c r="BG30" s="68">
        <v>6.0957017034273004</v>
      </c>
      <c r="BH30" s="68">
        <v>6.6284327586969916</v>
      </c>
      <c r="BI30" s="68">
        <v>6.1388201068192334</v>
      </c>
      <c r="BJ30" s="68"/>
      <c r="BK30" s="68">
        <f t="shared" si="40"/>
        <v>4.3118403391932958E-2</v>
      </c>
      <c r="BL30" s="68">
        <f>'RD T1'!E203</f>
        <v>2.4203099179418763</v>
      </c>
      <c r="BM30" s="68">
        <f t="shared" si="41"/>
        <v>2.4634283213338093</v>
      </c>
      <c r="BO30" t="str">
        <f t="shared" si="42"/>
        <v>81 Process, plant and machine operatives</v>
      </c>
      <c r="BP30" s="68">
        <v>7.6321902718817425</v>
      </c>
      <c r="BQ30" s="68">
        <v>8.502371437253343</v>
      </c>
      <c r="BR30" s="68">
        <v>6.7437163561331745</v>
      </c>
      <c r="BS30" s="68">
        <v>8.6868417443892323</v>
      </c>
      <c r="BT30" s="68">
        <v>7.6887956297061573</v>
      </c>
      <c r="BU30" s="68"/>
      <c r="BV30" s="68">
        <f t="shared" si="43"/>
        <v>0.94507927357298271</v>
      </c>
      <c r="BW30" s="68">
        <f>'RD T1'!E232</f>
        <v>2.8568728749661898</v>
      </c>
      <c r="BX30" s="68">
        <f t="shared" si="44"/>
        <v>3.8019521485391725</v>
      </c>
      <c r="BZ30" t="str">
        <f t="shared" si="45"/>
        <v>81 Process, plant and machine operatives</v>
      </c>
      <c r="CA30" s="68">
        <v>9.2962342979459969</v>
      </c>
      <c r="CB30" s="68">
        <v>8.6219420792001813</v>
      </c>
      <c r="CC30" s="68">
        <v>7.675615858251418</v>
      </c>
      <c r="CD30" s="68">
        <v>8.231142668411664</v>
      </c>
      <c r="CE30" s="68">
        <v>4.7506238564340535</v>
      </c>
      <c r="CF30" s="68"/>
      <c r="CG30" s="68">
        <f t="shared" si="46"/>
        <v>-2.9249920018173645</v>
      </c>
      <c r="CH30" s="68">
        <f>'RD T1'!E261</f>
        <v>2.2151598695472776</v>
      </c>
      <c r="CI30" s="68">
        <f t="shared" si="47"/>
        <v>-0.7098321322700869</v>
      </c>
      <c r="CK30" t="str">
        <f t="shared" si="48"/>
        <v>81 Process, plant and machine operatives</v>
      </c>
      <c r="CL30" s="68">
        <v>5.2505113341408149</v>
      </c>
      <c r="CM30" s="68">
        <v>3.9011489993417365</v>
      </c>
      <c r="CN30" s="68">
        <v>2.5377321950849856</v>
      </c>
      <c r="CO30" s="68">
        <v>2.1611778852449088</v>
      </c>
      <c r="CP30" s="68">
        <v>1.0190925224853571</v>
      </c>
      <c r="CQ30" s="68"/>
      <c r="CR30" s="68">
        <f t="shared" si="49"/>
        <v>-1.5186396725996285</v>
      </c>
      <c r="CS30" s="68">
        <f>'RD T1'!E290</f>
        <v>0.45863858762870235</v>
      </c>
      <c r="CT30" s="68">
        <f t="shared" si="50"/>
        <v>-1.060001084970926</v>
      </c>
    </row>
    <row r="31" spans="1:98" x14ac:dyDescent="0.2">
      <c r="A31" s="10" t="str">
        <f>name!D27</f>
        <v>82 Transport and mobile machine drivers and operatives</v>
      </c>
      <c r="B31" s="68">
        <v>0.79338975621385277</v>
      </c>
      <c r="C31" s="68">
        <v>1.3153802189377277</v>
      </c>
      <c r="D31" s="68">
        <v>1.2796729045970716</v>
      </c>
      <c r="E31" s="68">
        <v>2.4958848912446885</v>
      </c>
      <c r="F31" s="68">
        <v>5.1530282224253554</v>
      </c>
      <c r="G31" s="11"/>
      <c r="H31" s="68">
        <f t="shared" si="51"/>
        <v>3.8733553178282838</v>
      </c>
      <c r="I31" s="68">
        <f>'RD T1'!E59</f>
        <v>2.1389512467642455</v>
      </c>
      <c r="J31" s="68">
        <f t="shared" si="26"/>
        <v>6.0123065645925298</v>
      </c>
      <c r="L31" t="str">
        <f t="shared" si="27"/>
        <v>82 Transport and mobile machine drivers and operatives</v>
      </c>
      <c r="M31" s="68">
        <v>5.2827678537201415</v>
      </c>
      <c r="N31" s="68">
        <v>8.136576268929602</v>
      </c>
      <c r="O31" s="68">
        <v>8.5339024803685657</v>
      </c>
      <c r="P31" s="68">
        <v>14.959876142694874</v>
      </c>
      <c r="Q31" s="68">
        <v>30.360198456575127</v>
      </c>
      <c r="R31" s="11"/>
      <c r="S31" s="68">
        <f t="shared" si="28"/>
        <v>21.826295976206559</v>
      </c>
      <c r="T31" s="68">
        <f>'RD T1'!E88</f>
        <v>12.607882718464538</v>
      </c>
      <c r="U31" s="68">
        <f t="shared" si="29"/>
        <v>34.434178694671097</v>
      </c>
      <c r="W31" t="str">
        <f t="shared" si="30"/>
        <v>82 Transport and mobile machine drivers and operatives</v>
      </c>
      <c r="X31" s="68">
        <v>12.480290356171336</v>
      </c>
      <c r="Y31" s="68">
        <v>15.685207314333768</v>
      </c>
      <c r="Z31" s="68">
        <v>16.226574911703683</v>
      </c>
      <c r="AA31" s="68">
        <v>19.939854298392166</v>
      </c>
      <c r="AB31" s="68">
        <v>24.0121031091867</v>
      </c>
      <c r="AC31" s="68"/>
      <c r="AD31" s="68">
        <f t="shared" si="31"/>
        <v>7.7855281974830177</v>
      </c>
      <c r="AE31" s="68">
        <f>'RD T1'!E117</f>
        <v>15.121961749056814</v>
      </c>
      <c r="AF31" s="68">
        <f t="shared" si="32"/>
        <v>22.907489946539833</v>
      </c>
      <c r="AH31" t="str">
        <f t="shared" si="33"/>
        <v>82 Transport and mobile machine drivers and operatives</v>
      </c>
      <c r="AI31" s="68">
        <v>5.5862266417852018</v>
      </c>
      <c r="AJ31" s="68">
        <v>7.3048357461208671</v>
      </c>
      <c r="AK31" s="68">
        <v>7.8793325637352885</v>
      </c>
      <c r="AL31" s="68">
        <v>9.8459158884211817</v>
      </c>
      <c r="AM31" s="68">
        <v>11.863023736854082</v>
      </c>
      <c r="AN31" s="68"/>
      <c r="AO31" s="68">
        <f t="shared" si="34"/>
        <v>3.9836911731187934</v>
      </c>
      <c r="AP31" s="68">
        <f>'RD T1'!E146</f>
        <v>7.3382135941913953</v>
      </c>
      <c r="AQ31" s="68">
        <f t="shared" si="35"/>
        <v>11.321904767310189</v>
      </c>
      <c r="AS31" t="str">
        <f t="shared" si="36"/>
        <v>82 Transport and mobile machine drivers and operatives</v>
      </c>
      <c r="AT31" s="68">
        <v>9.9794886982839408</v>
      </c>
      <c r="AU31" s="68">
        <v>11.717316807408068</v>
      </c>
      <c r="AV31" s="68">
        <v>12.586758073910321</v>
      </c>
      <c r="AW31" s="68">
        <v>14.780865381484086</v>
      </c>
      <c r="AX31" s="68">
        <v>17.007426401294143</v>
      </c>
      <c r="AY31" s="68"/>
      <c r="AZ31" s="68">
        <f t="shared" si="37"/>
        <v>4.4206683273838223</v>
      </c>
      <c r="BA31" s="68">
        <f>'RD T1'!E175</f>
        <v>11.031025512191849</v>
      </c>
      <c r="BB31" s="68">
        <f t="shared" si="38"/>
        <v>15.451693839575672</v>
      </c>
      <c r="BD31" t="str">
        <f t="shared" si="39"/>
        <v>82 Transport and mobile machine drivers and operatives</v>
      </c>
      <c r="BE31" s="68">
        <v>29.51204167993253</v>
      </c>
      <c r="BF31" s="68">
        <v>29.576156948620987</v>
      </c>
      <c r="BG31" s="68">
        <v>33.904702619782327</v>
      </c>
      <c r="BH31" s="68">
        <v>32.805285282367187</v>
      </c>
      <c r="BI31" s="68">
        <v>28.547157065865264</v>
      </c>
      <c r="BJ31" s="68"/>
      <c r="BK31" s="68">
        <f t="shared" si="40"/>
        <v>-5.3575455539170633</v>
      </c>
      <c r="BL31" s="68">
        <f>'RD T1'!E204</f>
        <v>15.628088580177009</v>
      </c>
      <c r="BM31" s="68">
        <f t="shared" si="41"/>
        <v>10.270543026259945</v>
      </c>
      <c r="BO31" t="str">
        <f t="shared" si="42"/>
        <v>82 Transport and mobile machine drivers and operatives</v>
      </c>
      <c r="BP31" s="68">
        <v>42.960124260323305</v>
      </c>
      <c r="BQ31" s="68">
        <v>53.759230658370129</v>
      </c>
      <c r="BR31" s="68">
        <v>41.316517193154858</v>
      </c>
      <c r="BS31" s="68">
        <v>48.651737958008596</v>
      </c>
      <c r="BT31" s="68">
        <v>43.194759249786699</v>
      </c>
      <c r="BU31" s="68"/>
      <c r="BV31" s="68">
        <f t="shared" si="43"/>
        <v>1.8782420566318407</v>
      </c>
      <c r="BW31" s="68">
        <f>'RD T1'!E233</f>
        <v>21.901494956003333</v>
      </c>
      <c r="BX31" s="68">
        <f t="shared" si="44"/>
        <v>23.779737012635174</v>
      </c>
      <c r="BZ31" t="str">
        <f t="shared" si="45"/>
        <v>82 Transport and mobile machine drivers and operatives</v>
      </c>
      <c r="CA31" s="68">
        <v>50.210615698471578</v>
      </c>
      <c r="CB31" s="68">
        <v>53.524834397467522</v>
      </c>
      <c r="CC31" s="68">
        <v>46.085453350305187</v>
      </c>
      <c r="CD31" s="68">
        <v>48.603766355724268</v>
      </c>
      <c r="CE31" s="68">
        <v>36.270022691973502</v>
      </c>
      <c r="CF31" s="68"/>
      <c r="CG31" s="68">
        <f t="shared" si="46"/>
        <v>-9.8154306583316853</v>
      </c>
      <c r="CH31" s="68">
        <f>'RD T1'!E262</f>
        <v>17.675591815370815</v>
      </c>
      <c r="CI31" s="68">
        <f t="shared" si="47"/>
        <v>7.8601611570391299</v>
      </c>
      <c r="CK31" t="str">
        <f t="shared" si="48"/>
        <v>82 Transport and mobile machine drivers and operatives</v>
      </c>
      <c r="CL31" s="68">
        <v>25.431872401034514</v>
      </c>
      <c r="CM31" s="68">
        <v>25.385035940649285</v>
      </c>
      <c r="CN31" s="68">
        <v>15.632831842515856</v>
      </c>
      <c r="CO31" s="68">
        <v>12.770307145045544</v>
      </c>
      <c r="CP31" s="68">
        <v>5.3658514101026364</v>
      </c>
      <c r="CQ31" s="68"/>
      <c r="CR31" s="68">
        <f t="shared" si="49"/>
        <v>-10.26698043241322</v>
      </c>
      <c r="CS31" s="68">
        <f>'RD T1'!E291</f>
        <v>4.0486672816403795</v>
      </c>
      <c r="CT31" s="68">
        <f t="shared" si="50"/>
        <v>-6.2183131507728406</v>
      </c>
    </row>
    <row r="32" spans="1:98" x14ac:dyDescent="0.2">
      <c r="A32" s="10" t="str">
        <f>name!D28</f>
        <v>91 Elementary trades and related occupations</v>
      </c>
      <c r="B32" s="68">
        <v>3.5526353393332704E-3</v>
      </c>
      <c r="C32" s="68">
        <v>4.1356788061909676E-3</v>
      </c>
      <c r="D32" s="68">
        <v>4.6962381754077501E-3</v>
      </c>
      <c r="E32" s="68">
        <v>6.0410803548316024E-3</v>
      </c>
      <c r="F32" s="68">
        <v>1.3872590217150479E-2</v>
      </c>
      <c r="G32" s="11"/>
      <c r="H32" s="68">
        <f t="shared" si="51"/>
        <v>9.1763520417427295E-3</v>
      </c>
      <c r="I32" s="68">
        <f>'RD T1'!E60</f>
        <v>4.1831110567239309E-3</v>
      </c>
      <c r="J32" s="68">
        <f t="shared" si="26"/>
        <v>1.335946309846666E-2</v>
      </c>
      <c r="L32" t="str">
        <f t="shared" si="27"/>
        <v>91 Elementary trades and related occupations</v>
      </c>
      <c r="M32" s="68">
        <v>0.758822776921526</v>
      </c>
      <c r="N32" s="68">
        <v>0.88887923832121729</v>
      </c>
      <c r="O32" s="68">
        <v>0.90643689928774995</v>
      </c>
      <c r="P32" s="68">
        <v>1.2515263936733076</v>
      </c>
      <c r="Q32" s="68">
        <v>2.814707589093207</v>
      </c>
      <c r="R32" s="11"/>
      <c r="S32" s="68">
        <f t="shared" si="28"/>
        <v>1.9082706898054571</v>
      </c>
      <c r="T32" s="68">
        <f>'RD T1'!E89</f>
        <v>0.89413965353668978</v>
      </c>
      <c r="U32" s="68">
        <f t="shared" si="29"/>
        <v>2.8024103433421468</v>
      </c>
      <c r="W32" t="str">
        <f t="shared" si="30"/>
        <v>91 Elementary trades and related occupations</v>
      </c>
      <c r="X32" s="68">
        <v>2.2381248178342705</v>
      </c>
      <c r="Y32" s="68">
        <v>2.2237314954686132</v>
      </c>
      <c r="Z32" s="68">
        <v>2.2777434825301079</v>
      </c>
      <c r="AA32" s="68">
        <v>1.9073151179384236</v>
      </c>
      <c r="AB32" s="68">
        <v>1.9702841456227032</v>
      </c>
      <c r="AC32" s="68"/>
      <c r="AD32" s="68">
        <f t="shared" si="31"/>
        <v>-0.30745933690740479</v>
      </c>
      <c r="AE32" s="68">
        <f>'RD T1'!E118</f>
        <v>1.2421049812812581</v>
      </c>
      <c r="AF32" s="68">
        <f t="shared" si="32"/>
        <v>0.93464564437385333</v>
      </c>
      <c r="AH32" t="str">
        <f t="shared" si="33"/>
        <v>91 Elementary trades and related occupations</v>
      </c>
      <c r="AI32" s="68">
        <v>1.258515765843123</v>
      </c>
      <c r="AJ32" s="68">
        <v>1.1876454665830654</v>
      </c>
      <c r="AK32" s="68">
        <v>1.2791927817786628</v>
      </c>
      <c r="AL32" s="68">
        <v>1.0508438868877286</v>
      </c>
      <c r="AM32" s="68">
        <v>1.0753271044924213</v>
      </c>
      <c r="AN32" s="68"/>
      <c r="AO32" s="68">
        <f t="shared" si="34"/>
        <v>-0.2038656772862415</v>
      </c>
      <c r="AP32" s="68">
        <f>'RD T1'!E147</f>
        <v>0.66770127162368698</v>
      </c>
      <c r="AQ32" s="68">
        <f t="shared" si="35"/>
        <v>0.46383559433744548</v>
      </c>
      <c r="AS32" t="str">
        <f t="shared" si="36"/>
        <v>91 Elementary trades and related occupations</v>
      </c>
      <c r="AT32" s="68">
        <v>1.7481815485191601</v>
      </c>
      <c r="AU32" s="68">
        <v>1.8102344903194081</v>
      </c>
      <c r="AV32" s="68">
        <v>2.0836701836420488</v>
      </c>
      <c r="AW32" s="68">
        <v>1.8275798288164222</v>
      </c>
      <c r="AX32" s="68">
        <v>2.042468949227795</v>
      </c>
      <c r="AY32" s="68"/>
      <c r="AZ32" s="68">
        <f t="shared" si="37"/>
        <v>-4.1201234414253829E-2</v>
      </c>
      <c r="BA32" s="68">
        <f>'RD T1'!E176</f>
        <v>1.1205128885550593</v>
      </c>
      <c r="BB32" s="68">
        <f t="shared" si="38"/>
        <v>1.0793116541408054</v>
      </c>
      <c r="BD32" t="str">
        <f t="shared" si="39"/>
        <v>91 Elementary trades and related occupations</v>
      </c>
      <c r="BE32" s="68">
        <v>5.7424177172358419</v>
      </c>
      <c r="BF32" s="68">
        <v>4.6207019624892061</v>
      </c>
      <c r="BG32" s="68">
        <v>5.0118943960278379</v>
      </c>
      <c r="BH32" s="68">
        <v>3.9643634435938959</v>
      </c>
      <c r="BI32" s="68">
        <v>3.9342874607835014</v>
      </c>
      <c r="BJ32" s="68"/>
      <c r="BK32" s="68">
        <f t="shared" si="40"/>
        <v>-1.0776069352443365</v>
      </c>
      <c r="BL32" s="68">
        <f>'RD T1'!E205</f>
        <v>1.481543129822249</v>
      </c>
      <c r="BM32" s="68">
        <f t="shared" si="41"/>
        <v>0.40393619457791252</v>
      </c>
      <c r="BO32" t="str">
        <f t="shared" si="42"/>
        <v>91 Elementary trades and related occupations</v>
      </c>
      <c r="BP32" s="68">
        <v>9.7434029525875356</v>
      </c>
      <c r="BQ32" s="68">
        <v>9.9988038444738976</v>
      </c>
      <c r="BR32" s="68">
        <v>8.2190744809452045</v>
      </c>
      <c r="BS32" s="68">
        <v>7.0614712011048351</v>
      </c>
      <c r="BT32" s="68">
        <v>6.6691017089786619</v>
      </c>
      <c r="BU32" s="68"/>
      <c r="BV32" s="68">
        <f t="shared" si="43"/>
        <v>-1.5499727719665426</v>
      </c>
      <c r="BW32" s="68">
        <f>'RD T1'!E234</f>
        <v>2.3738264269891509</v>
      </c>
      <c r="BX32" s="68">
        <f t="shared" si="44"/>
        <v>0.82385365502260832</v>
      </c>
      <c r="BZ32" t="str">
        <f t="shared" si="45"/>
        <v>91 Elementary trades and related occupations</v>
      </c>
      <c r="CA32" s="68">
        <v>14.228919872311776</v>
      </c>
      <c r="CB32" s="68">
        <v>12.403812426013625</v>
      </c>
      <c r="CC32" s="68">
        <v>11.194626037422303</v>
      </c>
      <c r="CD32" s="68">
        <v>8.6875605647300453</v>
      </c>
      <c r="CE32" s="68">
        <v>6.3191715216358011</v>
      </c>
      <c r="CF32" s="68"/>
      <c r="CG32" s="68">
        <f t="shared" si="46"/>
        <v>-4.8754545157865019</v>
      </c>
      <c r="CH32" s="68">
        <f>'RD T1'!E263</f>
        <v>2.7020383282228488</v>
      </c>
      <c r="CI32" s="68">
        <f t="shared" si="47"/>
        <v>-2.1734161875636531</v>
      </c>
      <c r="CK32" t="str">
        <f t="shared" si="48"/>
        <v>91 Elementary trades and related occupations</v>
      </c>
      <c r="CL32" s="68">
        <v>8.3966040016721735</v>
      </c>
      <c r="CM32" s="68">
        <v>6.8651476139775092</v>
      </c>
      <c r="CN32" s="68">
        <v>4.8753065093678423</v>
      </c>
      <c r="CO32" s="68">
        <v>3.3266250186382842</v>
      </c>
      <c r="CP32" s="68">
        <v>2.4197237079451819</v>
      </c>
      <c r="CQ32" s="68"/>
      <c r="CR32" s="68">
        <f t="shared" si="49"/>
        <v>-2.4555828014226604</v>
      </c>
      <c r="CS32" s="68">
        <f>'RD T1'!E292</f>
        <v>0.93887671744762713</v>
      </c>
      <c r="CT32" s="68">
        <f t="shared" si="50"/>
        <v>-1.5167060839750333</v>
      </c>
    </row>
    <row r="33" spans="1:98" x14ac:dyDescent="0.2">
      <c r="A33" s="10" t="str">
        <f>name!D29</f>
        <v>92 Elementary administration and service occupations</v>
      </c>
      <c r="B33" s="68">
        <v>0.48502874926987777</v>
      </c>
      <c r="C33" s="68">
        <v>0.64877461833562033</v>
      </c>
      <c r="D33" s="68">
        <v>0.74098137430138933</v>
      </c>
      <c r="E33" s="68">
        <v>1.1676199850943563</v>
      </c>
      <c r="F33" s="68">
        <v>2.0608225740465476</v>
      </c>
      <c r="G33" s="11"/>
      <c r="H33" s="68">
        <f t="shared" ref="H33" si="52">F33-D33</f>
        <v>1.3198411997451582</v>
      </c>
      <c r="I33" s="68">
        <f>'RD T1'!E61</f>
        <v>0.82032995467785541</v>
      </c>
      <c r="J33" s="68">
        <f>SUM(H33:I33)</f>
        <v>2.1401711544230135</v>
      </c>
      <c r="L33" t="str">
        <f t="shared" ref="L33" si="53">A33</f>
        <v>92 Elementary administration and service occupations</v>
      </c>
      <c r="M33" s="68">
        <v>17.808165622872306</v>
      </c>
      <c r="N33" s="68">
        <v>26.708598179318532</v>
      </c>
      <c r="O33" s="68">
        <v>30.190768309328529</v>
      </c>
      <c r="P33" s="68">
        <v>50.565381407405255</v>
      </c>
      <c r="Q33" s="68">
        <v>110.76976652064886</v>
      </c>
      <c r="R33" s="11"/>
      <c r="S33" s="68">
        <f t="shared" ref="S33" si="54">Q33-O33</f>
        <v>80.578998211320325</v>
      </c>
      <c r="T33" s="68">
        <f>'RD T1'!E90</f>
        <v>40.836059229868212</v>
      </c>
      <c r="U33" s="68">
        <f t="shared" ref="U33" si="55">SUM(S33:T33)</f>
        <v>121.41505744118854</v>
      </c>
      <c r="W33" t="str">
        <f t="shared" ref="W33" si="56">A33</f>
        <v>92 Elementary administration and service occupations</v>
      </c>
      <c r="X33" s="68">
        <v>50.567591635510084</v>
      </c>
      <c r="Y33" s="68">
        <v>62.432555797808824</v>
      </c>
      <c r="Z33" s="68">
        <v>67.199874472300124</v>
      </c>
      <c r="AA33" s="68">
        <v>75.458819090673956</v>
      </c>
      <c r="AB33" s="68">
        <v>92.861650975735515</v>
      </c>
      <c r="AC33" s="68"/>
      <c r="AD33" s="68">
        <f t="shared" ref="AD33" si="57">AB33-Z33</f>
        <v>25.661776503435391</v>
      </c>
      <c r="AE33" s="68">
        <f>'RD T1'!E119</f>
        <v>54.526377147225126</v>
      </c>
      <c r="AF33" s="68">
        <f t="shared" ref="AF33" si="58">SUM(AD33:AE33)</f>
        <v>80.188153650660524</v>
      </c>
      <c r="AH33" t="str">
        <f t="shared" ref="AH33" si="59">L33</f>
        <v>92 Elementary administration and service occupations</v>
      </c>
      <c r="AI33" s="68">
        <v>22.141219162003502</v>
      </c>
      <c r="AJ33" s="68">
        <v>27.111470259822006</v>
      </c>
      <c r="AK33" s="68">
        <v>30.345919522372494</v>
      </c>
      <c r="AL33" s="68">
        <v>32.963293707526645</v>
      </c>
      <c r="AM33" s="68">
        <v>40.60686333347477</v>
      </c>
      <c r="AN33" s="68"/>
      <c r="AO33" s="68">
        <f t="shared" ref="AO33" si="60">AM33-AK33</f>
        <v>10.260943811102276</v>
      </c>
      <c r="AP33" s="68">
        <f>'RD T1'!E148</f>
        <v>23.105013045761993</v>
      </c>
      <c r="AQ33" s="68">
        <f t="shared" ref="AQ33" si="61">SUM(AO33:AP33)</f>
        <v>33.365956856864273</v>
      </c>
      <c r="AS33" t="str">
        <f t="shared" ref="AS33" si="62">W33</f>
        <v>92 Elementary administration and service occupations</v>
      </c>
      <c r="AT33" s="68">
        <v>19.587063819465971</v>
      </c>
      <c r="AU33" s="68">
        <v>22.514856288284314</v>
      </c>
      <c r="AV33" s="68">
        <v>26.348992873749285</v>
      </c>
      <c r="AW33" s="68">
        <v>28.484588375653665</v>
      </c>
      <c r="AX33" s="68">
        <v>35.63309209189466</v>
      </c>
      <c r="AY33" s="68"/>
      <c r="AZ33" s="68">
        <f t="shared" ref="AZ33" si="63">AX33-AV33</f>
        <v>9.284099218145375</v>
      </c>
      <c r="BA33" s="68">
        <f>'RD T1'!E177</f>
        <v>19.345609295404</v>
      </c>
      <c r="BB33" s="68">
        <f t="shared" ref="BB33" si="64">SUM(AZ33:BA33)</f>
        <v>28.629708513549375</v>
      </c>
      <c r="BD33" t="str">
        <f t="shared" ref="BD33" si="65">AH33</f>
        <v>92 Elementary administration and service occupations</v>
      </c>
      <c r="BE33" s="68">
        <v>77.017100655072596</v>
      </c>
      <c r="BF33" s="68">
        <v>77.860668188260036</v>
      </c>
      <c r="BG33" s="68">
        <v>73.182647519902389</v>
      </c>
      <c r="BH33" s="68">
        <v>67.562038153901909</v>
      </c>
      <c r="BI33" s="68">
        <v>59.611879749364618</v>
      </c>
      <c r="BJ33" s="68"/>
      <c r="BK33" s="68">
        <f t="shared" ref="BK33" si="66">BI33-BG33</f>
        <v>-13.570767770537771</v>
      </c>
      <c r="BL33" s="68">
        <f>'RD T1'!E206</f>
        <v>32.281256893885775</v>
      </c>
      <c r="BM33" s="68">
        <f t="shared" ref="BM33" si="67">SUM(BK33:BL33)</f>
        <v>18.710489123348005</v>
      </c>
      <c r="BO33" t="str">
        <f t="shared" ref="BO33" si="68">AS33</f>
        <v>92 Elementary administration and service occupations</v>
      </c>
      <c r="BP33" s="68">
        <v>112.09386411220535</v>
      </c>
      <c r="BQ33" s="68">
        <v>127.49883010447762</v>
      </c>
      <c r="BR33" s="68">
        <v>103.31427501427731</v>
      </c>
      <c r="BS33" s="68">
        <v>107.46280982197959</v>
      </c>
      <c r="BT33" s="68">
        <v>80.17276634536772</v>
      </c>
      <c r="BU33" s="68"/>
      <c r="BV33" s="68">
        <f t="shared" ref="BV33" si="69">BT33-BR33</f>
        <v>-23.141508668909594</v>
      </c>
      <c r="BW33" s="68">
        <f>'RD T1'!E235</f>
        <v>42.142018667833128</v>
      </c>
      <c r="BX33" s="68">
        <f t="shared" ref="BX33" si="70">SUM(BV33:BW33)</f>
        <v>19.000509998923533</v>
      </c>
      <c r="BZ33" t="str">
        <f t="shared" ref="BZ33" si="71">BD33</f>
        <v>92 Elementary administration and service occupations</v>
      </c>
      <c r="CA33" s="68">
        <v>125.5068040616022</v>
      </c>
      <c r="CB33" s="68">
        <v>126.22144653537171</v>
      </c>
      <c r="CC33" s="68">
        <v>119.12523296129595</v>
      </c>
      <c r="CD33" s="68">
        <v>112.05721273569613</v>
      </c>
      <c r="CE33" s="68">
        <v>67.775456773071724</v>
      </c>
      <c r="CF33" s="68"/>
      <c r="CG33" s="68">
        <f t="shared" ref="CG33" si="72">CE33-CC33</f>
        <v>-51.349776188224226</v>
      </c>
      <c r="CH33" s="68">
        <f>'RD T1'!E264</f>
        <v>35.934788165071225</v>
      </c>
      <c r="CI33" s="68">
        <f t="shared" ref="CI33" si="73">SUM(CG33:CH33)</f>
        <v>-15.414988023153001</v>
      </c>
      <c r="CK33" t="str">
        <f t="shared" ref="CK33" si="74">BO33</f>
        <v>92 Elementary administration and service occupations</v>
      </c>
      <c r="CL33" s="68">
        <v>76.869305771363798</v>
      </c>
      <c r="CM33" s="68">
        <v>60.017362971505463</v>
      </c>
      <c r="CN33" s="68">
        <v>37.183847576329455</v>
      </c>
      <c r="CO33" s="68">
        <v>25.67832998200047</v>
      </c>
      <c r="CP33" s="68">
        <v>9.9545297856199699</v>
      </c>
      <c r="CQ33" s="68"/>
      <c r="CR33" s="68">
        <f t="shared" ref="CR33" si="75">CP33-CN33</f>
        <v>-27.229317790709487</v>
      </c>
      <c r="CS33" s="68">
        <f>'RD T1'!E293</f>
        <v>5.5499866305175551</v>
      </c>
      <c r="CT33" s="68">
        <f t="shared" ref="CT33" si="76">SUM(CR33:CS33)</f>
        <v>-21.679331160191932</v>
      </c>
    </row>
    <row r="34" spans="1:98" x14ac:dyDescent="0.2">
      <c r="B34" s="11"/>
      <c r="C34" s="11"/>
      <c r="D34" s="11"/>
      <c r="E34" s="11"/>
      <c r="F34" s="11"/>
      <c r="G34" s="11"/>
      <c r="H34" s="68"/>
      <c r="I34" s="68"/>
      <c r="J34" s="68"/>
      <c r="M34" s="68"/>
      <c r="N34" s="68"/>
      <c r="O34" s="68"/>
      <c r="P34" s="68"/>
      <c r="Q34" s="68"/>
      <c r="R34" s="11"/>
      <c r="S34" s="68"/>
      <c r="T34" s="68"/>
      <c r="U34" s="68"/>
      <c r="X34" s="68"/>
      <c r="Y34" s="68"/>
      <c r="Z34" s="68"/>
      <c r="AA34" s="68"/>
      <c r="AB34" s="68"/>
      <c r="AC34" s="68"/>
      <c r="AD34" s="68"/>
      <c r="AE34" s="68"/>
      <c r="AF34" s="68"/>
      <c r="AI34" s="68"/>
      <c r="AJ34" s="68"/>
      <c r="AK34" s="68"/>
      <c r="AL34" s="68"/>
      <c r="AM34" s="68"/>
      <c r="AN34" s="68"/>
      <c r="AO34" s="68"/>
      <c r="AP34" s="68"/>
      <c r="AQ34" s="68"/>
      <c r="AT34" s="68"/>
      <c r="AU34" s="68"/>
      <c r="AV34" s="68"/>
      <c r="AW34" s="68"/>
      <c r="AX34" s="68"/>
      <c r="AY34" s="68"/>
      <c r="AZ34" s="68"/>
      <c r="BA34" s="68"/>
      <c r="BB34" s="68"/>
      <c r="BE34" s="68"/>
      <c r="BF34" s="68"/>
      <c r="BG34" s="68"/>
      <c r="BH34" s="68"/>
      <c r="BI34" s="68"/>
      <c r="BJ34" s="68"/>
      <c r="BK34" s="68"/>
      <c r="BL34" s="68"/>
      <c r="BM34" s="68"/>
      <c r="BP34" s="68"/>
      <c r="BQ34" s="68"/>
      <c r="BR34" s="68"/>
      <c r="BS34" s="68"/>
      <c r="BT34" s="68"/>
      <c r="BU34" s="68"/>
      <c r="BV34" s="68"/>
      <c r="BW34" s="68"/>
      <c r="BX34" s="68"/>
      <c r="CA34" s="68"/>
      <c r="CB34" s="68"/>
      <c r="CC34" s="68"/>
      <c r="CD34" s="68"/>
      <c r="CE34" s="68"/>
      <c r="CF34" s="68"/>
      <c r="CG34" s="68"/>
      <c r="CH34" s="68"/>
      <c r="CI34" s="68"/>
      <c r="CL34" s="68"/>
      <c r="CM34" s="68"/>
      <c r="CN34" s="68"/>
      <c r="CO34" s="68"/>
      <c r="CP34" s="68"/>
      <c r="CQ34" s="68"/>
      <c r="CR34" s="68"/>
      <c r="CS34" s="68"/>
      <c r="CT34" s="68"/>
    </row>
    <row r="35" spans="1:98" x14ac:dyDescent="0.2">
      <c r="A35" s="231" t="str">
        <f>name!D3</f>
        <v>All occupations</v>
      </c>
      <c r="B35" s="66">
        <f>SUM(B8:B33)</f>
        <v>113.63840206462547</v>
      </c>
      <c r="C35" s="66">
        <f t="shared" ref="C35:F35" si="77">SUM(C8:C33)</f>
        <v>151.30824955547985</v>
      </c>
      <c r="D35" s="66">
        <f t="shared" si="77"/>
        <v>161.65072151993158</v>
      </c>
      <c r="E35" s="66">
        <f t="shared" si="77"/>
        <v>220.43123967367535</v>
      </c>
      <c r="F35" s="66">
        <f t="shared" si="77"/>
        <v>331.30684385995266</v>
      </c>
      <c r="G35" s="11"/>
      <c r="H35" s="66">
        <f>F35-D35</f>
        <v>169.65612234002108</v>
      </c>
      <c r="I35" s="66">
        <f>SUM(I8:I33)</f>
        <v>122.15071578085211</v>
      </c>
      <c r="J35" s="66">
        <f>SUM(H35:I35)</f>
        <v>291.80683812087318</v>
      </c>
      <c r="L35" s="23" t="str">
        <f>A35</f>
        <v>All occupations</v>
      </c>
      <c r="M35" s="66">
        <f>SUM(M8:M33)</f>
        <v>881.41613377129295</v>
      </c>
      <c r="N35" s="66">
        <f t="shared" ref="N35:Q35" si="78">SUM(N8:N33)</f>
        <v>1171.0388322569747</v>
      </c>
      <c r="O35" s="66">
        <f t="shared" si="78"/>
        <v>1286.8258493021121</v>
      </c>
      <c r="P35" s="66">
        <f t="shared" si="78"/>
        <v>1743.2941601736093</v>
      </c>
      <c r="Q35" s="66">
        <f t="shared" si="78"/>
        <v>2634.5906837165371</v>
      </c>
      <c r="R35" s="11"/>
      <c r="S35" s="66">
        <f>Q35-O35</f>
        <v>1347.764834414425</v>
      </c>
      <c r="T35" s="66">
        <f>SUM(T8:T33)</f>
        <v>1002.149169474568</v>
      </c>
      <c r="U35" s="66">
        <f>SUM(S35:T35)</f>
        <v>2349.9140038889927</v>
      </c>
      <c r="W35" s="23" t="str">
        <f>A35</f>
        <v>All occupations</v>
      </c>
      <c r="X35" s="66">
        <f>SUM(X8:X33)</f>
        <v>1466.8215340858872</v>
      </c>
      <c r="Y35" s="66">
        <f t="shared" ref="Y35:AB35" si="79">SUM(Y8:Y33)</f>
        <v>1566.7165234412491</v>
      </c>
      <c r="Z35" s="66">
        <f t="shared" si="79"/>
        <v>1631.9926000135545</v>
      </c>
      <c r="AA35" s="66">
        <f t="shared" si="79"/>
        <v>1592.6488249222448</v>
      </c>
      <c r="AB35" s="66">
        <f t="shared" si="79"/>
        <v>1477.5462269510288</v>
      </c>
      <c r="AC35" s="11"/>
      <c r="AD35" s="66">
        <f>AB35-Z35</f>
        <v>-154.44637306252571</v>
      </c>
      <c r="AE35" s="66">
        <f>SUM(AE8:AE33)</f>
        <v>848.18283501785947</v>
      </c>
      <c r="AF35" s="66">
        <f>SUM(AD35:AE35)</f>
        <v>693.73646195533377</v>
      </c>
      <c r="AH35" s="23" t="str">
        <f>L35</f>
        <v>All occupations</v>
      </c>
      <c r="AI35" s="66">
        <f>SUM(AI8:AI33)</f>
        <v>359.5454974471553</v>
      </c>
      <c r="AJ35" s="66">
        <f t="shared" ref="AJ35:AM35" si="80">SUM(AJ8:AJ33)</f>
        <v>357.86430874235094</v>
      </c>
      <c r="AK35" s="66">
        <f t="shared" si="80"/>
        <v>382.35442465949791</v>
      </c>
      <c r="AL35" s="66">
        <f t="shared" si="80"/>
        <v>361.14111819799547</v>
      </c>
      <c r="AM35" s="66">
        <f t="shared" si="80"/>
        <v>354.71033219107591</v>
      </c>
      <c r="AN35" s="11"/>
      <c r="AO35" s="66">
        <f>AM35-AK35</f>
        <v>-27.644092468422002</v>
      </c>
      <c r="AP35" s="66">
        <f>SUM(AP8:AP33)</f>
        <v>195.42706221757817</v>
      </c>
      <c r="AQ35" s="66">
        <f>SUM(AO35:AP35)</f>
        <v>167.78296974915617</v>
      </c>
      <c r="AS35" s="23" t="str">
        <f>W35</f>
        <v>All occupations</v>
      </c>
      <c r="AT35" s="66">
        <f>SUM(AT8:AT33)</f>
        <v>347.79017019527106</v>
      </c>
      <c r="AU35" s="66">
        <f t="shared" ref="AU35:AX35" si="81">SUM(AU8:AU33)</f>
        <v>367.17902110710122</v>
      </c>
      <c r="AV35" s="66">
        <f t="shared" si="81"/>
        <v>392.24441782094834</v>
      </c>
      <c r="AW35" s="66">
        <f t="shared" si="81"/>
        <v>384.7153432095098</v>
      </c>
      <c r="AX35" s="66">
        <f t="shared" si="81"/>
        <v>384.76558566144195</v>
      </c>
      <c r="AY35" s="11"/>
      <c r="AZ35" s="66">
        <f>AX35-AV35</f>
        <v>-7.4788321595063962</v>
      </c>
      <c r="BA35" s="66">
        <f>SUM(BA8:BA33)</f>
        <v>209.29493363694689</v>
      </c>
      <c r="BB35" s="66">
        <f>SUM(AZ35:BA35)</f>
        <v>201.8161014774405</v>
      </c>
      <c r="BD35" s="23" t="str">
        <f>AH35</f>
        <v>All occupations</v>
      </c>
      <c r="BE35" s="66">
        <f>SUM(BE8:BE33)</f>
        <v>786.84419024319902</v>
      </c>
      <c r="BF35" s="66">
        <f t="shared" ref="BF35:BI35" si="82">SUM(BF8:BF33)</f>
        <v>762.62319528736907</v>
      </c>
      <c r="BG35" s="66">
        <f t="shared" si="82"/>
        <v>758.16476382285589</v>
      </c>
      <c r="BH35" s="66">
        <f t="shared" si="82"/>
        <v>675.75964302509715</v>
      </c>
      <c r="BI35" s="66">
        <f t="shared" si="82"/>
        <v>526.90691520085556</v>
      </c>
      <c r="BJ35" s="11"/>
      <c r="BK35" s="66">
        <f>BI35-BG35</f>
        <v>-231.25784862200032</v>
      </c>
      <c r="BL35" s="66">
        <f>SUM(BL8:BL33)</f>
        <v>271.39312931464326</v>
      </c>
      <c r="BM35" s="66">
        <f>SUM(BK35:BL35)</f>
        <v>40.135280692642937</v>
      </c>
      <c r="BO35" s="23" t="str">
        <f>AS35</f>
        <v>All occupations</v>
      </c>
      <c r="BP35" s="66">
        <f>SUM(BP8:BP33)</f>
        <v>732.88012843485376</v>
      </c>
      <c r="BQ35" s="66">
        <f t="shared" ref="BQ35:BT35" si="83">SUM(BQ8:BQ33)</f>
        <v>777.3321465080827</v>
      </c>
      <c r="BR35" s="66">
        <f t="shared" si="83"/>
        <v>630.12466673858648</v>
      </c>
      <c r="BS35" s="66">
        <f t="shared" si="83"/>
        <v>599.72142626944105</v>
      </c>
      <c r="BT35" s="66">
        <f t="shared" si="83"/>
        <v>411.05900045374847</v>
      </c>
      <c r="BU35" s="11"/>
      <c r="BV35" s="66">
        <f>BT35-BR35</f>
        <v>-219.06566628483802</v>
      </c>
      <c r="BW35" s="66">
        <f>SUM(BW8:BW33)</f>
        <v>213.32765685173621</v>
      </c>
      <c r="BX35" s="66">
        <f>SUM(BV35:BW35)</f>
        <v>-5.7380094331018086</v>
      </c>
      <c r="BZ35" s="23" t="str">
        <f>BD35</f>
        <v>All occupations</v>
      </c>
      <c r="CA35" s="66">
        <f>SUM(CA8:CA33)</f>
        <v>619.21563033030918</v>
      </c>
      <c r="CB35" s="66">
        <f t="shared" ref="CB35:CE35" si="84">SUM(CB8:CB33)</f>
        <v>589.79706439931044</v>
      </c>
      <c r="CC35" s="66">
        <f t="shared" si="84"/>
        <v>548.75082422711466</v>
      </c>
      <c r="CD35" s="66">
        <f t="shared" si="84"/>
        <v>483.97524488789145</v>
      </c>
      <c r="CE35" s="66">
        <f t="shared" si="84"/>
        <v>298.97816591692015</v>
      </c>
      <c r="CF35" s="11"/>
      <c r="CG35" s="66">
        <f>CE35-CC35</f>
        <v>-249.77265831019452</v>
      </c>
      <c r="CH35" s="66">
        <f>SUM(CH8:CH33)</f>
        <v>149.78330621145497</v>
      </c>
      <c r="CI35" s="66">
        <f>SUM(CG35:CH35)</f>
        <v>-99.989352098739545</v>
      </c>
      <c r="CK35" s="23" t="str">
        <f>BO35</f>
        <v>All occupations</v>
      </c>
      <c r="CL35" s="66">
        <f>SUM(CL8:CL33)</f>
        <v>265.40431343151124</v>
      </c>
      <c r="CM35" s="66">
        <f t="shared" ref="CM35:CO35" si="85">SUM(CM8:CM33)</f>
        <v>226.25765870034331</v>
      </c>
      <c r="CN35" s="66">
        <f>SUM(CN8:CN33)</f>
        <v>145.27273190072961</v>
      </c>
      <c r="CO35" s="66">
        <f t="shared" si="85"/>
        <v>117.61099965123555</v>
      </c>
      <c r="CP35" s="66">
        <f>SUM(CP8:CP33)</f>
        <v>60.871246055901508</v>
      </c>
      <c r="CQ35" s="11"/>
      <c r="CR35" s="66">
        <f>CP35-CN35</f>
        <v>-84.401485844828102</v>
      </c>
      <c r="CS35" s="66">
        <f>SUM(CS8:CS33)</f>
        <v>30.195653722754948</v>
      </c>
      <c r="CT35" s="66">
        <f>SUM(CR35:CS35)</f>
        <v>-54.205832122073154</v>
      </c>
    </row>
    <row r="38" spans="1:98" ht="52.5" customHeight="1" x14ac:dyDescent="0.2">
      <c r="A38" s="378" t="str">
        <f>CONCATENATE(A$1," (Continued)")</f>
        <v>Basic Table 2  Employment Change by Occupation and Replacement Demand, RQF8 Doctorate, 2015-2035, London (Continued)</v>
      </c>
      <c r="B38" s="378"/>
      <c r="C38" s="378"/>
      <c r="D38" s="378"/>
      <c r="E38" s="378"/>
      <c r="F38" s="378"/>
      <c r="G38" s="378"/>
      <c r="H38" s="378"/>
      <c r="I38" s="378"/>
      <c r="J38" s="378"/>
      <c r="L38" s="378" t="str">
        <f>CONCATENATE(L$1," (Continued)")</f>
        <v>Basic Table 2.1  Employment Change by Occupation and Replacement Demand, RQF7 Other higher degree, 2015-2035, London (Continued)</v>
      </c>
      <c r="M38" s="378"/>
      <c r="N38" s="378"/>
      <c r="O38" s="378"/>
      <c r="P38" s="378"/>
      <c r="Q38" s="378"/>
      <c r="R38" s="378"/>
      <c r="S38" s="378"/>
      <c r="T38" s="378"/>
      <c r="U38" s="378"/>
      <c r="W38" s="378" t="str">
        <f>CONCATENATE(W$1," (Continued)")</f>
        <v>Basic Table 2.2  Employment Change by Occupation and Replacement Demand, RQF6 First degree, 2015-2035, London (Continued)</v>
      </c>
      <c r="X38" s="378"/>
      <c r="Y38" s="378"/>
      <c r="Z38" s="378"/>
      <c r="AA38" s="378"/>
      <c r="AB38" s="378"/>
      <c r="AC38" s="378"/>
      <c r="AD38" s="378"/>
      <c r="AE38" s="378"/>
      <c r="AF38" s="378"/>
      <c r="AH38" s="378" t="str">
        <f>CONCATENATE(AH$1," (Continued)")</f>
        <v>Basic Table 2.3  Employment Change by Occupation and Replacement Demand, RQF5 Foundation degree;Nursing;Teaching, 2015-2035, London (Continued)</v>
      </c>
      <c r="AI38" s="378"/>
      <c r="AJ38" s="378"/>
      <c r="AK38" s="378"/>
      <c r="AL38" s="378"/>
      <c r="AM38" s="378"/>
      <c r="AN38" s="378"/>
      <c r="AO38" s="378"/>
      <c r="AP38" s="378"/>
      <c r="AQ38" s="378"/>
      <c r="AS38" s="378" t="str">
        <f>CONCATENATE(AS$1," (Continued)")</f>
        <v>Basic Table 2.4  Employment Change by Occupation and Replacement Demand, RQF4 HE below degree level, 2015-2035, London (Continued)</v>
      </c>
      <c r="AT38" s="378"/>
      <c r="AU38" s="378"/>
      <c r="AV38" s="378"/>
      <c r="AW38" s="378"/>
      <c r="AX38" s="378"/>
      <c r="AY38" s="378"/>
      <c r="AZ38" s="378"/>
      <c r="BA38" s="378"/>
      <c r="BB38" s="378"/>
      <c r="BD38" s="378" t="str">
        <f>CONCATENATE(BD$1," (Continued)")</f>
        <v>Basic Table 2.5  Employment Change by Occupation and Replacement Demand, RQF3 A level &amp; equivalent, 2015-2035, London (Continued)</v>
      </c>
      <c r="BE38" s="378"/>
      <c r="BF38" s="378"/>
      <c r="BG38" s="378"/>
      <c r="BH38" s="378"/>
      <c r="BI38" s="378"/>
      <c r="BJ38" s="378"/>
      <c r="BK38" s="378"/>
      <c r="BL38" s="378"/>
      <c r="BM38" s="378"/>
      <c r="BO38" s="378" t="str">
        <f>CONCATENATE(BO$1," (Continued)")</f>
        <v>Basic Table 2.6  Employment Change by Occupation and Replacement Demand, RQF2 GCSE(A-C) &amp; equivalent, 2015-2035, London (Continued)</v>
      </c>
      <c r="BP38" s="378"/>
      <c r="BQ38" s="378"/>
      <c r="BR38" s="378"/>
      <c r="BS38" s="378"/>
      <c r="BT38" s="378"/>
      <c r="BU38" s="378"/>
      <c r="BV38" s="378"/>
      <c r="BW38" s="378"/>
      <c r="BX38" s="378"/>
      <c r="BZ38" s="378" t="str">
        <f>CONCATENATE(BZ$1," (Continued)")</f>
        <v>Basic Table 2.7  Employment Change by Occupation and Replacement Demand, RQF1 GCSE(below grade C) &amp; equivalent, 2015-2035, London (Continued)</v>
      </c>
      <c r="CA38" s="378"/>
      <c r="CB38" s="378"/>
      <c r="CC38" s="378"/>
      <c r="CD38" s="378"/>
      <c r="CE38" s="378"/>
      <c r="CF38" s="378"/>
      <c r="CG38" s="378"/>
      <c r="CH38" s="378"/>
      <c r="CI38" s="378"/>
      <c r="CK38" s="378" t="str">
        <f>CONCATENATE(CK$1," (Continued)")</f>
        <v>Basic Table 2.8  Employment Change by Occupation and Replacement Demand, No Qualification, 2015-2035, London (Continued)</v>
      </c>
      <c r="CL38" s="378"/>
      <c r="CM38" s="378"/>
      <c r="CN38" s="378"/>
      <c r="CO38" s="378"/>
      <c r="CP38" s="378"/>
      <c r="CQ38" s="378"/>
      <c r="CR38" s="378"/>
      <c r="CS38" s="378"/>
      <c r="CT38" s="378"/>
    </row>
    <row r="39" spans="1:98" ht="12.75" customHeight="1" x14ac:dyDescent="0.2"/>
    <row r="40" spans="1:98" ht="12.75" customHeight="1" x14ac:dyDescent="0.2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  <c r="AM40" s="15" t="s">
        <v>34</v>
      </c>
      <c r="AQ40" s="15" t="s">
        <v>34</v>
      </c>
      <c r="AX40" s="15" t="s">
        <v>34</v>
      </c>
      <c r="BB40" s="15" t="s">
        <v>34</v>
      </c>
      <c r="BI40" s="15" t="s">
        <v>34</v>
      </c>
      <c r="BM40" s="15" t="s">
        <v>34</v>
      </c>
      <c r="BT40" s="15" t="s">
        <v>34</v>
      </c>
      <c r="BX40" s="15" t="s">
        <v>34</v>
      </c>
      <c r="CE40" s="15" t="s">
        <v>34</v>
      </c>
      <c r="CI40" s="15" t="s">
        <v>34</v>
      </c>
      <c r="CP40" s="15" t="s">
        <v>34</v>
      </c>
      <c r="CT40" s="15" t="s">
        <v>34</v>
      </c>
    </row>
    <row r="41" spans="1:98" ht="12.75" customHeight="1" x14ac:dyDescent="0.2">
      <c r="A41" s="35"/>
      <c r="B41" s="35"/>
      <c r="C41" s="35"/>
      <c r="D41" s="35"/>
      <c r="E41" s="35"/>
      <c r="F41" s="35"/>
      <c r="H41" s="27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27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27" t="str">
        <f>$H$4</f>
        <v>2020-2035</v>
      </c>
      <c r="AE41" s="35"/>
      <c r="AF41" s="35"/>
      <c r="AH41" s="35"/>
      <c r="AI41" s="35"/>
      <c r="AJ41" s="35"/>
      <c r="AK41" s="35"/>
      <c r="AL41" s="35"/>
      <c r="AM41" s="35"/>
      <c r="AO41" s="27" t="str">
        <f>$H$4</f>
        <v>2020-2035</v>
      </c>
      <c r="AP41" s="35"/>
      <c r="AQ41" s="35"/>
      <c r="AS41" s="35"/>
      <c r="AT41" s="35"/>
      <c r="AU41" s="35"/>
      <c r="AV41" s="35"/>
      <c r="AW41" s="35"/>
      <c r="AX41" s="35"/>
      <c r="AZ41" s="27" t="str">
        <f>$H$4</f>
        <v>2020-2035</v>
      </c>
      <c r="BA41" s="35"/>
      <c r="BB41" s="35"/>
      <c r="BD41" s="35"/>
      <c r="BE41" s="35"/>
      <c r="BF41" s="35"/>
      <c r="BG41" s="35"/>
      <c r="BH41" s="35"/>
      <c r="BI41" s="35"/>
      <c r="BK41" s="27" t="str">
        <f>$H$4</f>
        <v>2020-2035</v>
      </c>
      <c r="BL41" s="35"/>
      <c r="BM41" s="35"/>
      <c r="BO41" s="35"/>
      <c r="BP41" s="35"/>
      <c r="BQ41" s="35"/>
      <c r="BR41" s="35"/>
      <c r="BS41" s="35"/>
      <c r="BT41" s="35"/>
      <c r="BV41" s="27" t="str">
        <f>$H$4</f>
        <v>2020-2035</v>
      </c>
      <c r="BW41" s="35"/>
      <c r="BX41" s="35"/>
      <c r="BZ41" s="35"/>
      <c r="CA41" s="35"/>
      <c r="CB41" s="35"/>
      <c r="CC41" s="35"/>
      <c r="CD41" s="35"/>
      <c r="CE41" s="35"/>
      <c r="CG41" s="27" t="str">
        <f>$H$4</f>
        <v>2020-2035</v>
      </c>
      <c r="CH41" s="35"/>
      <c r="CI41" s="35"/>
      <c r="CK41" s="35"/>
      <c r="CL41" s="35"/>
      <c r="CM41" s="35"/>
      <c r="CN41" s="35"/>
      <c r="CO41" s="35"/>
      <c r="CP41" s="35"/>
      <c r="CR41" s="27" t="str">
        <f>$H$4</f>
        <v>2020-2035</v>
      </c>
      <c r="CS41" s="35"/>
      <c r="CT41" s="35"/>
    </row>
    <row r="42" spans="1:98" ht="12.75" customHeight="1" x14ac:dyDescent="0.2">
      <c r="H42" s="15" t="str">
        <f t="shared" ref="H42:J43" si="86">H5</f>
        <v>Net</v>
      </c>
      <c r="I42" s="15" t="str">
        <f t="shared" si="86"/>
        <v>Replacement</v>
      </c>
      <c r="J42" s="15" t="str">
        <f t="shared" si="86"/>
        <v>Total</v>
      </c>
      <c r="S42" s="15" t="str">
        <f t="shared" ref="S42:U43" si="87">S5</f>
        <v>Net</v>
      </c>
      <c r="T42" s="15" t="str">
        <f t="shared" si="87"/>
        <v>Replacement</v>
      </c>
      <c r="U42" s="15" t="str">
        <f t="shared" si="87"/>
        <v>Total</v>
      </c>
      <c r="AD42" s="15" t="str">
        <f t="shared" ref="AD42:AF43" si="88">AD5</f>
        <v>Net</v>
      </c>
      <c r="AE42" s="15" t="str">
        <f t="shared" si="88"/>
        <v>Replacement</v>
      </c>
      <c r="AF42" s="15" t="str">
        <f t="shared" si="88"/>
        <v>Total</v>
      </c>
      <c r="AO42" s="15" t="str">
        <f t="shared" ref="AO42:AQ43" si="89">AO5</f>
        <v>Net</v>
      </c>
      <c r="AP42" s="15" t="str">
        <f t="shared" si="89"/>
        <v>Replacement</v>
      </c>
      <c r="AQ42" s="15" t="str">
        <f t="shared" si="89"/>
        <v>Total</v>
      </c>
      <c r="AZ42" s="15" t="str">
        <f t="shared" ref="AZ42:BB43" si="90">AZ5</f>
        <v>Net</v>
      </c>
      <c r="BA42" s="15" t="str">
        <f t="shared" si="90"/>
        <v>Replacement</v>
      </c>
      <c r="BB42" s="15" t="str">
        <f t="shared" si="90"/>
        <v>Total</v>
      </c>
      <c r="BK42" s="15" t="str">
        <f t="shared" ref="BK42:BM43" si="91">BK5</f>
        <v>Net</v>
      </c>
      <c r="BL42" s="15" t="str">
        <f t="shared" si="91"/>
        <v>Replacement</v>
      </c>
      <c r="BM42" s="15" t="str">
        <f t="shared" si="91"/>
        <v>Total</v>
      </c>
      <c r="BV42" s="15" t="str">
        <f t="shared" ref="BV42:BX43" si="92">BV5</f>
        <v>Net</v>
      </c>
      <c r="BW42" s="15" t="str">
        <f t="shared" si="92"/>
        <v>Replacement</v>
      </c>
      <c r="BX42" s="15" t="str">
        <f t="shared" si="92"/>
        <v>Total</v>
      </c>
      <c r="CG42" s="15" t="str">
        <f t="shared" ref="CG42:CI43" si="93">CG5</f>
        <v>Net</v>
      </c>
      <c r="CH42" s="15" t="str">
        <f t="shared" si="93"/>
        <v>Replacement</v>
      </c>
      <c r="CI42" s="15" t="str">
        <f t="shared" si="93"/>
        <v>Total</v>
      </c>
      <c r="CR42" s="15" t="str">
        <f t="shared" ref="CR42:CT43" si="94">CR5</f>
        <v>Net</v>
      </c>
      <c r="CS42" s="15" t="str">
        <f t="shared" si="94"/>
        <v>Replacement</v>
      </c>
      <c r="CT42" s="15" t="str">
        <f t="shared" si="94"/>
        <v>Total</v>
      </c>
    </row>
    <row r="43" spans="1:98" ht="12.75" customHeight="1" x14ac:dyDescent="0.2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86"/>
        <v>Change</v>
      </c>
      <c r="I43" s="62" t="str">
        <f t="shared" si="86"/>
        <v>Demand</v>
      </c>
      <c r="J43" s="62" t="str">
        <f t="shared" si="86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si="87"/>
        <v>Change</v>
      </c>
      <c r="T43" s="62" t="str">
        <f t="shared" si="87"/>
        <v>Demand</v>
      </c>
      <c r="U43" s="62" t="str">
        <f t="shared" si="8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si="88"/>
        <v>Change</v>
      </c>
      <c r="AE43" s="62" t="str">
        <f t="shared" si="88"/>
        <v>Demand</v>
      </c>
      <c r="AF43" s="62" t="str">
        <f t="shared" si="88"/>
        <v>Requirement</v>
      </c>
      <c r="AH43" s="40" t="s">
        <v>463</v>
      </c>
      <c r="AI43" s="34">
        <f>AI$6</f>
        <v>2015</v>
      </c>
      <c r="AJ43" s="34">
        <f>AJ$6</f>
        <v>2019</v>
      </c>
      <c r="AK43" s="34">
        <f>AK$6</f>
        <v>2020</v>
      </c>
      <c r="AL43" s="34">
        <f>AL$6</f>
        <v>2025</v>
      </c>
      <c r="AM43" s="34">
        <f>AM$6</f>
        <v>2035</v>
      </c>
      <c r="AO43" s="62" t="str">
        <f t="shared" si="89"/>
        <v>Change</v>
      </c>
      <c r="AP43" s="62" t="str">
        <f t="shared" si="89"/>
        <v>Demand</v>
      </c>
      <c r="AQ43" s="62" t="str">
        <f t="shared" si="89"/>
        <v>Requirement</v>
      </c>
      <c r="AS43" s="40" t="s">
        <v>463</v>
      </c>
      <c r="AT43" s="34">
        <f>AT$6</f>
        <v>2015</v>
      </c>
      <c r="AU43" s="34">
        <f>AU$6</f>
        <v>2019</v>
      </c>
      <c r="AV43" s="34">
        <f>AV$6</f>
        <v>2020</v>
      </c>
      <c r="AW43" s="34">
        <f>AW$6</f>
        <v>2025</v>
      </c>
      <c r="AX43" s="34">
        <f>AX$6</f>
        <v>2035</v>
      </c>
      <c r="AZ43" s="62" t="str">
        <f t="shared" si="90"/>
        <v>Change</v>
      </c>
      <c r="BA43" s="62" t="str">
        <f t="shared" si="90"/>
        <v>Demand</v>
      </c>
      <c r="BB43" s="62" t="str">
        <f t="shared" si="90"/>
        <v>Requirement</v>
      </c>
      <c r="BD43" s="40" t="s">
        <v>463</v>
      </c>
      <c r="BE43" s="34">
        <f>BE$6</f>
        <v>2015</v>
      </c>
      <c r="BF43" s="34">
        <f>BF$6</f>
        <v>2019</v>
      </c>
      <c r="BG43" s="34">
        <f>BG$6</f>
        <v>2020</v>
      </c>
      <c r="BH43" s="34">
        <f>BH$6</f>
        <v>2025</v>
      </c>
      <c r="BI43" s="34">
        <f>BI$6</f>
        <v>2035</v>
      </c>
      <c r="BK43" s="62" t="str">
        <f t="shared" si="91"/>
        <v>Change</v>
      </c>
      <c r="BL43" s="62" t="str">
        <f t="shared" si="91"/>
        <v>Demand</v>
      </c>
      <c r="BM43" s="62" t="str">
        <f t="shared" si="91"/>
        <v>Requirement</v>
      </c>
      <c r="BO43" s="40" t="s">
        <v>463</v>
      </c>
      <c r="BP43" s="34">
        <f>BP$6</f>
        <v>2015</v>
      </c>
      <c r="BQ43" s="34">
        <f>BQ$6</f>
        <v>2019</v>
      </c>
      <c r="BR43" s="34">
        <f>BR$6</f>
        <v>2020</v>
      </c>
      <c r="BS43" s="34">
        <f>BS$6</f>
        <v>2025</v>
      </c>
      <c r="BT43" s="34">
        <f>BT$6</f>
        <v>2035</v>
      </c>
      <c r="BV43" s="62" t="str">
        <f t="shared" si="92"/>
        <v>Change</v>
      </c>
      <c r="BW43" s="62" t="str">
        <f t="shared" si="92"/>
        <v>Demand</v>
      </c>
      <c r="BX43" s="62" t="str">
        <f t="shared" si="92"/>
        <v>Requirement</v>
      </c>
      <c r="BZ43" s="40" t="s">
        <v>463</v>
      </c>
      <c r="CA43" s="34">
        <f>CA$6</f>
        <v>2015</v>
      </c>
      <c r="CB43" s="34">
        <f>CB$6</f>
        <v>2019</v>
      </c>
      <c r="CC43" s="34">
        <f>CC$6</f>
        <v>2020</v>
      </c>
      <c r="CD43" s="34">
        <f>CD$6</f>
        <v>2025</v>
      </c>
      <c r="CE43" s="34">
        <f>CE$6</f>
        <v>2035</v>
      </c>
      <c r="CG43" s="62" t="str">
        <f t="shared" si="93"/>
        <v>Change</v>
      </c>
      <c r="CH43" s="62" t="str">
        <f t="shared" si="93"/>
        <v>Demand</v>
      </c>
      <c r="CI43" s="62" t="str">
        <f t="shared" si="93"/>
        <v>Requirement</v>
      </c>
      <c r="CK43" s="40" t="s">
        <v>463</v>
      </c>
      <c r="CL43" s="34">
        <f>CL$6</f>
        <v>2015</v>
      </c>
      <c r="CM43" s="34">
        <f>CM$6</f>
        <v>2019</v>
      </c>
      <c r="CN43" s="34">
        <f>CN$6</f>
        <v>2020</v>
      </c>
      <c r="CO43" s="34">
        <f>CO$6</f>
        <v>2025</v>
      </c>
      <c r="CP43" s="34">
        <f>CP$6</f>
        <v>2035</v>
      </c>
      <c r="CR43" s="62" t="str">
        <f t="shared" si="94"/>
        <v>Change</v>
      </c>
      <c r="CS43" s="62" t="str">
        <f t="shared" si="94"/>
        <v>Demand</v>
      </c>
      <c r="CT43" s="62" t="str">
        <f t="shared" si="94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95">A8</f>
        <v>11 Corporate managers and directors</v>
      </c>
      <c r="B45" s="17">
        <f t="shared" ref="B45:F54" si="96">B8/B$35*100</f>
        <v>8.4391307178668349</v>
      </c>
      <c r="C45" s="17">
        <f t="shared" si="96"/>
        <v>9.2558860545405377</v>
      </c>
      <c r="D45" s="17">
        <f t="shared" si="96"/>
        <v>8.9464128428291154</v>
      </c>
      <c r="E45" s="17">
        <f t="shared" si="96"/>
        <v>8.7261246290027188</v>
      </c>
      <c r="F45" s="17">
        <f t="shared" si="96"/>
        <v>9.2675124685448367</v>
      </c>
      <c r="H45" s="67">
        <f>IF(D8&gt;0,(H8/D8)*100,0)</f>
        <v>112.30831500210641</v>
      </c>
      <c r="I45" s="68">
        <f>IF(D8&gt;0,I8/D8*100,0)</f>
        <v>82.771392320992561</v>
      </c>
      <c r="J45" s="68">
        <f>IF(D8&gt;0,(J8/D8)*100,0)</f>
        <v>195.07970732309897</v>
      </c>
      <c r="L45" t="str">
        <f>A45</f>
        <v>11 Corporate managers and directors</v>
      </c>
      <c r="M45" s="17">
        <f t="shared" ref="M45:Q54" si="97">M8/M$35*100</f>
        <v>8.8942893211532219</v>
      </c>
      <c r="N45" s="17">
        <f t="shared" si="97"/>
        <v>9.6261475339301281</v>
      </c>
      <c r="O45" s="17">
        <f t="shared" si="97"/>
        <v>9.5690276560689806</v>
      </c>
      <c r="P45" s="17">
        <f t="shared" si="97"/>
        <v>8.9544830610932653</v>
      </c>
      <c r="Q45" s="17">
        <f t="shared" si="97"/>
        <v>9.2893451879290598</v>
      </c>
      <c r="S45" s="67">
        <f t="shared" ref="S45:S70" si="98">IF(O8&gt;0,(S8/O8)*100,0)</f>
        <v>98.751615364339742</v>
      </c>
      <c r="T45" s="68">
        <f t="shared" ref="T45:T70" si="99">IF(O8&gt;0,T8/O8*100,0)</f>
        <v>77.762404682086057</v>
      </c>
      <c r="U45" s="68">
        <f t="shared" ref="U45:U70" si="100">IF(O8&gt;0,(U8/O8)*100,0)</f>
        <v>176.5140200464258</v>
      </c>
      <c r="W45" t="str">
        <f>A45</f>
        <v>11 Corporate managers and directors</v>
      </c>
      <c r="X45" s="17">
        <f t="shared" ref="X45:AB54" si="101">X8/X$35*100</f>
        <v>10.467668193578358</v>
      </c>
      <c r="Y45" s="17">
        <f t="shared" si="101"/>
        <v>11.47649404311047</v>
      </c>
      <c r="Z45" s="17">
        <f t="shared" si="101"/>
        <v>11.043325830721022</v>
      </c>
      <c r="AA45" s="17">
        <f t="shared" si="101"/>
        <v>10.014107903389711</v>
      </c>
      <c r="AB45" s="17">
        <f t="shared" si="101"/>
        <v>9.8860142341302293</v>
      </c>
      <c r="AD45" s="67">
        <f t="shared" ref="AD45:AD70" si="102">IF(Z8&gt;0,(AD8/Z8)*100,0)</f>
        <v>-18.951638886401597</v>
      </c>
      <c r="AE45" s="68">
        <f t="shared" ref="AE45:AE70" si="103">IF(Z8&gt;0,AE8/Z8*100,0)</f>
        <v>50.434053680252077</v>
      </c>
      <c r="AF45" s="68">
        <f t="shared" ref="AF45:AF70" si="104">IF(Z8&gt;0,(AF8/Z8)*100,0)</f>
        <v>31.482414793850484</v>
      </c>
      <c r="AH45" t="str">
        <f>L45</f>
        <v>11 Corporate managers and directors</v>
      </c>
      <c r="AI45" s="17">
        <f t="shared" ref="AI45:AM54" si="105">AI8/AI$35*100</f>
        <v>6.8401530920909028</v>
      </c>
      <c r="AJ45" s="17">
        <f t="shared" si="105"/>
        <v>7.5743443005570272</v>
      </c>
      <c r="AK45" s="17">
        <f t="shared" si="105"/>
        <v>7.4650111083512769</v>
      </c>
      <c r="AL45" s="17">
        <f t="shared" si="105"/>
        <v>6.7541508675559427</v>
      </c>
      <c r="AM45" s="17">
        <f t="shared" si="105"/>
        <v>6.3884883121947382</v>
      </c>
      <c r="AO45" s="67">
        <f t="shared" ref="AO45:AO70" si="106">IF(AK8&gt;0,(AO8/AK8)*100,0)</f>
        <v>-20.608251830381196</v>
      </c>
      <c r="AP45" s="68">
        <f t="shared" ref="AP45:AP70" si="107">IF(AK8&gt;0,AP8/AK8*100,0)</f>
        <v>44.770973866647786</v>
      </c>
      <c r="AQ45" s="68">
        <f t="shared" ref="AQ45:AQ70" si="108">IF(AK8&gt;0,(AQ8/AK8)*100,0)</f>
        <v>24.162722036266587</v>
      </c>
      <c r="AS45" t="str">
        <f>W45</f>
        <v>11 Corporate managers and directors</v>
      </c>
      <c r="AT45" s="17">
        <f t="shared" ref="AT45:AX54" si="109">AT8/AT$35*100</f>
        <v>10.94947062541817</v>
      </c>
      <c r="AU45" s="17">
        <f t="shared" si="109"/>
        <v>11.654652657603966</v>
      </c>
      <c r="AV45" s="17">
        <f t="shared" si="109"/>
        <v>11.358094327957051</v>
      </c>
      <c r="AW45" s="17">
        <f t="shared" si="109"/>
        <v>9.7690760272633632</v>
      </c>
      <c r="AX45" s="17">
        <f t="shared" si="109"/>
        <v>8.844477468828531</v>
      </c>
      <c r="AZ45" s="67">
        <f t="shared" ref="AZ45:AZ70" si="110">IF(AV8&gt;0,(AZ8/AV8)*100,0)</f>
        <v>-23.615338591407284</v>
      </c>
      <c r="BA45" s="68">
        <f t="shared" ref="BA45:BA70" si="111">IF(AV8&gt;0,BA8/AV8*100,0)</f>
        <v>45.175030736959769</v>
      </c>
      <c r="BB45" s="68">
        <f t="shared" ref="BB45:BB70" si="112">IF(AV8&gt;0,(BB8/AV8)*100,0)</f>
        <v>21.559692145552486</v>
      </c>
      <c r="BD45" t="str">
        <f>AH45</f>
        <v>11 Corporate managers and directors</v>
      </c>
      <c r="BE45" s="17">
        <f t="shared" ref="BE45:BI54" si="113">BE8/BE$35*100</f>
        <v>6.6593646170473839</v>
      </c>
      <c r="BF45" s="17">
        <f t="shared" si="113"/>
        <v>7.170785166872232</v>
      </c>
      <c r="BG45" s="17">
        <f t="shared" si="113"/>
        <v>7.444207617202081</v>
      </c>
      <c r="BH45" s="17">
        <f t="shared" si="113"/>
        <v>6.0839463357393999</v>
      </c>
      <c r="BI45" s="17">
        <f t="shared" si="113"/>
        <v>5.6153298199676147</v>
      </c>
      <c r="BK45" s="67">
        <f t="shared" ref="BK45:BK70" si="114">IF(BG8&gt;0,(BK8/BG8)*100,0)</f>
        <v>-47.576369390351552</v>
      </c>
      <c r="BL45" s="68">
        <f t="shared" ref="BL45:BL70" si="115">IF(BG8&gt;0,BL8/BG8*100,0)</f>
        <v>28.380226357855054</v>
      </c>
      <c r="BM45" s="68">
        <f t="shared" ref="BM45:BM70" si="116">IF(BG8&gt;0,(BM8/BG8)*100,0)</f>
        <v>-19.196143032496497</v>
      </c>
      <c r="BO45" t="str">
        <f>AS45</f>
        <v>11 Corporate managers and directors</v>
      </c>
      <c r="BP45" s="17">
        <f t="shared" ref="BP45:BT54" si="117">BP8/BP$35*100</f>
        <v>5.6867950419753921</v>
      </c>
      <c r="BQ45" s="17">
        <f t="shared" si="117"/>
        <v>6.1893799999239594</v>
      </c>
      <c r="BR45" s="17">
        <f t="shared" si="117"/>
        <v>6.1060405240580051</v>
      </c>
      <c r="BS45" s="17">
        <f t="shared" si="117"/>
        <v>5.0124839280961346</v>
      </c>
      <c r="BT45" s="17">
        <f t="shared" si="117"/>
        <v>3.3967462028670394</v>
      </c>
      <c r="BV45" s="67">
        <f t="shared" ref="BV45:BV70" si="118">IF(BR8&gt;0,(BV8/BR8)*100,0)</f>
        <v>-63.710490563119833</v>
      </c>
      <c r="BW45" s="68">
        <f t="shared" ref="BW45:BW70" si="119">IF(BR8&gt;0,BW8/BR8*100,0)</f>
        <v>25.080875850988924</v>
      </c>
      <c r="BX45" s="68">
        <f t="shared" ref="BX45:BX70" si="120">IF(BR8&gt;0,(BX8/BR8)*100,0)</f>
        <v>-38.629614712130916</v>
      </c>
      <c r="BZ45" t="str">
        <f>BD45</f>
        <v>11 Corporate managers and directors</v>
      </c>
      <c r="CA45" s="17">
        <f t="shared" ref="CA45:CE54" si="121">CA8/CA$35*100</f>
        <v>5.5597446718999866</v>
      </c>
      <c r="CB45" s="17">
        <f t="shared" si="121"/>
        <v>6.3188511916200367</v>
      </c>
      <c r="CC45" s="17">
        <f t="shared" si="121"/>
        <v>6.6048229676790235</v>
      </c>
      <c r="CD45" s="17">
        <f t="shared" si="121"/>
        <v>6.6010244134485845</v>
      </c>
      <c r="CE45" s="17">
        <f t="shared" si="121"/>
        <v>6.3257378347256807</v>
      </c>
      <c r="CG45" s="67">
        <f t="shared" ref="CG45:CG70" si="122">IF(CC8&gt;0,(CG8/CC8)*100,0)</f>
        <v>-47.818772002391242</v>
      </c>
      <c r="CH45" s="68">
        <f t="shared" ref="CH45:CH70" si="123">IF(CC8&gt;0,CH8/CC8*100,0)</f>
        <v>28.738588731030806</v>
      </c>
      <c r="CI45" s="68">
        <f t="shared" ref="CI45:CI70" si="124">IF(CC8&gt;0,(CI8/CC8)*100,0)</f>
        <v>-19.080183271360436</v>
      </c>
      <c r="CK45" t="str">
        <f>BO45</f>
        <v>11 Corporate managers and directors</v>
      </c>
      <c r="CL45" s="17">
        <f t="shared" ref="CL45:CP54" si="125">CL8/CL$35*100</f>
        <v>2.6050414866331919</v>
      </c>
      <c r="CM45" s="17">
        <f t="shared" si="125"/>
        <v>3.0981449027620722</v>
      </c>
      <c r="CN45" s="17">
        <f t="shared" si="125"/>
        <v>3.2991582327760298</v>
      </c>
      <c r="CO45" s="17">
        <f t="shared" si="125"/>
        <v>3.1266704636463949</v>
      </c>
      <c r="CP45" s="17">
        <f t="shared" si="125"/>
        <v>4.6801328801485198</v>
      </c>
      <c r="CR45" s="67">
        <f t="shared" ref="CR45:CR70" si="126">IF(CN8&gt;0,(CR8/CN8)*100,0)</f>
        <v>-40.559407913684154</v>
      </c>
      <c r="CS45" s="68">
        <f t="shared" ref="CS45:CS70" si="127">IF(CN8&gt;0,CS8/CN8*100,0)</f>
        <v>22.070040069059509</v>
      </c>
      <c r="CT45" s="68">
        <f t="shared" ref="CT45:CT70" si="128">IF(CN8&gt;0,(CT8/CN8)*100,0)</f>
        <v>-18.489367844624645</v>
      </c>
    </row>
    <row r="46" spans="1:98" x14ac:dyDescent="0.2">
      <c r="A46" t="str">
        <f t="shared" si="95"/>
        <v>12 Other managers and proprietors</v>
      </c>
      <c r="B46" s="17">
        <f t="shared" si="96"/>
        <v>2.9769797988485265</v>
      </c>
      <c r="C46" s="17">
        <f t="shared" si="96"/>
        <v>3.0510460525682528</v>
      </c>
      <c r="D46" s="17">
        <f t="shared" si="96"/>
        <v>2.8317783531684091</v>
      </c>
      <c r="E46" s="17">
        <f t="shared" si="96"/>
        <v>3.8641201359015867</v>
      </c>
      <c r="F46" s="17">
        <f t="shared" si="96"/>
        <v>4.6791852500294056</v>
      </c>
      <c r="H46" s="67">
        <f t="shared" ref="H46:H70" si="129">IF(D9&gt;0,(H9/D9)*100,0)</f>
        <v>238.65987336093619</v>
      </c>
      <c r="I46" s="68">
        <f t="shared" ref="I46:I70" si="130">IF(D9&gt;0,I9/D9*100,0)</f>
        <v>133.01766360675165</v>
      </c>
      <c r="J46" s="68">
        <f t="shared" ref="J46:J70" si="131">IF(D9&gt;0,(J9/D9)*100,0)</f>
        <v>371.67753696768784</v>
      </c>
      <c r="L46" t="str">
        <f t="shared" ref="L46:L69" si="132">A46</f>
        <v>12 Other managers and proprietors</v>
      </c>
      <c r="M46" s="17">
        <f t="shared" si="97"/>
        <v>3.2788017067325628</v>
      </c>
      <c r="N46" s="17">
        <f t="shared" si="97"/>
        <v>3.256213416611748</v>
      </c>
      <c r="O46" s="17">
        <f t="shared" si="97"/>
        <v>3.2011895243809332</v>
      </c>
      <c r="P46" s="17">
        <f t="shared" si="97"/>
        <v>3.991179480299885</v>
      </c>
      <c r="Q46" s="17">
        <f t="shared" si="97"/>
        <v>4.4487679994453213</v>
      </c>
      <c r="S46" s="67">
        <f t="shared" si="98"/>
        <v>184.52586124622005</v>
      </c>
      <c r="T46" s="68">
        <f t="shared" si="99"/>
        <v>115.85479381242085</v>
      </c>
      <c r="U46" s="68">
        <f t="shared" si="100"/>
        <v>300.38065505864085</v>
      </c>
      <c r="W46" t="str">
        <f t="shared" ref="W46:W69" si="133">A46</f>
        <v>12 Other managers and proprietors</v>
      </c>
      <c r="X46" s="17">
        <f t="shared" si="101"/>
        <v>3.7023095341953631</v>
      </c>
      <c r="Y46" s="17">
        <f t="shared" si="101"/>
        <v>3.6695584782605573</v>
      </c>
      <c r="Z46" s="17">
        <f t="shared" si="101"/>
        <v>3.5814380659440292</v>
      </c>
      <c r="AA46" s="17">
        <f t="shared" si="101"/>
        <v>4.4217317138573353</v>
      </c>
      <c r="AB46" s="17">
        <f t="shared" si="101"/>
        <v>4.8340453336572518</v>
      </c>
      <c r="AD46" s="67">
        <f t="shared" si="102"/>
        <v>22.201395565931257</v>
      </c>
      <c r="AE46" s="68">
        <f t="shared" si="103"/>
        <v>75.518703774901326</v>
      </c>
      <c r="AF46" s="68">
        <f t="shared" si="104"/>
        <v>97.72009934083259</v>
      </c>
      <c r="AH46" t="str">
        <f t="shared" ref="AH46:AH69" si="134">L46</f>
        <v>12 Other managers and proprietors</v>
      </c>
      <c r="AI46" s="17">
        <f t="shared" si="105"/>
        <v>3.2818970891912507</v>
      </c>
      <c r="AJ46" s="17">
        <f t="shared" si="105"/>
        <v>3.6009715767163524</v>
      </c>
      <c r="AK46" s="17">
        <f t="shared" si="105"/>
        <v>3.5498021465308969</v>
      </c>
      <c r="AL46" s="17">
        <f t="shared" si="105"/>
        <v>4.2257510883853788</v>
      </c>
      <c r="AM46" s="17">
        <f t="shared" si="105"/>
        <v>4.286280614204296</v>
      </c>
      <c r="AO46" s="67">
        <f t="shared" si="106"/>
        <v>12.017060283315143</v>
      </c>
      <c r="AP46" s="68">
        <f t="shared" si="107"/>
        <v>70.205619681800187</v>
      </c>
      <c r="AQ46" s="68">
        <f t="shared" si="108"/>
        <v>82.222679965115347</v>
      </c>
      <c r="AS46" t="str">
        <f t="shared" ref="AS46:AS69" si="135">W46</f>
        <v>12 Other managers and proprietors</v>
      </c>
      <c r="AT46" s="17">
        <f t="shared" si="109"/>
        <v>4.8600466563013232</v>
      </c>
      <c r="AU46" s="17">
        <f t="shared" si="109"/>
        <v>4.9051656766256713</v>
      </c>
      <c r="AV46" s="17">
        <f t="shared" si="109"/>
        <v>4.7649157926938086</v>
      </c>
      <c r="AW46" s="17">
        <f t="shared" si="109"/>
        <v>5.7467628913024846</v>
      </c>
      <c r="AX46" s="17">
        <f t="shared" si="109"/>
        <v>5.577119148832721</v>
      </c>
      <c r="AZ46" s="67">
        <f t="shared" si="110"/>
        <v>14.813813430147613</v>
      </c>
      <c r="BA46" s="68">
        <f t="shared" si="111"/>
        <v>71.158795496776179</v>
      </c>
      <c r="BB46" s="68">
        <f t="shared" si="112"/>
        <v>85.972608926923783</v>
      </c>
      <c r="BD46" t="str">
        <f t="shared" ref="BD46:BD69" si="136">AH46</f>
        <v>12 Other managers and proprietors</v>
      </c>
      <c r="BE46" s="17">
        <f t="shared" si="113"/>
        <v>3.0906628726611483</v>
      </c>
      <c r="BF46" s="17">
        <f t="shared" si="113"/>
        <v>2.8992947354880916</v>
      </c>
      <c r="BG46" s="17">
        <f t="shared" si="113"/>
        <v>2.9630528178379785</v>
      </c>
      <c r="BH46" s="17">
        <f t="shared" si="113"/>
        <v>3.1890055608107968</v>
      </c>
      <c r="BI46" s="17">
        <f t="shared" si="113"/>
        <v>2.9505171594872275</v>
      </c>
      <c r="BK46" s="67">
        <f t="shared" si="114"/>
        <v>-30.796341622993946</v>
      </c>
      <c r="BL46" s="68">
        <f t="shared" si="115"/>
        <v>39.320117711249694</v>
      </c>
      <c r="BM46" s="68">
        <f t="shared" si="116"/>
        <v>8.5237760882557492</v>
      </c>
      <c r="BO46" t="str">
        <f t="shared" ref="BO46:BO69" si="137">AS46</f>
        <v>12 Other managers and proprietors</v>
      </c>
      <c r="BP46" s="17">
        <f t="shared" si="117"/>
        <v>2.9025760213637475</v>
      </c>
      <c r="BQ46" s="17">
        <f t="shared" si="117"/>
        <v>2.9507939073866996</v>
      </c>
      <c r="BR46" s="17">
        <f t="shared" si="117"/>
        <v>2.890357611748926</v>
      </c>
      <c r="BS46" s="17">
        <f t="shared" si="117"/>
        <v>3.4506218483554272</v>
      </c>
      <c r="BT46" s="17">
        <f t="shared" si="117"/>
        <v>3.0710820108450863</v>
      </c>
      <c r="BV46" s="67">
        <f t="shared" si="118"/>
        <v>-30.686550035160494</v>
      </c>
      <c r="BW46" s="68">
        <f t="shared" si="119"/>
        <v>44.293033765711179</v>
      </c>
      <c r="BX46" s="68">
        <f t="shared" si="120"/>
        <v>13.606483730550684</v>
      </c>
      <c r="BZ46" t="str">
        <f t="shared" ref="BZ46:BZ69" si="138">BD46</f>
        <v>12 Other managers and proprietors</v>
      </c>
      <c r="CA46" s="17">
        <f t="shared" si="121"/>
        <v>3.0433887109067186</v>
      </c>
      <c r="CB46" s="17">
        <f t="shared" si="121"/>
        <v>3.2202441833374071</v>
      </c>
      <c r="CC46" s="17">
        <f t="shared" si="121"/>
        <v>3.1027815720111507</v>
      </c>
      <c r="CD46" s="17">
        <f t="shared" si="121"/>
        <v>3.7161020453185651</v>
      </c>
      <c r="CE46" s="17">
        <f t="shared" si="121"/>
        <v>3.5095933905513812</v>
      </c>
      <c r="CG46" s="67">
        <f t="shared" si="122"/>
        <v>-38.373161611657444</v>
      </c>
      <c r="CH46" s="68">
        <f t="shared" si="123"/>
        <v>35.974234100378681</v>
      </c>
      <c r="CI46" s="68">
        <f t="shared" si="124"/>
        <v>-2.3989275112787691</v>
      </c>
      <c r="CK46" t="str">
        <f t="shared" ref="CK46:CK69" si="139">BO46</f>
        <v>12 Other managers and proprietors</v>
      </c>
      <c r="CL46" s="17">
        <f t="shared" si="125"/>
        <v>2.6806471317787937</v>
      </c>
      <c r="CM46" s="17">
        <f t="shared" si="125"/>
        <v>2.732437699532356</v>
      </c>
      <c r="CN46" s="17">
        <f t="shared" si="125"/>
        <v>2.7637021138235518</v>
      </c>
      <c r="CO46" s="17">
        <f t="shared" si="125"/>
        <v>3.7175597668770939</v>
      </c>
      <c r="CP46" s="17">
        <f t="shared" si="125"/>
        <v>4.0295443341952115</v>
      </c>
      <c r="CR46" s="67">
        <f t="shared" si="126"/>
        <v>-38.906810919754051</v>
      </c>
      <c r="CS46" s="68">
        <f t="shared" si="127"/>
        <v>29.902469854592383</v>
      </c>
      <c r="CT46" s="68">
        <f t="shared" si="128"/>
        <v>-9.0043410651616629</v>
      </c>
    </row>
    <row r="47" spans="1:98" x14ac:dyDescent="0.2">
      <c r="A47" t="str">
        <f t="shared" si="95"/>
        <v>21 Science, research, engineering and technology professionals</v>
      </c>
      <c r="B47" s="17">
        <f t="shared" si="96"/>
        <v>16.539298963809177</v>
      </c>
      <c r="C47" s="17">
        <f t="shared" si="96"/>
        <v>16.902373602200456</v>
      </c>
      <c r="D47" s="17">
        <f t="shared" si="96"/>
        <v>16.551597049147908</v>
      </c>
      <c r="E47" s="17">
        <f t="shared" si="96"/>
        <v>16.307329184581938</v>
      </c>
      <c r="F47" s="17">
        <f t="shared" si="96"/>
        <v>15.123845871633318</v>
      </c>
      <c r="H47" s="67">
        <f t="shared" si="129"/>
        <v>87.272969874846055</v>
      </c>
      <c r="I47" s="68">
        <f t="shared" si="130"/>
        <v>57.275011324721348</v>
      </c>
      <c r="J47" s="68">
        <f t="shared" si="131"/>
        <v>144.5479811995674</v>
      </c>
      <c r="L47" t="str">
        <f t="shared" si="132"/>
        <v>21 Science, research, engineering and technology professionals</v>
      </c>
      <c r="M47" s="17">
        <f t="shared" si="97"/>
        <v>9.6492343785509274</v>
      </c>
      <c r="N47" s="17">
        <f t="shared" si="97"/>
        <v>10.505954165709324</v>
      </c>
      <c r="O47" s="17">
        <f t="shared" si="97"/>
        <v>10.50294447188956</v>
      </c>
      <c r="P47" s="17">
        <f t="shared" si="97"/>
        <v>10.866936168463925</v>
      </c>
      <c r="Q47" s="17">
        <f t="shared" si="97"/>
        <v>10.611925376649513</v>
      </c>
      <c r="S47" s="67">
        <f t="shared" si="98"/>
        <v>106.8599871775951</v>
      </c>
      <c r="T47" s="68">
        <f t="shared" si="99"/>
        <v>62.827013205437389</v>
      </c>
      <c r="U47" s="68">
        <f t="shared" si="100"/>
        <v>169.68700038303251</v>
      </c>
      <c r="W47" t="str">
        <f t="shared" si="133"/>
        <v>21 Science, research, engineering and technology professionals</v>
      </c>
      <c r="X47" s="17">
        <f t="shared" si="101"/>
        <v>9.1501232008497855</v>
      </c>
      <c r="Y47" s="17">
        <f t="shared" si="101"/>
        <v>9.346907355161699</v>
      </c>
      <c r="Z47" s="17">
        <f t="shared" si="101"/>
        <v>9.2587798857967734</v>
      </c>
      <c r="AA47" s="17">
        <f t="shared" si="101"/>
        <v>8.8489803277277215</v>
      </c>
      <c r="AB47" s="17">
        <f t="shared" si="101"/>
        <v>7.7509185151008655</v>
      </c>
      <c r="AD47" s="67">
        <f t="shared" si="102"/>
        <v>-24.208185621808418</v>
      </c>
      <c r="AE47" s="68">
        <f t="shared" si="103"/>
        <v>36.688030496283261</v>
      </c>
      <c r="AF47" s="68">
        <f t="shared" si="104"/>
        <v>12.479844874474839</v>
      </c>
      <c r="AH47" t="str">
        <f t="shared" si="134"/>
        <v>21 Science, research, engineering and technology professionals</v>
      </c>
      <c r="AI47" s="17">
        <f t="shared" si="105"/>
        <v>3.9197978710782686</v>
      </c>
      <c r="AJ47" s="17">
        <f t="shared" si="105"/>
        <v>4.3652562280530365</v>
      </c>
      <c r="AK47" s="17">
        <f t="shared" si="105"/>
        <v>4.4615328918975452</v>
      </c>
      <c r="AL47" s="17">
        <f t="shared" si="105"/>
        <v>4.6607263073207337</v>
      </c>
      <c r="AM47" s="17">
        <f t="shared" si="105"/>
        <v>4.3358241630533891</v>
      </c>
      <c r="AO47" s="67">
        <f t="shared" si="106"/>
        <v>-9.843865879588618</v>
      </c>
      <c r="AP47" s="68">
        <f t="shared" si="107"/>
        <v>38.870825360380202</v>
      </c>
      <c r="AQ47" s="68">
        <f t="shared" si="108"/>
        <v>29.026959480791582</v>
      </c>
      <c r="AS47" t="str">
        <f t="shared" si="135"/>
        <v>21 Science, research, engineering and technology professionals</v>
      </c>
      <c r="AT47" s="17">
        <f t="shared" si="109"/>
        <v>7.9129202510613412</v>
      </c>
      <c r="AU47" s="17">
        <f t="shared" si="109"/>
        <v>8.2325237649195362</v>
      </c>
      <c r="AV47" s="17">
        <f t="shared" si="109"/>
        <v>8.1145593657614441</v>
      </c>
      <c r="AW47" s="17">
        <f t="shared" si="109"/>
        <v>7.3667858005450793</v>
      </c>
      <c r="AX47" s="17">
        <f t="shared" si="109"/>
        <v>6.154482591066917</v>
      </c>
      <c r="AZ47" s="67">
        <f t="shared" si="110"/>
        <v>-25.601178753724895</v>
      </c>
      <c r="BA47" s="68">
        <f t="shared" si="111"/>
        <v>34.954494382374286</v>
      </c>
      <c r="BB47" s="68">
        <f t="shared" si="112"/>
        <v>9.3533156286493888</v>
      </c>
      <c r="BD47" t="str">
        <f t="shared" si="136"/>
        <v>21 Science, research, engineering and technology professionals</v>
      </c>
      <c r="BE47" s="17">
        <f t="shared" si="113"/>
        <v>3.1009307758501659</v>
      </c>
      <c r="BF47" s="17">
        <f t="shared" si="113"/>
        <v>2.9891977354503934</v>
      </c>
      <c r="BG47" s="17">
        <f t="shared" si="113"/>
        <v>3.3936860508411124</v>
      </c>
      <c r="BH47" s="17">
        <f t="shared" si="113"/>
        <v>2.6850449969412034</v>
      </c>
      <c r="BI47" s="17">
        <f t="shared" si="113"/>
        <v>2.1592720942498422</v>
      </c>
      <c r="BK47" s="67">
        <f t="shared" si="114"/>
        <v>-55.781295907854009</v>
      </c>
      <c r="BL47" s="68">
        <f t="shared" si="115"/>
        <v>18.290239144203529</v>
      </c>
      <c r="BM47" s="68">
        <f t="shared" si="116"/>
        <v>-37.491056763650491</v>
      </c>
      <c r="BO47" t="str">
        <f t="shared" si="137"/>
        <v>21 Science, research, engineering and technology professionals</v>
      </c>
      <c r="BP47" s="17">
        <f t="shared" si="117"/>
        <v>2.6436021723930425</v>
      </c>
      <c r="BQ47" s="17">
        <f t="shared" si="117"/>
        <v>2.8548442602583042</v>
      </c>
      <c r="BR47" s="17">
        <f t="shared" si="117"/>
        <v>2.9040687401794036</v>
      </c>
      <c r="BS47" s="17">
        <f t="shared" si="117"/>
        <v>2.7202586279582164</v>
      </c>
      <c r="BT47" s="17">
        <f t="shared" si="117"/>
        <v>2.2500114817183872</v>
      </c>
      <c r="BV47" s="67">
        <f t="shared" si="118"/>
        <v>-49.45763923349957</v>
      </c>
      <c r="BW47" s="68">
        <f t="shared" si="119"/>
        <v>22.886302477371434</v>
      </c>
      <c r="BX47" s="68">
        <f t="shared" si="120"/>
        <v>-26.57133675612814</v>
      </c>
      <c r="BZ47" t="str">
        <f t="shared" si="138"/>
        <v>21 Science, research, engineering and technology professionals</v>
      </c>
      <c r="CA47" s="17">
        <f t="shared" si="121"/>
        <v>2.3511197228392788</v>
      </c>
      <c r="CB47" s="17">
        <f t="shared" si="121"/>
        <v>2.6378073015152435</v>
      </c>
      <c r="CC47" s="17">
        <f t="shared" si="121"/>
        <v>2.7049593447081524</v>
      </c>
      <c r="CD47" s="17">
        <f t="shared" si="121"/>
        <v>2.5476402694960774</v>
      </c>
      <c r="CE47" s="17">
        <f t="shared" si="121"/>
        <v>1.5728294899219217</v>
      </c>
      <c r="CG47" s="67">
        <f t="shared" si="122"/>
        <v>-68.319998816343315</v>
      </c>
      <c r="CH47" s="68">
        <f t="shared" si="123"/>
        <v>17.112797785615705</v>
      </c>
      <c r="CI47" s="68">
        <f t="shared" si="124"/>
        <v>-51.207201030727603</v>
      </c>
      <c r="CK47" t="str">
        <f t="shared" si="139"/>
        <v>21 Science, research, engineering and technology professionals</v>
      </c>
      <c r="CL47" s="17">
        <f t="shared" si="125"/>
        <v>1.3526804452123042</v>
      </c>
      <c r="CM47" s="17">
        <f t="shared" si="125"/>
        <v>1.9186269988347791</v>
      </c>
      <c r="CN47" s="17">
        <f t="shared" si="125"/>
        <v>2.1102570289044538</v>
      </c>
      <c r="CO47" s="17">
        <f t="shared" si="125"/>
        <v>2.9440664050021459</v>
      </c>
      <c r="CP47" s="17">
        <f t="shared" si="125"/>
        <v>4.8803524568636663</v>
      </c>
      <c r="CR47" s="67">
        <f t="shared" si="126"/>
        <v>-3.0955054719311823</v>
      </c>
      <c r="CS47" s="68">
        <f t="shared" si="127"/>
        <v>30.965967006687194</v>
      </c>
      <c r="CT47" s="68">
        <f t="shared" si="128"/>
        <v>27.870461534756007</v>
      </c>
    </row>
    <row r="48" spans="1:98" x14ac:dyDescent="0.2">
      <c r="A48" t="str">
        <f t="shared" si="95"/>
        <v>22 Health professionals</v>
      </c>
      <c r="B48" s="17">
        <f t="shared" si="96"/>
        <v>14.004152626452942</v>
      </c>
      <c r="C48" s="17">
        <f t="shared" si="96"/>
        <v>15.49054995181435</v>
      </c>
      <c r="D48" s="17">
        <f t="shared" si="96"/>
        <v>15.753991269614371</v>
      </c>
      <c r="E48" s="17">
        <f t="shared" si="96"/>
        <v>15.790429304208295</v>
      </c>
      <c r="F48" s="17">
        <f t="shared" si="96"/>
        <v>14.846724973151373</v>
      </c>
      <c r="H48" s="67">
        <f t="shared" si="129"/>
        <v>93.149159647503154</v>
      </c>
      <c r="I48" s="68">
        <f t="shared" si="130"/>
        <v>75.008327879086494</v>
      </c>
      <c r="J48" s="68">
        <f t="shared" si="131"/>
        <v>168.15748752658965</v>
      </c>
      <c r="L48" t="str">
        <f t="shared" si="132"/>
        <v>22 Health professionals</v>
      </c>
      <c r="M48" s="17">
        <f t="shared" si="97"/>
        <v>5.9875972920259262</v>
      </c>
      <c r="N48" s="17">
        <f t="shared" si="97"/>
        <v>6.2596585048881268</v>
      </c>
      <c r="O48" s="17">
        <f t="shared" si="97"/>
        <v>6.0921171831955929</v>
      </c>
      <c r="P48" s="17">
        <f t="shared" si="97"/>
        <v>5.8661088413294715</v>
      </c>
      <c r="Q48" s="17">
        <f t="shared" si="97"/>
        <v>5.2796176937468964</v>
      </c>
      <c r="S48" s="67">
        <f t="shared" si="98"/>
        <v>77.430224746417693</v>
      </c>
      <c r="T48" s="68">
        <f t="shared" si="99"/>
        <v>77.376997367338035</v>
      </c>
      <c r="U48" s="68">
        <f t="shared" si="100"/>
        <v>154.80722211375576</v>
      </c>
      <c r="W48" t="str">
        <f t="shared" si="133"/>
        <v>22 Health professionals</v>
      </c>
      <c r="X48" s="17">
        <f t="shared" si="101"/>
        <v>6.114003255011542</v>
      </c>
      <c r="Y48" s="17">
        <f t="shared" si="101"/>
        <v>6.5703093483987187</v>
      </c>
      <c r="Z48" s="17">
        <f t="shared" si="101"/>
        <v>6.2676993492297743</v>
      </c>
      <c r="AA48" s="17">
        <f t="shared" si="101"/>
        <v>6.1871030783292227</v>
      </c>
      <c r="AB48" s="17">
        <f t="shared" si="101"/>
        <v>5.3985669778572687</v>
      </c>
      <c r="AD48" s="67">
        <f t="shared" si="102"/>
        <v>-22.018204582490235</v>
      </c>
      <c r="AE48" s="68">
        <f t="shared" si="103"/>
        <v>52.132374697405083</v>
      </c>
      <c r="AF48" s="68">
        <f t="shared" si="104"/>
        <v>30.114170114914845</v>
      </c>
      <c r="AH48" t="str">
        <f t="shared" si="134"/>
        <v>22 Health professionals</v>
      </c>
      <c r="AI48" s="17">
        <f t="shared" si="105"/>
        <v>12.968392139260118</v>
      </c>
      <c r="AJ48" s="17">
        <f t="shared" si="105"/>
        <v>10.262545457090527</v>
      </c>
      <c r="AK48" s="17">
        <f t="shared" si="105"/>
        <v>8.6975290192113501</v>
      </c>
      <c r="AL48" s="17">
        <f t="shared" si="105"/>
        <v>5.3354575151832213</v>
      </c>
      <c r="AM48" s="17">
        <f t="shared" si="105"/>
        <v>2.067789805630742</v>
      </c>
      <c r="AO48" s="67">
        <f t="shared" si="106"/>
        <v>-77.944433244684319</v>
      </c>
      <c r="AP48" s="68">
        <f t="shared" si="107"/>
        <v>19.527158510491294</v>
      </c>
      <c r="AQ48" s="68">
        <f t="shared" si="108"/>
        <v>-58.417274734193029</v>
      </c>
      <c r="AS48" t="str">
        <f t="shared" si="135"/>
        <v>22 Health professionals</v>
      </c>
      <c r="AT48" s="17">
        <f t="shared" si="109"/>
        <v>1.9909659996311144</v>
      </c>
      <c r="AU48" s="17">
        <f t="shared" si="109"/>
        <v>2.0599068686085769</v>
      </c>
      <c r="AV48" s="17">
        <f t="shared" si="109"/>
        <v>2.1376301972060983</v>
      </c>
      <c r="AW48" s="17">
        <f t="shared" si="109"/>
        <v>2.0904672388652208</v>
      </c>
      <c r="AX48" s="17">
        <f t="shared" si="109"/>
        <v>1.9117244043600545</v>
      </c>
      <c r="AZ48" s="67">
        <f t="shared" si="110"/>
        <v>-12.273226363502257</v>
      </c>
      <c r="BA48" s="68">
        <f t="shared" si="111"/>
        <v>48.128000917173239</v>
      </c>
      <c r="BB48" s="68">
        <f t="shared" si="112"/>
        <v>35.854774553670978</v>
      </c>
      <c r="BD48" t="str">
        <f t="shared" si="136"/>
        <v>22 Health professionals</v>
      </c>
      <c r="BE48" s="17">
        <f t="shared" si="113"/>
        <v>2.4186340358368583</v>
      </c>
      <c r="BF48" s="17">
        <f t="shared" si="113"/>
        <v>3.065533731962379</v>
      </c>
      <c r="BG48" s="17">
        <f t="shared" si="113"/>
        <v>2.6919631261928467</v>
      </c>
      <c r="BH48" s="17">
        <f t="shared" si="113"/>
        <v>3.2961920886047018</v>
      </c>
      <c r="BI48" s="17">
        <f t="shared" si="113"/>
        <v>3.5508531710412954</v>
      </c>
      <c r="BK48" s="67">
        <f t="shared" si="114"/>
        <v>-8.3285903557059413</v>
      </c>
      <c r="BL48" s="68">
        <f t="shared" si="115"/>
        <v>52.680164501067097</v>
      </c>
      <c r="BM48" s="68">
        <f t="shared" si="116"/>
        <v>44.351574145361155</v>
      </c>
      <c r="BO48" t="str">
        <f t="shared" si="137"/>
        <v>22 Health professionals</v>
      </c>
      <c r="BP48" s="17">
        <f t="shared" si="117"/>
        <v>1.6738026985782171</v>
      </c>
      <c r="BQ48" s="17">
        <f t="shared" si="117"/>
        <v>1.8304845714618225</v>
      </c>
      <c r="BR48" s="17">
        <f t="shared" si="117"/>
        <v>1.8694901087033051</v>
      </c>
      <c r="BS48" s="17">
        <f t="shared" si="117"/>
        <v>1.933117379318805</v>
      </c>
      <c r="BT48" s="17">
        <f t="shared" si="117"/>
        <v>1.716672624528826</v>
      </c>
      <c r="BV48" s="67">
        <f t="shared" si="118"/>
        <v>-40.097907835427968</v>
      </c>
      <c r="BW48" s="68">
        <f t="shared" si="119"/>
        <v>35.939749323880527</v>
      </c>
      <c r="BX48" s="68">
        <f t="shared" si="120"/>
        <v>-4.1581585115474384</v>
      </c>
      <c r="BZ48" t="str">
        <f t="shared" si="138"/>
        <v>22 Health professionals</v>
      </c>
      <c r="CA48" s="17">
        <f t="shared" si="121"/>
        <v>1.4547609545674693</v>
      </c>
      <c r="CB48" s="17">
        <f t="shared" si="121"/>
        <v>1.677936487431976</v>
      </c>
      <c r="CC48" s="17">
        <f t="shared" si="121"/>
        <v>1.6198836580656475</v>
      </c>
      <c r="CD48" s="17">
        <f t="shared" si="121"/>
        <v>1.8074874469126196</v>
      </c>
      <c r="CE48" s="17">
        <f t="shared" si="121"/>
        <v>1.5743676883362459</v>
      </c>
      <c r="CG48" s="67">
        <f t="shared" si="122"/>
        <v>-47.047480162464481</v>
      </c>
      <c r="CH48" s="68">
        <f t="shared" si="123"/>
        <v>31.541893605944672</v>
      </c>
      <c r="CI48" s="68">
        <f t="shared" si="124"/>
        <v>-15.505586556519809</v>
      </c>
      <c r="CK48" t="str">
        <f t="shared" si="139"/>
        <v>22 Health professionals</v>
      </c>
      <c r="CL48" s="17">
        <f t="shared" si="125"/>
        <v>0.43382456975047839</v>
      </c>
      <c r="CM48" s="17">
        <f t="shared" si="125"/>
        <v>0.61419314001851588</v>
      </c>
      <c r="CN48" s="17">
        <f t="shared" si="125"/>
        <v>0.68500239576037902</v>
      </c>
      <c r="CO48" s="17">
        <f t="shared" si="125"/>
        <v>1.1327861306147142</v>
      </c>
      <c r="CP48" s="17">
        <f t="shared" si="125"/>
        <v>2.3297012404996855</v>
      </c>
      <c r="CR48" s="67">
        <f t="shared" si="126"/>
        <v>42.507010263724169</v>
      </c>
      <c r="CS48" s="68">
        <f t="shared" si="127"/>
        <v>47.7562709047087</v>
      </c>
      <c r="CT48" s="68">
        <f t="shared" si="128"/>
        <v>90.263281168432869</v>
      </c>
    </row>
    <row r="49" spans="1:98" x14ac:dyDescent="0.2">
      <c r="A49" t="str">
        <f t="shared" si="95"/>
        <v>23 Teaching and other educational professionals</v>
      </c>
      <c r="B49" s="17">
        <f t="shared" si="96"/>
        <v>27.117584479502149</v>
      </c>
      <c r="C49" s="17">
        <f t="shared" si="96"/>
        <v>23.022995641067855</v>
      </c>
      <c r="D49" s="17">
        <f t="shared" si="96"/>
        <v>23.130123675512571</v>
      </c>
      <c r="E49" s="17">
        <f t="shared" si="96"/>
        <v>19.602769011390468</v>
      </c>
      <c r="F49" s="17">
        <f t="shared" si="96"/>
        <v>16.366719505717587</v>
      </c>
      <c r="H49" s="67">
        <f t="shared" si="129"/>
        <v>45.022852930525033</v>
      </c>
      <c r="I49" s="68">
        <f t="shared" si="130"/>
        <v>62.439483893897261</v>
      </c>
      <c r="J49" s="68">
        <f t="shared" si="131"/>
        <v>107.46233682442229</v>
      </c>
      <c r="L49" t="str">
        <f t="shared" si="132"/>
        <v>23 Teaching and other educational professionals</v>
      </c>
      <c r="M49" s="17">
        <f t="shared" si="97"/>
        <v>19.650819221211552</v>
      </c>
      <c r="N49" s="17">
        <f t="shared" si="97"/>
        <v>16.818525711409038</v>
      </c>
      <c r="O49" s="17">
        <f t="shared" si="97"/>
        <v>16.452436008611802</v>
      </c>
      <c r="P49" s="17">
        <f t="shared" si="97"/>
        <v>13.63695357627252</v>
      </c>
      <c r="Q49" s="17">
        <f t="shared" si="97"/>
        <v>10.684954262418362</v>
      </c>
      <c r="S49" s="67">
        <f t="shared" si="98"/>
        <v>32.964539155406626</v>
      </c>
      <c r="T49" s="68">
        <f t="shared" si="99"/>
        <v>62.357163817414751</v>
      </c>
      <c r="U49" s="68">
        <f t="shared" si="100"/>
        <v>95.32170297282137</v>
      </c>
      <c r="W49" t="str">
        <f t="shared" si="133"/>
        <v>23 Teaching and other educational professionals</v>
      </c>
      <c r="X49" s="17">
        <f t="shared" si="101"/>
        <v>6.6252054621587693</v>
      </c>
      <c r="Y49" s="17">
        <f t="shared" si="101"/>
        <v>5.1168484949396644</v>
      </c>
      <c r="Z49" s="17">
        <f t="shared" si="101"/>
        <v>5.1666061905761884</v>
      </c>
      <c r="AA49" s="17">
        <f t="shared" si="101"/>
        <v>3.9066718974211141</v>
      </c>
      <c r="AB49" s="17">
        <f t="shared" si="101"/>
        <v>2.5836976104341183</v>
      </c>
      <c r="AD49" s="67">
        <f t="shared" si="102"/>
        <v>-54.724921122483252</v>
      </c>
      <c r="AE49" s="68">
        <f t="shared" si="103"/>
        <v>34.304882668737569</v>
      </c>
      <c r="AF49" s="68">
        <f t="shared" si="104"/>
        <v>-20.420038453745676</v>
      </c>
      <c r="AH49" t="str">
        <f t="shared" si="134"/>
        <v>23 Teaching and other educational professionals</v>
      </c>
      <c r="AI49" s="17">
        <f t="shared" si="105"/>
        <v>3.5871861355424381</v>
      </c>
      <c r="AJ49" s="17">
        <f t="shared" si="105"/>
        <v>2.0937538059025109</v>
      </c>
      <c r="AK49" s="17">
        <f t="shared" si="105"/>
        <v>1.9712577106328681</v>
      </c>
      <c r="AL49" s="17">
        <f t="shared" si="105"/>
        <v>1.564270537155495</v>
      </c>
      <c r="AM49" s="17">
        <f t="shared" si="105"/>
        <v>1.4827099573852167</v>
      </c>
      <c r="AO49" s="67">
        <f t="shared" si="106"/>
        <v>-30.221678596019803</v>
      </c>
      <c r="AP49" s="68">
        <f t="shared" si="107"/>
        <v>24.786188498456987</v>
      </c>
      <c r="AQ49" s="68">
        <f t="shared" si="108"/>
        <v>-5.4354900975628135</v>
      </c>
      <c r="AS49" t="str">
        <f t="shared" si="135"/>
        <v>23 Teaching and other educational professionals</v>
      </c>
      <c r="AT49" s="17">
        <f t="shared" si="109"/>
        <v>1.3486296607730723</v>
      </c>
      <c r="AU49" s="17">
        <f t="shared" si="109"/>
        <v>1.2719577155951878</v>
      </c>
      <c r="AV49" s="17">
        <f t="shared" si="109"/>
        <v>1.3855994978248156</v>
      </c>
      <c r="AW49" s="17">
        <f t="shared" si="109"/>
        <v>1.3154776818497056</v>
      </c>
      <c r="AX49" s="17">
        <f t="shared" si="109"/>
        <v>1.2535178805613099</v>
      </c>
      <c r="AZ49" s="67">
        <f t="shared" si="110"/>
        <v>-11.257376206599993</v>
      </c>
      <c r="BA49" s="68">
        <f t="shared" si="111"/>
        <v>51.035906560935814</v>
      </c>
      <c r="BB49" s="68">
        <f t="shared" si="112"/>
        <v>39.778530354335821</v>
      </c>
      <c r="BD49" t="str">
        <f t="shared" si="136"/>
        <v>23 Teaching and other educational professionals</v>
      </c>
      <c r="BE49" s="17">
        <f t="shared" si="113"/>
        <v>1.2496775754620855</v>
      </c>
      <c r="BF49" s="17">
        <f t="shared" si="113"/>
        <v>1.2259081688636562</v>
      </c>
      <c r="BG49" s="17">
        <f t="shared" si="113"/>
        <v>1.4393208738443515</v>
      </c>
      <c r="BH49" s="17">
        <f t="shared" si="113"/>
        <v>1.5845040954460672</v>
      </c>
      <c r="BI49" s="17">
        <f t="shared" si="113"/>
        <v>1.7502403672682119</v>
      </c>
      <c r="BK49" s="67">
        <f t="shared" si="114"/>
        <v>-15.489557791528879</v>
      </c>
      <c r="BL49" s="68">
        <f t="shared" si="115"/>
        <v>39.120663101521409</v>
      </c>
      <c r="BM49" s="68">
        <f t="shared" si="116"/>
        <v>23.631105309992524</v>
      </c>
      <c r="BO49" t="str">
        <f t="shared" si="137"/>
        <v>23 Teaching and other educational professionals</v>
      </c>
      <c r="BP49" s="17">
        <f t="shared" si="117"/>
        <v>0.97186904976263466</v>
      </c>
      <c r="BQ49" s="17">
        <f t="shared" si="117"/>
        <v>0.9686165154105093</v>
      </c>
      <c r="BR49" s="17">
        <f t="shared" si="117"/>
        <v>1.077152584997199</v>
      </c>
      <c r="BS49" s="17">
        <f t="shared" si="117"/>
        <v>1.2014878699690774</v>
      </c>
      <c r="BT49" s="17">
        <f t="shared" si="117"/>
        <v>1.6780927965036718</v>
      </c>
      <c r="BV49" s="67">
        <f t="shared" si="118"/>
        <v>1.6287130881234686</v>
      </c>
      <c r="BW49" s="68">
        <f t="shared" si="119"/>
        <v>42.501145480669742</v>
      </c>
      <c r="BX49" s="68">
        <f t="shared" si="120"/>
        <v>44.129858568793203</v>
      </c>
      <c r="BZ49" t="str">
        <f t="shared" si="138"/>
        <v>23 Teaching and other educational professionals</v>
      </c>
      <c r="CA49" s="17">
        <f t="shared" si="121"/>
        <v>0.9280119510468896</v>
      </c>
      <c r="CB49" s="17">
        <f t="shared" si="121"/>
        <v>0.93417126748727131</v>
      </c>
      <c r="CC49" s="17">
        <f t="shared" si="121"/>
        <v>1.0128078812361327</v>
      </c>
      <c r="CD49" s="17">
        <f t="shared" si="121"/>
        <v>1.0926743478450855</v>
      </c>
      <c r="CE49" s="17">
        <f t="shared" si="121"/>
        <v>1.5224495757759477</v>
      </c>
      <c r="CG49" s="67">
        <f t="shared" si="122"/>
        <v>-18.100710687997374</v>
      </c>
      <c r="CH49" s="68">
        <f t="shared" si="123"/>
        <v>34.642749655879385</v>
      </c>
      <c r="CI49" s="68">
        <f t="shared" si="124"/>
        <v>16.542038967882007</v>
      </c>
      <c r="CK49" t="str">
        <f t="shared" si="139"/>
        <v>23 Teaching and other educational professionals</v>
      </c>
      <c r="CL49" s="17">
        <f t="shared" si="125"/>
        <v>0.43020987527307519</v>
      </c>
      <c r="CM49" s="17">
        <f t="shared" si="125"/>
        <v>0.53891111843655082</v>
      </c>
      <c r="CN49" s="17">
        <f t="shared" si="125"/>
        <v>0.69176445890208227</v>
      </c>
      <c r="CO49" s="17">
        <f t="shared" si="125"/>
        <v>0.92933380331400151</v>
      </c>
      <c r="CP49" s="17">
        <f t="shared" si="125"/>
        <v>1.082583472305426</v>
      </c>
      <c r="CR49" s="67">
        <f t="shared" si="126"/>
        <v>-34.426066560180971</v>
      </c>
      <c r="CS49" s="68">
        <f t="shared" si="127"/>
        <v>31.274746967054572</v>
      </c>
      <c r="CT49" s="68">
        <f t="shared" si="128"/>
        <v>-3.1513195931263907</v>
      </c>
    </row>
    <row r="50" spans="1:98" x14ac:dyDescent="0.2">
      <c r="A50" t="str">
        <f t="shared" si="95"/>
        <v>24 Business, media and public service professionals</v>
      </c>
      <c r="B50" s="17">
        <f t="shared" si="96"/>
        <v>11.745331206690992</v>
      </c>
      <c r="C50" s="17">
        <f t="shared" si="96"/>
        <v>12.768936319802881</v>
      </c>
      <c r="D50" s="17">
        <f t="shared" si="96"/>
        <v>12.997405137223367</v>
      </c>
      <c r="E50" s="17">
        <f t="shared" si="96"/>
        <v>14.716583611778452</v>
      </c>
      <c r="F50" s="17">
        <f t="shared" si="96"/>
        <v>15.635410185635667</v>
      </c>
      <c r="H50" s="67">
        <f t="shared" si="129"/>
        <v>146.55021334402647</v>
      </c>
      <c r="I50" s="68">
        <f t="shared" si="130"/>
        <v>86.315752885280645</v>
      </c>
      <c r="J50" s="68">
        <f t="shared" si="131"/>
        <v>232.86596622930711</v>
      </c>
      <c r="L50" t="str">
        <f t="shared" si="132"/>
        <v>24 Business, media and public service professionals</v>
      </c>
      <c r="M50" s="17">
        <f t="shared" si="97"/>
        <v>18.771069650837077</v>
      </c>
      <c r="N50" s="17">
        <f t="shared" si="97"/>
        <v>20.152718163323414</v>
      </c>
      <c r="O50" s="17">
        <f t="shared" si="97"/>
        <v>20.020959304045071</v>
      </c>
      <c r="P50" s="17">
        <f t="shared" si="97"/>
        <v>21.004350614039854</v>
      </c>
      <c r="Q50" s="17">
        <f t="shared" si="97"/>
        <v>20.076565172340306</v>
      </c>
      <c r="S50" s="67">
        <f t="shared" si="98"/>
        <v>105.30423382750558</v>
      </c>
      <c r="T50" s="68">
        <f t="shared" si="99"/>
        <v>76.674203831830965</v>
      </c>
      <c r="U50" s="68">
        <f t="shared" si="100"/>
        <v>181.97843765933655</v>
      </c>
      <c r="W50" t="str">
        <f t="shared" si="133"/>
        <v>24 Business, media and public service professionals</v>
      </c>
      <c r="X50" s="17">
        <f t="shared" si="101"/>
        <v>16.922507725227643</v>
      </c>
      <c r="Y50" s="17">
        <f t="shared" si="101"/>
        <v>17.67239759907276</v>
      </c>
      <c r="Z50" s="17">
        <f t="shared" si="101"/>
        <v>17.643041008023726</v>
      </c>
      <c r="AA50" s="17">
        <f t="shared" si="101"/>
        <v>17.792481166941926</v>
      </c>
      <c r="AB50" s="17">
        <f t="shared" si="101"/>
        <v>15.527454964712891</v>
      </c>
      <c r="AD50" s="67">
        <f t="shared" si="102"/>
        <v>-20.319926360076881</v>
      </c>
      <c r="AE50" s="68">
        <f t="shared" si="103"/>
        <v>47.575944603531504</v>
      </c>
      <c r="AF50" s="68">
        <f t="shared" si="104"/>
        <v>27.256018243454623</v>
      </c>
      <c r="AH50" t="str">
        <f t="shared" si="134"/>
        <v>24 Business, media and public service professionals</v>
      </c>
      <c r="AI50" s="17">
        <f t="shared" si="105"/>
        <v>5.5428576260824194</v>
      </c>
      <c r="AJ50" s="17">
        <f t="shared" si="105"/>
        <v>5.4892058602819436</v>
      </c>
      <c r="AK50" s="17">
        <f t="shared" si="105"/>
        <v>5.8223623828396551</v>
      </c>
      <c r="AL50" s="17">
        <f t="shared" si="105"/>
        <v>5.7583021353922623</v>
      </c>
      <c r="AM50" s="17">
        <f t="shared" si="105"/>
        <v>5.1729172386619373</v>
      </c>
      <c r="AO50" s="67">
        <f t="shared" si="106"/>
        <v>-17.577835275733928</v>
      </c>
      <c r="AP50" s="68">
        <f t="shared" si="107"/>
        <v>35.974215302239017</v>
      </c>
      <c r="AQ50" s="68">
        <f t="shared" si="108"/>
        <v>18.396380026505085</v>
      </c>
      <c r="AS50" t="str">
        <f t="shared" si="135"/>
        <v>24 Business, media and public service professionals</v>
      </c>
      <c r="AT50" s="17">
        <f t="shared" si="109"/>
        <v>9.6455128136371151</v>
      </c>
      <c r="AU50" s="17">
        <f t="shared" si="109"/>
        <v>10.182168047030151</v>
      </c>
      <c r="AV50" s="17">
        <f t="shared" si="109"/>
        <v>10.307441798078674</v>
      </c>
      <c r="AW50" s="17">
        <f t="shared" si="109"/>
        <v>10.298166757219397</v>
      </c>
      <c r="AX50" s="17">
        <f t="shared" si="109"/>
        <v>8.6685425180477083</v>
      </c>
      <c r="AZ50" s="67">
        <f t="shared" si="110"/>
        <v>-17.503667534124538</v>
      </c>
      <c r="BA50" s="68">
        <f t="shared" si="111"/>
        <v>46.808361895575082</v>
      </c>
      <c r="BB50" s="68">
        <f t="shared" si="112"/>
        <v>29.304694361450544</v>
      </c>
      <c r="BD50" t="str">
        <f t="shared" si="136"/>
        <v>24 Business, media and public service professionals</v>
      </c>
      <c r="BE50" s="17">
        <f t="shared" si="113"/>
        <v>5.2699662408033801</v>
      </c>
      <c r="BF50" s="17">
        <f t="shared" si="113"/>
        <v>5.5852172603753516</v>
      </c>
      <c r="BG50" s="17">
        <f t="shared" si="113"/>
        <v>5.9741044212344905</v>
      </c>
      <c r="BH50" s="17">
        <f t="shared" si="113"/>
        <v>5.6768394127680626</v>
      </c>
      <c r="BI50" s="17">
        <f t="shared" si="113"/>
        <v>4.6167744248339186</v>
      </c>
      <c r="BK50" s="67">
        <f t="shared" si="114"/>
        <v>-46.292350252031163</v>
      </c>
      <c r="BL50" s="68">
        <f t="shared" si="115"/>
        <v>28.034011455734376</v>
      </c>
      <c r="BM50" s="68">
        <f t="shared" si="116"/>
        <v>-18.258338796296787</v>
      </c>
      <c r="BO50" t="str">
        <f t="shared" si="137"/>
        <v>24 Business, media and public service professionals</v>
      </c>
      <c r="BP50" s="17">
        <f t="shared" si="117"/>
        <v>4.1289777819518383</v>
      </c>
      <c r="BQ50" s="17">
        <f t="shared" si="117"/>
        <v>4.4814345770514592</v>
      </c>
      <c r="BR50" s="17">
        <f t="shared" si="117"/>
        <v>4.5933669052587458</v>
      </c>
      <c r="BS50" s="17">
        <f t="shared" si="117"/>
        <v>4.4238199309897102</v>
      </c>
      <c r="BT50" s="17">
        <f t="shared" si="117"/>
        <v>3.4831865741247281</v>
      </c>
      <c r="BV50" s="67">
        <f t="shared" si="118"/>
        <v>-50.532121914082659</v>
      </c>
      <c r="BW50" s="68">
        <f t="shared" si="119"/>
        <v>26.943838753680271</v>
      </c>
      <c r="BX50" s="68">
        <f t="shared" si="120"/>
        <v>-23.588283160402394</v>
      </c>
      <c r="BZ50" t="str">
        <f t="shared" si="138"/>
        <v>24 Business, media and public service professionals</v>
      </c>
      <c r="CA50" s="17">
        <f t="shared" si="121"/>
        <v>3.411257313313897</v>
      </c>
      <c r="CB50" s="17">
        <f t="shared" si="121"/>
        <v>3.7423328095134933</v>
      </c>
      <c r="CC50" s="17">
        <f t="shared" si="121"/>
        <v>4.0307727068206862</v>
      </c>
      <c r="CD50" s="17">
        <f t="shared" si="121"/>
        <v>3.9222306044446209</v>
      </c>
      <c r="CE50" s="17">
        <f t="shared" si="121"/>
        <v>2.6557679612091807</v>
      </c>
      <c r="CG50" s="67">
        <f t="shared" si="122"/>
        <v>-64.102342804825398</v>
      </c>
      <c r="CH50" s="68">
        <f t="shared" si="123"/>
        <v>21.81190923306864</v>
      </c>
      <c r="CI50" s="68">
        <f t="shared" si="124"/>
        <v>-42.290433571756751</v>
      </c>
      <c r="CK50" t="str">
        <f t="shared" si="139"/>
        <v>24 Business, media and public service professionals</v>
      </c>
      <c r="CL50" s="17">
        <f t="shared" si="125"/>
        <v>2.0755193725018652</v>
      </c>
      <c r="CM50" s="17">
        <f t="shared" si="125"/>
        <v>2.6797770394906961</v>
      </c>
      <c r="CN50" s="17">
        <f t="shared" si="125"/>
        <v>2.9089467852252873</v>
      </c>
      <c r="CO50" s="17">
        <f t="shared" si="125"/>
        <v>3.5249872830974791</v>
      </c>
      <c r="CP50" s="17">
        <f t="shared" si="125"/>
        <v>3.9367004277607442</v>
      </c>
      <c r="CR50" s="67">
        <f t="shared" si="126"/>
        <v>-43.294565934359177</v>
      </c>
      <c r="CS50" s="68">
        <f t="shared" si="127"/>
        <v>25.666023591972209</v>
      </c>
      <c r="CT50" s="68">
        <f t="shared" si="128"/>
        <v>-17.628542342386968</v>
      </c>
    </row>
    <row r="51" spans="1:98" x14ac:dyDescent="0.2">
      <c r="A51" t="str">
        <f t="shared" si="95"/>
        <v>31 Science, engineering and technology associate professionals</v>
      </c>
      <c r="B51" s="17">
        <f t="shared" si="96"/>
        <v>2.0204925186154368</v>
      </c>
      <c r="C51" s="17">
        <f t="shared" si="96"/>
        <v>2.2581404746728575</v>
      </c>
      <c r="D51" s="17">
        <f t="shared" si="96"/>
        <v>2.2858413816368892</v>
      </c>
      <c r="E51" s="17">
        <f t="shared" si="96"/>
        <v>2.1533612271291238</v>
      </c>
      <c r="F51" s="17">
        <f t="shared" si="96"/>
        <v>2.366482962797638</v>
      </c>
      <c r="H51" s="67">
        <f t="shared" si="129"/>
        <v>112.1827390318401</v>
      </c>
      <c r="I51" s="68">
        <f t="shared" si="130"/>
        <v>70.841366464630397</v>
      </c>
      <c r="J51" s="68">
        <f t="shared" si="131"/>
        <v>183.02410549647047</v>
      </c>
      <c r="L51" t="str">
        <f t="shared" si="132"/>
        <v>31 Science, engineering and technology associate professionals</v>
      </c>
      <c r="M51" s="17">
        <f t="shared" si="97"/>
        <v>1.5057218279540658</v>
      </c>
      <c r="N51" s="17">
        <f t="shared" si="97"/>
        <v>1.6414521510375499</v>
      </c>
      <c r="O51" s="17">
        <f t="shared" si="97"/>
        <v>1.684106558905643</v>
      </c>
      <c r="P51" s="17">
        <f t="shared" si="97"/>
        <v>1.4621737448957082</v>
      </c>
      <c r="Q51" s="17">
        <f t="shared" si="97"/>
        <v>1.4292729445022372</v>
      </c>
      <c r="S51" s="67">
        <f t="shared" si="98"/>
        <v>73.755668247127929</v>
      </c>
      <c r="T51" s="68">
        <f t="shared" si="99"/>
        <v>57.645594031665951</v>
      </c>
      <c r="U51" s="68">
        <f t="shared" si="100"/>
        <v>131.40126227879387</v>
      </c>
      <c r="W51" t="str">
        <f t="shared" si="133"/>
        <v>31 Science, engineering and technology associate professionals</v>
      </c>
      <c r="X51" s="17">
        <f t="shared" si="101"/>
        <v>1.9333656026835209</v>
      </c>
      <c r="Y51" s="17">
        <f t="shared" si="101"/>
        <v>2.1582927450405398</v>
      </c>
      <c r="Z51" s="17">
        <f t="shared" si="101"/>
        <v>2.1894371111050219</v>
      </c>
      <c r="AA51" s="17">
        <f t="shared" si="101"/>
        <v>1.9239405777542862</v>
      </c>
      <c r="AB51" s="17">
        <f t="shared" si="101"/>
        <v>1.9259634372383663</v>
      </c>
      <c r="AD51" s="67">
        <f t="shared" si="102"/>
        <v>-20.358678987028831</v>
      </c>
      <c r="AE51" s="68">
        <f t="shared" si="103"/>
        <v>39.328515404029538</v>
      </c>
      <c r="AF51" s="68">
        <f t="shared" si="104"/>
        <v>18.96983641700071</v>
      </c>
      <c r="AH51" t="str">
        <f t="shared" si="134"/>
        <v>31 Science, engineering and technology associate professionals</v>
      </c>
      <c r="AI51" s="17">
        <f t="shared" si="105"/>
        <v>1.1369798932368784</v>
      </c>
      <c r="AJ51" s="17">
        <f t="shared" si="105"/>
        <v>1.4569486154568667</v>
      </c>
      <c r="AK51" s="17">
        <f t="shared" si="105"/>
        <v>1.5457946835575209</v>
      </c>
      <c r="AL51" s="17">
        <f t="shared" si="105"/>
        <v>1.6282393819461245</v>
      </c>
      <c r="AM51" s="17">
        <f t="shared" si="105"/>
        <v>1.9767150597618026</v>
      </c>
      <c r="AO51" s="67">
        <f t="shared" si="106"/>
        <v>18.63148871666375</v>
      </c>
      <c r="AP51" s="68">
        <f t="shared" si="107"/>
        <v>53.314434185026158</v>
      </c>
      <c r="AQ51" s="68">
        <f t="shared" si="108"/>
        <v>71.945922901689912</v>
      </c>
      <c r="AS51" t="str">
        <f t="shared" si="135"/>
        <v>31 Science, engineering and technology associate professionals</v>
      </c>
      <c r="AT51" s="17">
        <f t="shared" si="109"/>
        <v>2.8270682366102733</v>
      </c>
      <c r="AU51" s="17">
        <f t="shared" si="109"/>
        <v>2.8666252771711158</v>
      </c>
      <c r="AV51" s="17">
        <f t="shared" si="109"/>
        <v>2.8315193629930615</v>
      </c>
      <c r="AW51" s="17">
        <f t="shared" si="109"/>
        <v>2.2870339433957092</v>
      </c>
      <c r="AX51" s="17">
        <f t="shared" si="109"/>
        <v>2.0193843504536453</v>
      </c>
      <c r="AZ51" s="67">
        <f t="shared" si="110"/>
        <v>-30.04175604895396</v>
      </c>
      <c r="BA51" s="68">
        <f t="shared" si="111"/>
        <v>31.728421281367346</v>
      </c>
      <c r="BB51" s="68">
        <f t="shared" si="112"/>
        <v>1.6866652324133899</v>
      </c>
      <c r="BD51" t="str">
        <f t="shared" si="136"/>
        <v>31 Science, engineering and technology associate professionals</v>
      </c>
      <c r="BE51" s="17">
        <f t="shared" si="113"/>
        <v>1.1160932221233799</v>
      </c>
      <c r="BF51" s="17">
        <f t="shared" si="113"/>
        <v>1.0947755263824264</v>
      </c>
      <c r="BG51" s="17">
        <f t="shared" si="113"/>
        <v>1.2686276884141934</v>
      </c>
      <c r="BH51" s="17">
        <f t="shared" si="113"/>
        <v>0.87853365699796415</v>
      </c>
      <c r="BI51" s="17">
        <f t="shared" si="113"/>
        <v>0.68282905897399659</v>
      </c>
      <c r="BK51" s="67">
        <f t="shared" si="114"/>
        <v>-62.593410732517974</v>
      </c>
      <c r="BL51" s="68">
        <f t="shared" si="115"/>
        <v>19.264250399143226</v>
      </c>
      <c r="BM51" s="68">
        <f t="shared" si="116"/>
        <v>-43.329160333374752</v>
      </c>
      <c r="BO51" t="str">
        <f t="shared" si="137"/>
        <v>31 Science, engineering and technology associate professionals</v>
      </c>
      <c r="BP51" s="17">
        <f t="shared" si="117"/>
        <v>0.94938731361537598</v>
      </c>
      <c r="BQ51" s="17">
        <f t="shared" si="117"/>
        <v>1.1375260849704354</v>
      </c>
      <c r="BR51" s="17">
        <f t="shared" si="117"/>
        <v>1.2596162469417087</v>
      </c>
      <c r="BS51" s="17">
        <f t="shared" si="117"/>
        <v>1.1163338238133234</v>
      </c>
      <c r="BT51" s="17">
        <f t="shared" si="117"/>
        <v>1.265993214023289</v>
      </c>
      <c r="BV51" s="67">
        <f t="shared" si="118"/>
        <v>-34.435190271038266</v>
      </c>
      <c r="BW51" s="68">
        <f t="shared" si="119"/>
        <v>26.717764311271175</v>
      </c>
      <c r="BX51" s="68">
        <f t="shared" si="120"/>
        <v>-7.717425959767092</v>
      </c>
      <c r="BZ51" t="str">
        <f t="shared" si="138"/>
        <v>31 Science, engineering and technology associate professionals</v>
      </c>
      <c r="CA51" s="17">
        <f t="shared" si="121"/>
        <v>1.0506866476994221</v>
      </c>
      <c r="CB51" s="17">
        <f t="shared" si="121"/>
        <v>1.2662559621147425</v>
      </c>
      <c r="CC51" s="17">
        <f t="shared" si="121"/>
        <v>1.4059980031673505</v>
      </c>
      <c r="CD51" s="17">
        <f t="shared" si="121"/>
        <v>1.2104014140709178</v>
      </c>
      <c r="CE51" s="17">
        <f t="shared" si="121"/>
        <v>1.0467571540159455</v>
      </c>
      <c r="CG51" s="67">
        <f t="shared" si="122"/>
        <v>-59.437424578268285</v>
      </c>
      <c r="CH51" s="68">
        <f t="shared" si="123"/>
        <v>19.464724768696364</v>
      </c>
      <c r="CI51" s="68">
        <f t="shared" si="124"/>
        <v>-39.972699809571914</v>
      </c>
      <c r="CK51" t="str">
        <f t="shared" si="139"/>
        <v>31 Science, engineering and technology associate professionals</v>
      </c>
      <c r="CL51" s="17">
        <f t="shared" si="125"/>
        <v>0.68234886494356783</v>
      </c>
      <c r="CM51" s="17">
        <f t="shared" si="125"/>
        <v>1.0874465317029445</v>
      </c>
      <c r="CN51" s="17">
        <f t="shared" si="125"/>
        <v>1.4155963486706902</v>
      </c>
      <c r="CO51" s="17">
        <f t="shared" si="125"/>
        <v>1.9771107214827062</v>
      </c>
      <c r="CP51" s="17">
        <f t="shared" si="125"/>
        <v>5.0251981601638374</v>
      </c>
      <c r="CR51" s="67">
        <f t="shared" si="126"/>
        <v>48.744818701853788</v>
      </c>
      <c r="CS51" s="68">
        <f t="shared" si="127"/>
        <v>45.418538652448497</v>
      </c>
      <c r="CT51" s="68">
        <f t="shared" si="128"/>
        <v>94.163357354302292</v>
      </c>
    </row>
    <row r="52" spans="1:98" x14ac:dyDescent="0.2">
      <c r="A52" t="str">
        <f t="shared" si="95"/>
        <v>32 Health and social care associate professionals</v>
      </c>
      <c r="B52" s="17">
        <f t="shared" si="96"/>
        <v>0.51681098541210424</v>
      </c>
      <c r="C52" s="17">
        <f t="shared" si="96"/>
        <v>0.54324882274890074</v>
      </c>
      <c r="D52" s="17">
        <f t="shared" si="96"/>
        <v>0.5350185583024063</v>
      </c>
      <c r="E52" s="17">
        <f t="shared" si="96"/>
        <v>0.57562036725811483</v>
      </c>
      <c r="F52" s="17">
        <f t="shared" si="96"/>
        <v>0.68325308565369802</v>
      </c>
      <c r="H52" s="67">
        <f t="shared" si="129"/>
        <v>161.73723777873192</v>
      </c>
      <c r="I52" s="68">
        <f t="shared" si="130"/>
        <v>108.90922285609463</v>
      </c>
      <c r="J52" s="68">
        <f t="shared" si="131"/>
        <v>270.64646063482655</v>
      </c>
      <c r="L52" t="str">
        <f t="shared" si="132"/>
        <v>32 Health and social care associate professionals</v>
      </c>
      <c r="M52" s="17">
        <f t="shared" si="97"/>
        <v>1.5451230481612153</v>
      </c>
      <c r="N52" s="17">
        <f t="shared" si="97"/>
        <v>1.6066182274302294</v>
      </c>
      <c r="O52" s="17">
        <f t="shared" si="97"/>
        <v>1.6354774049149816</v>
      </c>
      <c r="P52" s="17">
        <f t="shared" si="97"/>
        <v>1.6099751728798271</v>
      </c>
      <c r="Q52" s="17">
        <f t="shared" si="97"/>
        <v>1.7255256218086097</v>
      </c>
      <c r="S52" s="67">
        <f t="shared" si="98"/>
        <v>116.00820072844019</v>
      </c>
      <c r="T52" s="68">
        <f t="shared" si="99"/>
        <v>91.621384179075221</v>
      </c>
      <c r="U52" s="68">
        <f t="shared" si="100"/>
        <v>207.62958490751541</v>
      </c>
      <c r="W52" t="str">
        <f t="shared" si="133"/>
        <v>32 Health and social care associate professionals</v>
      </c>
      <c r="X52" s="17">
        <f t="shared" si="101"/>
        <v>2.1592534664568523</v>
      </c>
      <c r="Y52" s="17">
        <f t="shared" si="101"/>
        <v>2.3456255391288776</v>
      </c>
      <c r="Z52" s="17">
        <f t="shared" si="101"/>
        <v>2.3393753029802364</v>
      </c>
      <c r="AA52" s="17">
        <f t="shared" si="101"/>
        <v>2.3449591616732657</v>
      </c>
      <c r="AB52" s="17">
        <f t="shared" si="101"/>
        <v>2.3629167737018388</v>
      </c>
      <c r="AD52" s="67">
        <f t="shared" si="102"/>
        <v>-8.5525885657009937</v>
      </c>
      <c r="AE52" s="68">
        <f t="shared" si="103"/>
        <v>60.605514983310236</v>
      </c>
      <c r="AF52" s="68">
        <f t="shared" si="104"/>
        <v>52.05292641760925</v>
      </c>
      <c r="AH52" t="str">
        <f t="shared" si="134"/>
        <v>32 Health and social care associate professionals</v>
      </c>
      <c r="AI52" s="17">
        <f t="shared" si="105"/>
        <v>5.9461723209697697</v>
      </c>
      <c r="AJ52" s="17">
        <f t="shared" si="105"/>
        <v>5.1473353569038673</v>
      </c>
      <c r="AK52" s="17">
        <f t="shared" si="105"/>
        <v>4.7652524821402746</v>
      </c>
      <c r="AL52" s="17">
        <f t="shared" si="105"/>
        <v>3.4988573642830589</v>
      </c>
      <c r="AM52" s="17">
        <f t="shared" si="105"/>
        <v>1.8343402046727384</v>
      </c>
      <c r="AO52" s="67">
        <f t="shared" si="106"/>
        <v>-64.289026665316925</v>
      </c>
      <c r="AP52" s="68">
        <f t="shared" si="107"/>
        <v>26.868677404414161</v>
      </c>
      <c r="AQ52" s="68">
        <f t="shared" si="108"/>
        <v>-37.420349260902768</v>
      </c>
      <c r="AS52" t="str">
        <f t="shared" si="135"/>
        <v>32 Health and social care associate professionals</v>
      </c>
      <c r="AT52" s="17">
        <f t="shared" si="109"/>
        <v>1.3230993879363642</v>
      </c>
      <c r="AU52" s="17">
        <f t="shared" si="109"/>
        <v>1.3819923768094755</v>
      </c>
      <c r="AV52" s="17">
        <f t="shared" si="109"/>
        <v>1.469889899897906</v>
      </c>
      <c r="AW52" s="17">
        <f t="shared" si="109"/>
        <v>1.2991892480269098</v>
      </c>
      <c r="AX52" s="17">
        <f t="shared" si="109"/>
        <v>1.1695282988130908</v>
      </c>
      <c r="AZ52" s="67">
        <f t="shared" si="110"/>
        <v>-21.951353118909939</v>
      </c>
      <c r="BA52" s="68">
        <f t="shared" si="111"/>
        <v>49.701927317432499</v>
      </c>
      <c r="BB52" s="68">
        <f t="shared" si="112"/>
        <v>27.750574198522553</v>
      </c>
      <c r="BD52" t="str">
        <f t="shared" si="136"/>
        <v>32 Health and social care associate professionals</v>
      </c>
      <c r="BE52" s="17">
        <f t="shared" si="113"/>
        <v>1.4412696725045702</v>
      </c>
      <c r="BF52" s="17">
        <f t="shared" si="113"/>
        <v>1.8113829993142643</v>
      </c>
      <c r="BG52" s="17">
        <f t="shared" si="113"/>
        <v>1.6843460150355829</v>
      </c>
      <c r="BH52" s="17">
        <f t="shared" si="113"/>
        <v>1.9141505071655116</v>
      </c>
      <c r="BI52" s="17">
        <f t="shared" si="113"/>
        <v>2.2050517325606425</v>
      </c>
      <c r="BK52" s="67">
        <f t="shared" si="114"/>
        <v>-9.017519849239731</v>
      </c>
      <c r="BL52" s="68">
        <f t="shared" si="115"/>
        <v>52.523456112311692</v>
      </c>
      <c r="BM52" s="68">
        <f t="shared" si="116"/>
        <v>43.505936263071959</v>
      </c>
      <c r="BO52" t="str">
        <f t="shared" si="137"/>
        <v>32 Health and social care associate professionals</v>
      </c>
      <c r="BP52" s="17">
        <f t="shared" si="117"/>
        <v>1.1014508951185087</v>
      </c>
      <c r="BQ52" s="17">
        <f t="shared" si="117"/>
        <v>1.2041684305636926</v>
      </c>
      <c r="BR52" s="17">
        <f t="shared" si="117"/>
        <v>1.2664680217097299</v>
      </c>
      <c r="BS52" s="17">
        <f t="shared" si="117"/>
        <v>1.242228826453861</v>
      </c>
      <c r="BT52" s="17">
        <f t="shared" si="117"/>
        <v>1.1740293901011178</v>
      </c>
      <c r="BV52" s="67">
        <f t="shared" si="118"/>
        <v>-39.526873605612543</v>
      </c>
      <c r="BW52" s="68">
        <f t="shared" si="119"/>
        <v>37.633953018115839</v>
      </c>
      <c r="BX52" s="68">
        <f t="shared" si="120"/>
        <v>-1.8929205874967041</v>
      </c>
      <c r="BZ52" t="str">
        <f t="shared" si="138"/>
        <v>32 Health and social care associate professionals</v>
      </c>
      <c r="CA52" s="17">
        <f t="shared" si="121"/>
        <v>0.73342997431090162</v>
      </c>
      <c r="CB52" s="17">
        <f t="shared" si="121"/>
        <v>0.74301296558399155</v>
      </c>
      <c r="CC52" s="17">
        <f t="shared" si="121"/>
        <v>0.76155802469575506</v>
      </c>
      <c r="CD52" s="17">
        <f t="shared" si="121"/>
        <v>0.76156925152760635</v>
      </c>
      <c r="CE52" s="17">
        <f t="shared" si="121"/>
        <v>0.72584227878197749</v>
      </c>
      <c r="CG52" s="67">
        <f t="shared" si="122"/>
        <v>-48.071766326784989</v>
      </c>
      <c r="CH52" s="68">
        <f t="shared" si="123"/>
        <v>29.332573532981076</v>
      </c>
      <c r="CI52" s="68">
        <f t="shared" si="124"/>
        <v>-18.739192793803909</v>
      </c>
      <c r="CK52" t="str">
        <f t="shared" si="139"/>
        <v>32 Health and social care associate professionals</v>
      </c>
      <c r="CL52" s="17">
        <f t="shared" si="125"/>
        <v>0.30264161660216438</v>
      </c>
      <c r="CM52" s="17">
        <f t="shared" si="125"/>
        <v>0.38886409255816429</v>
      </c>
      <c r="CN52" s="17">
        <f t="shared" si="125"/>
        <v>0.4500864581131494</v>
      </c>
      <c r="CO52" s="17">
        <f t="shared" si="125"/>
        <v>0.63353094310101021</v>
      </c>
      <c r="CP52" s="17">
        <f t="shared" si="125"/>
        <v>1.252863153543234</v>
      </c>
      <c r="CR52" s="67">
        <f t="shared" si="126"/>
        <v>16.636849111304119</v>
      </c>
      <c r="CS52" s="68">
        <f t="shared" si="127"/>
        <v>43.170027364394805</v>
      </c>
      <c r="CT52" s="68">
        <f t="shared" si="128"/>
        <v>59.806876475698921</v>
      </c>
    </row>
    <row r="53" spans="1:98" x14ac:dyDescent="0.2">
      <c r="A53" t="str">
        <f t="shared" si="95"/>
        <v>33 Protective service occupations</v>
      </c>
      <c r="B53" s="17">
        <f t="shared" si="96"/>
        <v>0.29165034248523813</v>
      </c>
      <c r="C53" s="17">
        <f t="shared" si="96"/>
        <v>0.25242847312949418</v>
      </c>
      <c r="D53" s="17">
        <f t="shared" si="96"/>
        <v>0.26403085964745554</v>
      </c>
      <c r="E53" s="17">
        <f t="shared" si="96"/>
        <v>0.35674847635986034</v>
      </c>
      <c r="F53" s="17">
        <f t="shared" si="96"/>
        <v>0.44410051524476846</v>
      </c>
      <c r="H53" s="67">
        <f t="shared" si="129"/>
        <v>244.73021258848289</v>
      </c>
      <c r="I53" s="68">
        <f t="shared" si="130"/>
        <v>76.720281424958188</v>
      </c>
      <c r="J53" s="68">
        <f t="shared" si="131"/>
        <v>321.45049401344107</v>
      </c>
      <c r="L53" t="str">
        <f t="shared" si="132"/>
        <v>33 Protective service occupations</v>
      </c>
      <c r="M53" s="17">
        <f t="shared" si="97"/>
        <v>0.65087018735404945</v>
      </c>
      <c r="N53" s="17">
        <f t="shared" si="97"/>
        <v>0.65751306312504043</v>
      </c>
      <c r="O53" s="17">
        <f t="shared" si="97"/>
        <v>0.69927660457962348</v>
      </c>
      <c r="P53" s="17">
        <f t="shared" si="97"/>
        <v>0.91649858338561652</v>
      </c>
      <c r="Q53" s="17">
        <f t="shared" si="97"/>
        <v>1.1783254052035124</v>
      </c>
      <c r="S53" s="67">
        <f t="shared" si="98"/>
        <v>244.99247187936993</v>
      </c>
      <c r="T53" s="68">
        <f t="shared" si="99"/>
        <v>72.265370203198003</v>
      </c>
      <c r="U53" s="68">
        <f t="shared" si="100"/>
        <v>317.257842082568</v>
      </c>
      <c r="W53" t="str">
        <f t="shared" si="133"/>
        <v>33 Protective service occupations</v>
      </c>
      <c r="X53" s="17">
        <f t="shared" si="101"/>
        <v>1.3399583008110953</v>
      </c>
      <c r="Y53" s="17">
        <f t="shared" si="101"/>
        <v>1.4259688122737999</v>
      </c>
      <c r="Z53" s="17">
        <f t="shared" si="101"/>
        <v>1.5394401365670938</v>
      </c>
      <c r="AA53" s="17">
        <f t="shared" si="101"/>
        <v>1.9388204725432789</v>
      </c>
      <c r="AB53" s="17">
        <f t="shared" si="101"/>
        <v>2.4660062871976813</v>
      </c>
      <c r="AD53" s="67">
        <f t="shared" si="102"/>
        <v>45.028804221621201</v>
      </c>
      <c r="AE53" s="68">
        <f t="shared" si="103"/>
        <v>53.974541069979068</v>
      </c>
      <c r="AF53" s="68">
        <f t="shared" si="104"/>
        <v>99.003345291600269</v>
      </c>
      <c r="AH53" t="str">
        <f t="shared" si="134"/>
        <v>33 Protective service occupations</v>
      </c>
      <c r="AI53" s="17">
        <f t="shared" si="105"/>
        <v>1.4213634740362948</v>
      </c>
      <c r="AJ53" s="17">
        <f t="shared" si="105"/>
        <v>1.5811566033280611</v>
      </c>
      <c r="AK53" s="17">
        <f t="shared" si="105"/>
        <v>1.7066689614959176</v>
      </c>
      <c r="AL53" s="17">
        <f t="shared" si="105"/>
        <v>2.2176826559003873</v>
      </c>
      <c r="AM53" s="17">
        <f t="shared" si="105"/>
        <v>2.7518126269791452</v>
      </c>
      <c r="AO53" s="67">
        <f t="shared" si="106"/>
        <v>49.581294602349793</v>
      </c>
      <c r="AP53" s="68">
        <f t="shared" si="107"/>
        <v>49.447020612594564</v>
      </c>
      <c r="AQ53" s="68">
        <f t="shared" si="108"/>
        <v>99.028315214944357</v>
      </c>
      <c r="AS53" t="str">
        <f t="shared" si="135"/>
        <v>33 Protective service occupations</v>
      </c>
      <c r="AT53" s="17">
        <f t="shared" si="109"/>
        <v>1.3699311914227301</v>
      </c>
      <c r="AU53" s="17">
        <f t="shared" si="109"/>
        <v>1.1991295640665152</v>
      </c>
      <c r="AV53" s="17">
        <f t="shared" si="109"/>
        <v>1.2313016887746469</v>
      </c>
      <c r="AW53" s="17">
        <f t="shared" si="109"/>
        <v>1.2544054692563624</v>
      </c>
      <c r="AX53" s="17">
        <f t="shared" si="109"/>
        <v>1.1401248567308597</v>
      </c>
      <c r="AZ53" s="67">
        <f t="shared" si="110"/>
        <v>-9.1704028226481693</v>
      </c>
      <c r="BA53" s="68">
        <f t="shared" si="111"/>
        <v>35.329415225536188</v>
      </c>
      <c r="BB53" s="68">
        <f t="shared" si="112"/>
        <v>26.159012402888017</v>
      </c>
      <c r="BD53" t="str">
        <f t="shared" si="136"/>
        <v>33 Protective service occupations</v>
      </c>
      <c r="BE53" s="17">
        <f t="shared" si="113"/>
        <v>1.3237031644149102</v>
      </c>
      <c r="BF53" s="17">
        <f t="shared" si="113"/>
        <v>1.1588945959372452</v>
      </c>
      <c r="BG53" s="17">
        <f t="shared" si="113"/>
        <v>1.3983224303741242</v>
      </c>
      <c r="BH53" s="17">
        <f t="shared" si="113"/>
        <v>1.3580108566277274</v>
      </c>
      <c r="BI53" s="17">
        <f t="shared" si="113"/>
        <v>1.1277969973647906</v>
      </c>
      <c r="BK53" s="67">
        <f t="shared" si="114"/>
        <v>-43.947638829199079</v>
      </c>
      <c r="BL53" s="68">
        <f t="shared" si="115"/>
        <v>19.031568011584714</v>
      </c>
      <c r="BM53" s="68">
        <f t="shared" si="116"/>
        <v>-24.916070817614365</v>
      </c>
      <c r="BO53" t="str">
        <f t="shared" si="137"/>
        <v>33 Protective service occupations</v>
      </c>
      <c r="BP53" s="17">
        <f t="shared" si="117"/>
        <v>1.5616418288660201</v>
      </c>
      <c r="BQ53" s="17">
        <f t="shared" si="117"/>
        <v>1.6404572303867146</v>
      </c>
      <c r="BR53" s="17">
        <f t="shared" si="117"/>
        <v>1.7087497224153727</v>
      </c>
      <c r="BS53" s="17">
        <f t="shared" si="117"/>
        <v>1.8088931507984491</v>
      </c>
      <c r="BT53" s="17">
        <f t="shared" si="117"/>
        <v>1.1710114022314322</v>
      </c>
      <c r="BV53" s="67">
        <f t="shared" si="118"/>
        <v>-55.294562647766085</v>
      </c>
      <c r="BW53" s="68">
        <f t="shared" si="119"/>
        <v>19.580461827024649</v>
      </c>
      <c r="BX53" s="68">
        <f t="shared" si="120"/>
        <v>-35.714100820741443</v>
      </c>
      <c r="BZ53" t="str">
        <f t="shared" si="138"/>
        <v>33 Protective service occupations</v>
      </c>
      <c r="CA53" s="17">
        <f t="shared" si="121"/>
        <v>1.2349353976632853</v>
      </c>
      <c r="CB53" s="17">
        <f t="shared" si="121"/>
        <v>1.2951809053729828</v>
      </c>
      <c r="CC53" s="17">
        <f t="shared" si="121"/>
        <v>1.4256659090181973</v>
      </c>
      <c r="CD53" s="17">
        <f t="shared" si="121"/>
        <v>1.6616522437708721</v>
      </c>
      <c r="CE53" s="17">
        <f t="shared" si="121"/>
        <v>2.4662745268708655</v>
      </c>
      <c r="CG53" s="67">
        <f t="shared" si="122"/>
        <v>-5.748571680609798</v>
      </c>
      <c r="CH53" s="68">
        <f t="shared" si="123"/>
        <v>34.712716722139483</v>
      </c>
      <c r="CI53" s="68">
        <f t="shared" si="124"/>
        <v>28.964145041529683</v>
      </c>
      <c r="CK53" t="str">
        <f t="shared" si="139"/>
        <v>33 Protective service occupations</v>
      </c>
      <c r="CL53" s="17">
        <f t="shared" si="125"/>
        <v>0.4922283115079194</v>
      </c>
      <c r="CM53" s="17">
        <f t="shared" si="125"/>
        <v>0.45113435853871842</v>
      </c>
      <c r="CN53" s="17">
        <f t="shared" si="125"/>
        <v>0.48746616728786624</v>
      </c>
      <c r="CO53" s="17">
        <f t="shared" si="125"/>
        <v>0.42405408166411845</v>
      </c>
      <c r="CP53" s="17">
        <f t="shared" si="125"/>
        <v>0.61530113628124405</v>
      </c>
      <c r="CR53" s="67">
        <f t="shared" si="126"/>
        <v>-47.110272834755207</v>
      </c>
      <c r="CS53" s="68">
        <f t="shared" si="127"/>
        <v>14.554863882736111</v>
      </c>
      <c r="CT53" s="68">
        <f t="shared" si="128"/>
        <v>-32.555408952019093</v>
      </c>
    </row>
    <row r="54" spans="1:98" x14ac:dyDescent="0.2">
      <c r="A54" t="str">
        <f t="shared" si="95"/>
        <v>34 Culture, media and sports occupations</v>
      </c>
      <c r="B54" s="17">
        <f t="shared" si="96"/>
        <v>1.7844323346117952</v>
      </c>
      <c r="C54" s="17">
        <f t="shared" si="96"/>
        <v>1.7387283851935456</v>
      </c>
      <c r="D54" s="17">
        <f t="shared" si="96"/>
        <v>1.7951274066718912</v>
      </c>
      <c r="E54" s="17">
        <f t="shared" si="96"/>
        <v>1.6639478801767569</v>
      </c>
      <c r="F54" s="17">
        <f t="shared" si="96"/>
        <v>1.636434123625621</v>
      </c>
      <c r="H54" s="67">
        <f t="shared" si="129"/>
        <v>86.834041964832892</v>
      </c>
      <c r="I54" s="68">
        <f t="shared" si="130"/>
        <v>75.877236087403617</v>
      </c>
      <c r="J54" s="68">
        <f t="shared" si="131"/>
        <v>162.71127805223651</v>
      </c>
      <c r="L54" t="str">
        <f t="shared" si="132"/>
        <v>34 Culture, media and sports occupations</v>
      </c>
      <c r="M54" s="17">
        <f t="shared" si="97"/>
        <v>5.3304295003649136</v>
      </c>
      <c r="N54" s="17">
        <f t="shared" si="97"/>
        <v>4.6694507971619839</v>
      </c>
      <c r="O54" s="17">
        <f t="shared" si="97"/>
        <v>5.4474152699452025</v>
      </c>
      <c r="P54" s="17">
        <f t="shared" si="97"/>
        <v>5.3806619944282179</v>
      </c>
      <c r="Q54" s="17">
        <f t="shared" si="97"/>
        <v>5.3168931917167477</v>
      </c>
      <c r="S54" s="67">
        <f t="shared" si="98"/>
        <v>99.830064107334735</v>
      </c>
      <c r="T54" s="68">
        <f t="shared" si="99"/>
        <v>75.510743648456199</v>
      </c>
      <c r="U54" s="68">
        <f t="shared" si="100"/>
        <v>175.34080775579096</v>
      </c>
      <c r="W54" t="str">
        <f t="shared" si="133"/>
        <v>34 Culture, media and sports occupations</v>
      </c>
      <c r="X54" s="17">
        <f t="shared" si="101"/>
        <v>6.4660329276563466</v>
      </c>
      <c r="Y54" s="17">
        <f t="shared" si="101"/>
        <v>5.4655023621563608</v>
      </c>
      <c r="Z54" s="17">
        <f t="shared" si="101"/>
        <v>6.0080725189822628</v>
      </c>
      <c r="AA54" s="17">
        <f t="shared" si="101"/>
        <v>5.8769161684551063</v>
      </c>
      <c r="AB54" s="17">
        <f t="shared" si="101"/>
        <v>5.7230234375025262</v>
      </c>
      <c r="AD54" s="67">
        <f t="shared" si="102"/>
        <v>-13.759105890921902</v>
      </c>
      <c r="AE54" s="68">
        <f t="shared" si="103"/>
        <v>44.148069535200023</v>
      </c>
      <c r="AF54" s="68">
        <f t="shared" si="104"/>
        <v>30.388963644278121</v>
      </c>
      <c r="AH54" t="str">
        <f t="shared" si="134"/>
        <v>34 Culture, media and sports occupations</v>
      </c>
      <c r="AI54" s="17">
        <f t="shared" si="105"/>
        <v>3.8236664134494012</v>
      </c>
      <c r="AJ54" s="17">
        <f t="shared" si="105"/>
        <v>3.829681169770073</v>
      </c>
      <c r="AK54" s="17">
        <f t="shared" si="105"/>
        <v>4.1454720478557636</v>
      </c>
      <c r="AL54" s="17">
        <f t="shared" si="105"/>
        <v>4.3224047008142339</v>
      </c>
      <c r="AM54" s="17">
        <f t="shared" si="105"/>
        <v>4.9003731345363111</v>
      </c>
      <c r="AO54" s="67">
        <f t="shared" si="106"/>
        <v>9.6636957564815287</v>
      </c>
      <c r="AP54" s="68">
        <f t="shared" si="107"/>
        <v>50.817912685271295</v>
      </c>
      <c r="AQ54" s="68">
        <f t="shared" si="108"/>
        <v>60.481608441752819</v>
      </c>
      <c r="AS54" t="str">
        <f t="shared" si="135"/>
        <v>34 Culture, media and sports occupations</v>
      </c>
      <c r="AT54" s="17">
        <f t="shared" si="109"/>
        <v>4.0278823103826493</v>
      </c>
      <c r="AU54" s="17">
        <f t="shared" si="109"/>
        <v>3.285230230652064</v>
      </c>
      <c r="AV54" s="17">
        <f t="shared" si="109"/>
        <v>3.4553100674995232</v>
      </c>
      <c r="AW54" s="17">
        <f t="shared" si="109"/>
        <v>3.0516569372526412</v>
      </c>
      <c r="AX54" s="17">
        <f t="shared" si="109"/>
        <v>2.6174254507030281</v>
      </c>
      <c r="AZ54" s="67">
        <f t="shared" si="110"/>
        <v>-25.693510439764555</v>
      </c>
      <c r="BA54" s="68">
        <f t="shared" si="111"/>
        <v>38.863505353613306</v>
      </c>
      <c r="BB54" s="68">
        <f t="shared" si="112"/>
        <v>13.16999491384875</v>
      </c>
      <c r="BD54" t="str">
        <f t="shared" si="136"/>
        <v>34 Culture, media and sports occupations</v>
      </c>
      <c r="BE54" s="17">
        <f t="shared" si="113"/>
        <v>3.0933609783397142</v>
      </c>
      <c r="BF54" s="17">
        <f t="shared" si="113"/>
        <v>2.5691932911764543</v>
      </c>
      <c r="BG54" s="17">
        <f t="shared" si="113"/>
        <v>2.9476274519288745</v>
      </c>
      <c r="BH54" s="17">
        <f t="shared" si="113"/>
        <v>2.6123554034053509</v>
      </c>
      <c r="BI54" s="17">
        <f t="shared" si="113"/>
        <v>2.3034507685000523</v>
      </c>
      <c r="BK54" s="67">
        <f t="shared" si="114"/>
        <v>-45.690395030635841</v>
      </c>
      <c r="BL54" s="68">
        <f t="shared" si="115"/>
        <v>25.292236464701624</v>
      </c>
      <c r="BM54" s="68">
        <f t="shared" si="116"/>
        <v>-20.398158565934217</v>
      </c>
      <c r="BO54" t="str">
        <f t="shared" si="137"/>
        <v>34 Culture, media and sports occupations</v>
      </c>
      <c r="BP54" s="17">
        <f t="shared" si="117"/>
        <v>1.6635053016956936</v>
      </c>
      <c r="BQ54" s="17">
        <f t="shared" si="117"/>
        <v>1.3998925820199364</v>
      </c>
      <c r="BR54" s="17">
        <f t="shared" si="117"/>
        <v>1.4966999088872355</v>
      </c>
      <c r="BS54" s="17">
        <f t="shared" si="117"/>
        <v>1.137365241808503</v>
      </c>
      <c r="BT54" s="17">
        <f t="shared" si="117"/>
        <v>0.67923944229976319</v>
      </c>
      <c r="BV54" s="67">
        <f t="shared" si="118"/>
        <v>-70.394946816187016</v>
      </c>
      <c r="BW54" s="68">
        <f t="shared" si="119"/>
        <v>18.460080338698852</v>
      </c>
      <c r="BX54" s="68">
        <f t="shared" si="120"/>
        <v>-51.934866477488164</v>
      </c>
      <c r="BZ54" t="str">
        <f t="shared" si="138"/>
        <v>34 Culture, media and sports occupations</v>
      </c>
      <c r="CA54" s="17">
        <f t="shared" si="121"/>
        <v>1.8423993453530574</v>
      </c>
      <c r="CB54" s="17">
        <f t="shared" si="121"/>
        <v>1.6170482612704939</v>
      </c>
      <c r="CC54" s="17">
        <f t="shared" si="121"/>
        <v>1.75291317903511</v>
      </c>
      <c r="CD54" s="17">
        <f t="shared" si="121"/>
        <v>1.6143253168656941</v>
      </c>
      <c r="CE54" s="17">
        <f t="shared" si="121"/>
        <v>1.5924431248815627</v>
      </c>
      <c r="CG54" s="67">
        <f t="shared" si="122"/>
        <v>-50.504261128924746</v>
      </c>
      <c r="CH54" s="68">
        <f t="shared" si="123"/>
        <v>21.734291316909072</v>
      </c>
      <c r="CI54" s="68">
        <f t="shared" si="124"/>
        <v>-28.769969812015674</v>
      </c>
      <c r="CK54" t="str">
        <f t="shared" si="139"/>
        <v>34 Culture, media and sports occupations</v>
      </c>
      <c r="CL54" s="17">
        <f t="shared" si="125"/>
        <v>1.4968779335508744</v>
      </c>
      <c r="CM54" s="17">
        <f t="shared" si="125"/>
        <v>1.7109313201771867</v>
      </c>
      <c r="CN54" s="17">
        <f t="shared" si="125"/>
        <v>1.8322647447105802</v>
      </c>
      <c r="CO54" s="17">
        <f t="shared" si="125"/>
        <v>2.0085058282555752</v>
      </c>
      <c r="CP54" s="17">
        <f t="shared" si="125"/>
        <v>2.3109613980278327</v>
      </c>
      <c r="CR54" s="67">
        <f t="shared" si="126"/>
        <v>-47.151513506547566</v>
      </c>
      <c r="CS54" s="68">
        <f t="shared" si="127"/>
        <v>21.895158344855503</v>
      </c>
      <c r="CT54" s="68">
        <f t="shared" si="128"/>
        <v>-25.256355161692063</v>
      </c>
    </row>
    <row r="55" spans="1:98" x14ac:dyDescent="0.2">
      <c r="A55" t="str">
        <f t="shared" si="95"/>
        <v>35 Business and public service associate professionals</v>
      </c>
      <c r="B55" s="17">
        <f t="shared" ref="B55:F64" si="140">B18/B$35*100</f>
        <v>7.6860791852224057</v>
      </c>
      <c r="C55" s="17">
        <f t="shared" si="140"/>
        <v>7.8997943118010925</v>
      </c>
      <c r="D55" s="17">
        <f t="shared" si="140"/>
        <v>7.9676543864804534</v>
      </c>
      <c r="E55" s="17">
        <f t="shared" si="140"/>
        <v>8.2220706282079359</v>
      </c>
      <c r="F55" s="17">
        <f t="shared" si="140"/>
        <v>9.0056317814108962</v>
      </c>
      <c r="H55" s="67">
        <f t="shared" si="129"/>
        <v>131.65221554616127</v>
      </c>
      <c r="I55" s="68">
        <f t="shared" si="130"/>
        <v>78.197645819823094</v>
      </c>
      <c r="J55" s="68">
        <f t="shared" si="131"/>
        <v>209.84986136598437</v>
      </c>
      <c r="L55" t="str">
        <f t="shared" si="132"/>
        <v>35 Business and public service associate professionals</v>
      </c>
      <c r="M55" s="17">
        <f t="shared" ref="M55:Q64" si="141">M18/M$35*100</f>
        <v>10.835624727133704</v>
      </c>
      <c r="N55" s="17">
        <f t="shared" si="141"/>
        <v>10.837975354659253</v>
      </c>
      <c r="O55" s="17">
        <f t="shared" si="141"/>
        <v>10.636789255656584</v>
      </c>
      <c r="P55" s="17">
        <f t="shared" si="141"/>
        <v>10.207333532210781</v>
      </c>
      <c r="Q55" s="17">
        <f t="shared" si="141"/>
        <v>9.896908498447754</v>
      </c>
      <c r="S55" s="67">
        <f t="shared" si="98"/>
        <v>90.494471326597164</v>
      </c>
      <c r="T55" s="68">
        <f t="shared" si="99"/>
        <v>71.047641540543538</v>
      </c>
      <c r="U55" s="68">
        <f t="shared" si="100"/>
        <v>161.54211286714067</v>
      </c>
      <c r="W55" t="str">
        <f t="shared" si="133"/>
        <v>35 Business and public service associate professionals</v>
      </c>
      <c r="X55" s="17">
        <f t="shared" ref="X55:AB64" si="142">X18/X$35*100</f>
        <v>11.490483909843608</v>
      </c>
      <c r="Y55" s="17">
        <f t="shared" si="142"/>
        <v>11.151594095797304</v>
      </c>
      <c r="Z55" s="17">
        <f t="shared" si="142"/>
        <v>10.815477670285102</v>
      </c>
      <c r="AA55" s="17">
        <f t="shared" si="142"/>
        <v>9.8082068855480014</v>
      </c>
      <c r="AB55" s="17">
        <f t="shared" si="142"/>
        <v>8.7724186079999189</v>
      </c>
      <c r="AD55" s="67">
        <f t="shared" si="102"/>
        <v>-26.56611002241721</v>
      </c>
      <c r="AE55" s="68">
        <f t="shared" si="103"/>
        <v>42.720507991183972</v>
      </c>
      <c r="AF55" s="68">
        <f t="shared" si="104"/>
        <v>16.154397968766762</v>
      </c>
      <c r="AH55" t="str">
        <f t="shared" si="134"/>
        <v>35 Business and public service associate professionals</v>
      </c>
      <c r="AI55" s="17">
        <f t="shared" ref="AI55:AM64" si="143">AI18/AI$35*100</f>
        <v>10.572050783320751</v>
      </c>
      <c r="AJ55" s="17">
        <f t="shared" si="143"/>
        <v>10.96575352285031</v>
      </c>
      <c r="AK55" s="17">
        <f t="shared" si="143"/>
        <v>11.543630193404553</v>
      </c>
      <c r="AL55" s="17">
        <f t="shared" si="143"/>
        <v>11.011014106786947</v>
      </c>
      <c r="AM55" s="17">
        <f t="shared" si="143"/>
        <v>10.233626067758362</v>
      </c>
      <c r="AO55" s="67">
        <f t="shared" si="106"/>
        <v>-17.757773866831091</v>
      </c>
      <c r="AP55" s="68">
        <f t="shared" si="107"/>
        <v>43.490741187008538</v>
      </c>
      <c r="AQ55" s="68">
        <f t="shared" si="108"/>
        <v>25.73296732017744</v>
      </c>
      <c r="AS55" t="str">
        <f t="shared" si="135"/>
        <v>35 Business and public service associate professionals</v>
      </c>
      <c r="AT55" s="17">
        <f t="shared" ref="AT55:AX64" si="144">AT18/AT$35*100</f>
        <v>9.8807837468278166</v>
      </c>
      <c r="AU55" s="17">
        <f t="shared" si="144"/>
        <v>9.6268139103154429</v>
      </c>
      <c r="AV55" s="17">
        <f t="shared" si="144"/>
        <v>9.6417097916972878</v>
      </c>
      <c r="AW55" s="17">
        <f t="shared" si="144"/>
        <v>8.6449475566928022</v>
      </c>
      <c r="AX55" s="17">
        <f t="shared" si="144"/>
        <v>7.6736962344752389</v>
      </c>
      <c r="AZ55" s="67">
        <f t="shared" si="110"/>
        <v>-21.928954159812676</v>
      </c>
      <c r="BA55" s="68">
        <f t="shared" si="111"/>
        <v>41.624040038498585</v>
      </c>
      <c r="BB55" s="68">
        <f t="shared" si="112"/>
        <v>19.695085878685912</v>
      </c>
      <c r="BD55" t="str">
        <f t="shared" si="136"/>
        <v>35 Business and public service associate professionals</v>
      </c>
      <c r="BE55" s="17">
        <f t="shared" ref="BE55:BI64" si="145">BE18/BE$35*100</f>
        <v>7.8389087878697943</v>
      </c>
      <c r="BF55" s="17">
        <f t="shared" si="145"/>
        <v>7.7943149180137086</v>
      </c>
      <c r="BG55" s="17">
        <f t="shared" si="145"/>
        <v>7.8107577058358038</v>
      </c>
      <c r="BH55" s="17">
        <f t="shared" si="145"/>
        <v>6.7275808722434229</v>
      </c>
      <c r="BI55" s="17">
        <f t="shared" si="145"/>
        <v>6.0887234516404769</v>
      </c>
      <c r="BK55" s="67">
        <f t="shared" si="114"/>
        <v>-45.82444303343361</v>
      </c>
      <c r="BL55" s="68">
        <f t="shared" si="115"/>
        <v>28.171229088093042</v>
      </c>
      <c r="BM55" s="68">
        <f t="shared" si="116"/>
        <v>-17.653213945340568</v>
      </c>
      <c r="BO55" t="str">
        <f t="shared" si="137"/>
        <v>35 Business and public service associate professionals</v>
      </c>
      <c r="BP55" s="17">
        <f t="shared" ref="BP55:BT64" si="146">BP18/BP$35*100</f>
        <v>6.9470949700055513</v>
      </c>
      <c r="BQ55" s="17">
        <f t="shared" si="146"/>
        <v>6.8934079935091725</v>
      </c>
      <c r="BR55" s="17">
        <f t="shared" si="146"/>
        <v>6.9739628622256884</v>
      </c>
      <c r="BS55" s="17">
        <f t="shared" si="146"/>
        <v>5.8009993653257501</v>
      </c>
      <c r="BT55" s="17">
        <f t="shared" si="146"/>
        <v>4.9061199991312314</v>
      </c>
      <c r="BV55" s="67">
        <f t="shared" si="118"/>
        <v>-54.108081124121156</v>
      </c>
      <c r="BW55" s="68">
        <f t="shared" si="119"/>
        <v>23.474823699761167</v>
      </c>
      <c r="BX55" s="68">
        <f t="shared" si="120"/>
        <v>-30.633257424359982</v>
      </c>
      <c r="BZ55" t="str">
        <f t="shared" si="138"/>
        <v>35 Business and public service associate professionals</v>
      </c>
      <c r="CA55" s="17">
        <f t="shared" ref="CA55:CE64" si="147">CA18/CA$35*100</f>
        <v>5.9940454486320069</v>
      </c>
      <c r="CB55" s="17">
        <f t="shared" si="147"/>
        <v>5.8660668087211887</v>
      </c>
      <c r="CC55" s="17">
        <f t="shared" si="147"/>
        <v>6.0175449326768442</v>
      </c>
      <c r="CD55" s="17">
        <f t="shared" si="147"/>
        <v>5.2469234862718128</v>
      </c>
      <c r="CE55" s="17">
        <f t="shared" si="147"/>
        <v>3.994469760776878</v>
      </c>
      <c r="CG55" s="67">
        <f t="shared" si="122"/>
        <v>-63.833699722861006</v>
      </c>
      <c r="CH55" s="68">
        <f t="shared" si="123"/>
        <v>19.845515216204216</v>
      </c>
      <c r="CI55" s="68">
        <f t="shared" si="124"/>
        <v>-43.988184506656786</v>
      </c>
      <c r="CK55" t="str">
        <f t="shared" si="139"/>
        <v>35 Business and public service associate professionals</v>
      </c>
      <c r="CL55" s="17">
        <f t="shared" ref="CL55:CP64" si="148">CL18/CL$35*100</f>
        <v>3.2145084800799371</v>
      </c>
      <c r="CM55" s="17">
        <f t="shared" si="148"/>
        <v>3.6086281541155634</v>
      </c>
      <c r="CN55" s="17">
        <f t="shared" si="148"/>
        <v>3.8907213531013145</v>
      </c>
      <c r="CO55" s="17">
        <f t="shared" si="148"/>
        <v>3.9830631351738108</v>
      </c>
      <c r="CP55" s="17">
        <f t="shared" si="148"/>
        <v>6.0718677046267686</v>
      </c>
      <c r="CR55" s="67">
        <f t="shared" si="126"/>
        <v>-34.608656488197624</v>
      </c>
      <c r="CS55" s="68">
        <f t="shared" si="127"/>
        <v>23.475766469620417</v>
      </c>
      <c r="CT55" s="68">
        <f t="shared" si="128"/>
        <v>-11.132890018577209</v>
      </c>
    </row>
    <row r="56" spans="1:98" x14ac:dyDescent="0.2">
      <c r="A56" t="str">
        <f t="shared" si="95"/>
        <v>41 Administrative occupations</v>
      </c>
      <c r="B56" s="17">
        <f t="shared" si="140"/>
        <v>2.4149222808355635</v>
      </c>
      <c r="C56" s="17">
        <f t="shared" si="140"/>
        <v>2.3789374339698655</v>
      </c>
      <c r="D56" s="17">
        <f t="shared" si="140"/>
        <v>2.6080808046569706</v>
      </c>
      <c r="E56" s="17">
        <f t="shared" si="140"/>
        <v>2.7177288375262592</v>
      </c>
      <c r="F56" s="17">
        <f t="shared" si="140"/>
        <v>3.1793649772841355</v>
      </c>
      <c r="H56" s="67">
        <f t="shared" si="129"/>
        <v>149.84582865358772</v>
      </c>
      <c r="I56" s="68">
        <f t="shared" si="130"/>
        <v>91.830580391631074</v>
      </c>
      <c r="J56" s="68">
        <f t="shared" si="131"/>
        <v>241.67640904521878</v>
      </c>
      <c r="L56" t="str">
        <f t="shared" si="132"/>
        <v>41 Administrative occupations</v>
      </c>
      <c r="M56" s="17">
        <f t="shared" si="141"/>
        <v>4.0805584100702248</v>
      </c>
      <c r="N56" s="17">
        <f t="shared" si="141"/>
        <v>3.8185481625240381</v>
      </c>
      <c r="O56" s="17">
        <f t="shared" si="141"/>
        <v>4.099254702661379</v>
      </c>
      <c r="P56" s="17">
        <f t="shared" si="141"/>
        <v>4.0787810498300923</v>
      </c>
      <c r="Q56" s="17">
        <f t="shared" si="141"/>
        <v>4.3186549337689462</v>
      </c>
      <c r="S56" s="67">
        <f t="shared" si="98"/>
        <v>115.69345976113891</v>
      </c>
      <c r="T56" s="68">
        <f t="shared" si="99"/>
        <v>85.416677517807116</v>
      </c>
      <c r="U56" s="68">
        <f t="shared" si="100"/>
        <v>201.11013727894601</v>
      </c>
      <c r="W56" t="str">
        <f t="shared" si="133"/>
        <v>41 Administrative occupations</v>
      </c>
      <c r="X56" s="17">
        <f t="shared" si="142"/>
        <v>6.6788881834247444</v>
      </c>
      <c r="Y56" s="17">
        <f t="shared" si="142"/>
        <v>6.3163818133516871</v>
      </c>
      <c r="Z56" s="17">
        <f t="shared" si="142"/>
        <v>6.7349507279267042</v>
      </c>
      <c r="AA56" s="17">
        <f t="shared" si="142"/>
        <v>6.607455281243686</v>
      </c>
      <c r="AB56" s="17">
        <f t="shared" si="142"/>
        <v>6.7019607055200829</v>
      </c>
      <c r="AD56" s="67">
        <f t="shared" si="102"/>
        <v>-9.9071456898639578</v>
      </c>
      <c r="AE56" s="68">
        <f t="shared" si="103"/>
        <v>53.302349480752298</v>
      </c>
      <c r="AF56" s="68">
        <f t="shared" si="104"/>
        <v>43.395203790888338</v>
      </c>
      <c r="AH56" t="str">
        <f t="shared" si="134"/>
        <v>41 Administrative occupations</v>
      </c>
      <c r="AI56" s="17">
        <f t="shared" si="143"/>
        <v>8.4229376175591213</v>
      </c>
      <c r="AJ56" s="17">
        <f t="shared" si="143"/>
        <v>8.4740167653072245</v>
      </c>
      <c r="AK56" s="17">
        <f t="shared" si="143"/>
        <v>9.0340093775174317</v>
      </c>
      <c r="AL56" s="17">
        <f t="shared" si="143"/>
        <v>8.8260757835329695</v>
      </c>
      <c r="AM56" s="17">
        <f t="shared" si="143"/>
        <v>8.276241638852996</v>
      </c>
      <c r="AO56" s="67">
        <f t="shared" si="106"/>
        <v>-15.011464853271054</v>
      </c>
      <c r="AP56" s="68">
        <f t="shared" si="107"/>
        <v>53.302641657798603</v>
      </c>
      <c r="AQ56" s="68">
        <f t="shared" si="108"/>
        <v>38.291176804527545</v>
      </c>
      <c r="AS56" t="str">
        <f t="shared" si="135"/>
        <v>41 Administrative occupations</v>
      </c>
      <c r="AT56" s="17">
        <f t="shared" si="144"/>
        <v>9.0689815870832611</v>
      </c>
      <c r="AU56" s="17">
        <f t="shared" si="144"/>
        <v>8.4989911899351043</v>
      </c>
      <c r="AV56" s="17">
        <f t="shared" si="144"/>
        <v>8.8335279149892756</v>
      </c>
      <c r="AW56" s="17">
        <f t="shared" si="144"/>
        <v>8.0455198667678509</v>
      </c>
      <c r="AX56" s="17">
        <f t="shared" si="144"/>
        <v>7.3750322248250386</v>
      </c>
      <c r="AZ56" s="67">
        <f t="shared" si="110"/>
        <v>-18.102775157015174</v>
      </c>
      <c r="BA56" s="68">
        <f t="shared" si="111"/>
        <v>49.580823831330797</v>
      </c>
      <c r="BB56" s="68">
        <f t="shared" si="112"/>
        <v>31.47804867431563</v>
      </c>
      <c r="BD56" t="str">
        <f t="shared" si="136"/>
        <v>41 Administrative occupations</v>
      </c>
      <c r="BE56" s="17">
        <f t="shared" si="145"/>
        <v>8.7697199149272507</v>
      </c>
      <c r="BF56" s="17">
        <f t="shared" si="145"/>
        <v>8.7209796587965123</v>
      </c>
      <c r="BG56" s="17">
        <f t="shared" si="145"/>
        <v>8.3480181108336478</v>
      </c>
      <c r="BH56" s="17">
        <f t="shared" si="145"/>
        <v>7.6916248954961368</v>
      </c>
      <c r="BI56" s="17">
        <f t="shared" si="145"/>
        <v>5.4611694631715082</v>
      </c>
      <c r="BK56" s="67">
        <f t="shared" si="114"/>
        <v>-54.53548396180009</v>
      </c>
      <c r="BL56" s="68">
        <f t="shared" si="115"/>
        <v>31.224931139971062</v>
      </c>
      <c r="BM56" s="68">
        <f t="shared" si="116"/>
        <v>-23.310552821829027</v>
      </c>
      <c r="BO56" t="str">
        <f t="shared" si="137"/>
        <v>41 Administrative occupations</v>
      </c>
      <c r="BP56" s="17">
        <f t="shared" si="146"/>
        <v>9.4737396243507597</v>
      </c>
      <c r="BQ56" s="17">
        <f t="shared" si="146"/>
        <v>8.3681528847324991</v>
      </c>
      <c r="BR56" s="17">
        <f t="shared" si="146"/>
        <v>8.9803305799684825</v>
      </c>
      <c r="BS56" s="17">
        <f t="shared" si="146"/>
        <v>7.1304717422298731</v>
      </c>
      <c r="BT56" s="17">
        <f t="shared" si="146"/>
        <v>4.3298150797337298</v>
      </c>
      <c r="BV56" s="67">
        <f t="shared" si="118"/>
        <v>-68.54753369738944</v>
      </c>
      <c r="BW56" s="68">
        <f t="shared" si="119"/>
        <v>22.502577192806857</v>
      </c>
      <c r="BX56" s="68">
        <f t="shared" si="120"/>
        <v>-46.044956504582586</v>
      </c>
      <c r="BZ56" t="str">
        <f t="shared" si="138"/>
        <v>41 Administrative occupations</v>
      </c>
      <c r="CA56" s="17">
        <f t="shared" si="147"/>
        <v>8.0203443698199113</v>
      </c>
      <c r="CB56" s="17">
        <f t="shared" si="147"/>
        <v>6.8833651639308604</v>
      </c>
      <c r="CC56" s="17">
        <f t="shared" si="147"/>
        <v>7.3130147121281173</v>
      </c>
      <c r="CD56" s="17">
        <f t="shared" si="147"/>
        <v>4.1985073492782865</v>
      </c>
      <c r="CE56" s="17">
        <f t="shared" si="147"/>
        <v>1.6135471161723685</v>
      </c>
      <c r="CG56" s="67">
        <f t="shared" si="122"/>
        <v>-87.978753788812142</v>
      </c>
      <c r="CH56" s="68">
        <f t="shared" si="123"/>
        <v>14.338652777180769</v>
      </c>
      <c r="CI56" s="68">
        <f t="shared" si="124"/>
        <v>-73.640101011631359</v>
      </c>
      <c r="CK56" t="str">
        <f t="shared" si="139"/>
        <v>41 Administrative occupations</v>
      </c>
      <c r="CL56" s="17">
        <f t="shared" si="148"/>
        <v>4.9873682168586031</v>
      </c>
      <c r="CM56" s="17">
        <f t="shared" si="148"/>
        <v>4.7651725213509533</v>
      </c>
      <c r="CN56" s="17">
        <f t="shared" si="148"/>
        <v>5.2036472715898956</v>
      </c>
      <c r="CO56" s="17">
        <f t="shared" si="148"/>
        <v>4.6714006646660842</v>
      </c>
      <c r="CP56" s="17">
        <f t="shared" si="148"/>
        <v>5.185510446578653</v>
      </c>
      <c r="CR56" s="67">
        <f t="shared" si="126"/>
        <v>-58.244686227464811</v>
      </c>
      <c r="CS56" s="68">
        <f t="shared" si="127"/>
        <v>18.837734329959797</v>
      </c>
      <c r="CT56" s="68">
        <f t="shared" si="128"/>
        <v>-39.406951897505024</v>
      </c>
    </row>
    <row r="57" spans="1:98" x14ac:dyDescent="0.2">
      <c r="A57" t="str">
        <f t="shared" si="95"/>
        <v>42 Secretarial and related occupations</v>
      </c>
      <c r="B57" s="17">
        <f t="shared" si="140"/>
        <v>0.26869663017688739</v>
      </c>
      <c r="C57" s="17">
        <f t="shared" si="140"/>
        <v>0.28960334438206931</v>
      </c>
      <c r="D57" s="17">
        <f t="shared" si="140"/>
        <v>0.27499458166713636</v>
      </c>
      <c r="E57" s="17">
        <f t="shared" si="140"/>
        <v>0.36291805136398897</v>
      </c>
      <c r="F57" s="17">
        <f t="shared" si="140"/>
        <v>0.52437266916060599</v>
      </c>
      <c r="H57" s="67">
        <f t="shared" si="129"/>
        <v>290.81270224344757</v>
      </c>
      <c r="I57" s="68">
        <f t="shared" si="130"/>
        <v>168.68439056097458</v>
      </c>
      <c r="J57" s="68">
        <f t="shared" si="131"/>
        <v>459.4970928044221</v>
      </c>
      <c r="L57" t="str">
        <f t="shared" si="132"/>
        <v>42 Secretarial and related occupations</v>
      </c>
      <c r="M57" s="17">
        <f t="shared" si="141"/>
        <v>0.67034928293895679</v>
      </c>
      <c r="N57" s="17">
        <f t="shared" si="141"/>
        <v>0.61887437361084163</v>
      </c>
      <c r="O57" s="17">
        <f t="shared" si="141"/>
        <v>0.61481598113837999</v>
      </c>
      <c r="P57" s="17">
        <f t="shared" si="141"/>
        <v>0.78192377835729077</v>
      </c>
      <c r="Q57" s="17">
        <f t="shared" si="141"/>
        <v>0.78035731254473339</v>
      </c>
      <c r="S57" s="67">
        <f t="shared" si="98"/>
        <v>159.86137502903517</v>
      </c>
      <c r="T57" s="68">
        <f t="shared" si="99"/>
        <v>114.27439466753724</v>
      </c>
      <c r="U57" s="68">
        <f t="shared" si="100"/>
        <v>274.13576969657242</v>
      </c>
      <c r="W57" t="str">
        <f t="shared" si="133"/>
        <v>42 Secretarial and related occupations</v>
      </c>
      <c r="X57" s="17">
        <f t="shared" si="142"/>
        <v>1.2989566416528608</v>
      </c>
      <c r="Y57" s="17">
        <f t="shared" si="142"/>
        <v>1.2181852959100448</v>
      </c>
      <c r="Z57" s="17">
        <f t="shared" si="142"/>
        <v>1.2396759750871293</v>
      </c>
      <c r="AA57" s="17">
        <f t="shared" si="142"/>
        <v>1.7349493913393472</v>
      </c>
      <c r="AB57" s="17">
        <f t="shared" si="142"/>
        <v>2.2791076214853496</v>
      </c>
      <c r="AD57" s="67">
        <f t="shared" si="102"/>
        <v>66.448367805380798</v>
      </c>
      <c r="AE57" s="68">
        <f t="shared" si="103"/>
        <v>89.796434755504279</v>
      </c>
      <c r="AF57" s="68">
        <f t="shared" si="104"/>
        <v>156.24480256088509</v>
      </c>
      <c r="AH57" t="str">
        <f t="shared" si="134"/>
        <v>42 Secretarial and related occupations</v>
      </c>
      <c r="AI57" s="17">
        <f t="shared" si="143"/>
        <v>2.234213479694211</v>
      </c>
      <c r="AJ57" s="17">
        <f t="shared" si="143"/>
        <v>2.2212337490082312</v>
      </c>
      <c r="AK57" s="17">
        <f t="shared" si="143"/>
        <v>2.3531844470002952</v>
      </c>
      <c r="AL57" s="17">
        <f t="shared" si="143"/>
        <v>3.1516964726870462</v>
      </c>
      <c r="AM57" s="17">
        <f t="shared" si="143"/>
        <v>3.4348021085327618</v>
      </c>
      <c r="AO57" s="67">
        <f t="shared" si="106"/>
        <v>35.410851871191916</v>
      </c>
      <c r="AP57" s="68">
        <f t="shared" si="107"/>
        <v>77.87066693645329</v>
      </c>
      <c r="AQ57" s="68">
        <f t="shared" si="108"/>
        <v>113.28151880764521</v>
      </c>
      <c r="AS57" t="str">
        <f t="shared" si="135"/>
        <v>42 Secretarial and related occupations</v>
      </c>
      <c r="AT57" s="17">
        <f t="shared" si="144"/>
        <v>1.7699983541062738</v>
      </c>
      <c r="AU57" s="17">
        <f t="shared" si="144"/>
        <v>1.5182910288219362</v>
      </c>
      <c r="AV57" s="17">
        <f t="shared" si="144"/>
        <v>1.500508321142044</v>
      </c>
      <c r="AW57" s="17">
        <f t="shared" si="144"/>
        <v>1.7725682503320679</v>
      </c>
      <c r="AX57" s="17">
        <f t="shared" si="144"/>
        <v>1.3509347898894537</v>
      </c>
      <c r="AZ57" s="67">
        <f t="shared" si="110"/>
        <v>-11.684806077268272</v>
      </c>
      <c r="BA57" s="68">
        <f t="shared" si="111"/>
        <v>62.383661727686487</v>
      </c>
      <c r="BB57" s="68">
        <f t="shared" si="112"/>
        <v>50.698855650418217</v>
      </c>
      <c r="BD57" t="str">
        <f t="shared" si="136"/>
        <v>42 Secretarial and related occupations</v>
      </c>
      <c r="BE57" s="17">
        <f t="shared" si="145"/>
        <v>1.9735943576474408</v>
      </c>
      <c r="BF57" s="17">
        <f t="shared" si="145"/>
        <v>1.8557778778023541</v>
      </c>
      <c r="BG57" s="17">
        <f t="shared" si="145"/>
        <v>1.5301185845967953</v>
      </c>
      <c r="BH57" s="17">
        <f t="shared" si="145"/>
        <v>1.4478752498439034</v>
      </c>
      <c r="BI57" s="17">
        <f t="shared" si="145"/>
        <v>0.24891015582931569</v>
      </c>
      <c r="BK57" s="67">
        <f t="shared" si="114"/>
        <v>-88.694550652435609</v>
      </c>
      <c r="BL57" s="68">
        <f t="shared" si="115"/>
        <v>24.843602442242492</v>
      </c>
      <c r="BM57" s="68">
        <f t="shared" si="116"/>
        <v>-63.850948210193117</v>
      </c>
      <c r="BO57" t="str">
        <f t="shared" si="137"/>
        <v>42 Secretarial and related occupations</v>
      </c>
      <c r="BP57" s="17">
        <f t="shared" si="146"/>
        <v>2.5643804924168796</v>
      </c>
      <c r="BQ57" s="17">
        <f t="shared" si="146"/>
        <v>1.9408185856964719</v>
      </c>
      <c r="BR57" s="17">
        <f t="shared" si="146"/>
        <v>1.9181185493059016</v>
      </c>
      <c r="BS57" s="17">
        <f t="shared" si="146"/>
        <v>1.21882124419941</v>
      </c>
      <c r="BT57" s="17">
        <f t="shared" si="146"/>
        <v>0.15362627423279956</v>
      </c>
      <c r="BV57" s="67">
        <f t="shared" si="118"/>
        <v>-94.775223300413629</v>
      </c>
      <c r="BW57" s="68">
        <f t="shared" si="119"/>
        <v>16.738075931015516</v>
      </c>
      <c r="BX57" s="68">
        <f t="shared" si="120"/>
        <v>-78.037147369398113</v>
      </c>
      <c r="BZ57" t="str">
        <f t="shared" si="138"/>
        <v>42 Secretarial and related occupations</v>
      </c>
      <c r="CA57" s="17">
        <f t="shared" si="147"/>
        <v>3.5988516976885716</v>
      </c>
      <c r="CB57" s="17">
        <f t="shared" si="147"/>
        <v>3.0848977434459401</v>
      </c>
      <c r="CC57" s="17">
        <f t="shared" si="147"/>
        <v>3.1985308128276513</v>
      </c>
      <c r="CD57" s="17">
        <f t="shared" si="147"/>
        <v>1.3378047477868555</v>
      </c>
      <c r="CE57" s="17">
        <f t="shared" si="147"/>
        <v>0.26401501344116429</v>
      </c>
      <c r="CG57" s="67">
        <f t="shared" si="122"/>
        <v>-95.502798228149786</v>
      </c>
      <c r="CH57" s="68">
        <f t="shared" si="123"/>
        <v>14.339276373034773</v>
      </c>
      <c r="CI57" s="68">
        <f t="shared" si="124"/>
        <v>-81.163521855115022</v>
      </c>
      <c r="CK57" t="str">
        <f t="shared" si="139"/>
        <v>42 Secretarial and related occupations</v>
      </c>
      <c r="CL57" s="17">
        <f t="shared" si="148"/>
        <v>2.1857509165981339</v>
      </c>
      <c r="CM57" s="17">
        <f t="shared" si="148"/>
        <v>2.4119535926100668</v>
      </c>
      <c r="CN57" s="17">
        <f t="shared" si="148"/>
        <v>2.7587832791170808</v>
      </c>
      <c r="CO57" s="17">
        <f t="shared" si="148"/>
        <v>3.6669102116906722</v>
      </c>
      <c r="CP57" s="17">
        <f t="shared" si="148"/>
        <v>4.0123127234299476</v>
      </c>
      <c r="CR57" s="67">
        <f t="shared" si="126"/>
        <v>-39.059603123197917</v>
      </c>
      <c r="CS57" s="68">
        <f t="shared" si="127"/>
        <v>35.025800220904287</v>
      </c>
      <c r="CT57" s="68">
        <f t="shared" si="128"/>
        <v>-4.033802902293627</v>
      </c>
    </row>
    <row r="58" spans="1:98" x14ac:dyDescent="0.2">
      <c r="A58" t="str">
        <f t="shared" si="95"/>
        <v>51 Skilled agricultural and related trades</v>
      </c>
      <c r="B58" s="17">
        <f t="shared" si="140"/>
        <v>8.8261063602332296E-2</v>
      </c>
      <c r="C58" s="17">
        <f t="shared" si="140"/>
        <v>9.4137468819916414E-2</v>
      </c>
      <c r="D58" s="17">
        <f t="shared" si="140"/>
        <v>7.5504453573956076E-2</v>
      </c>
      <c r="E58" s="17">
        <f t="shared" si="140"/>
        <v>7.7979411099245596E-2</v>
      </c>
      <c r="F58" s="17">
        <f t="shared" si="140"/>
        <v>9.3514210244980522E-2</v>
      </c>
      <c r="H58" s="67">
        <f t="shared" si="129"/>
        <v>153.83868041413277</v>
      </c>
      <c r="I58" s="68">
        <f t="shared" si="130"/>
        <v>133.25351188563567</v>
      </c>
      <c r="J58" s="68">
        <f t="shared" si="131"/>
        <v>287.09219229976844</v>
      </c>
      <c r="L58" t="str">
        <f t="shared" si="132"/>
        <v>51 Skilled agricultural and related trades</v>
      </c>
      <c r="M58" s="17">
        <f t="shared" si="141"/>
        <v>9.9951497437749656E-2</v>
      </c>
      <c r="N58" s="17">
        <f t="shared" si="141"/>
        <v>0.10332783931128145</v>
      </c>
      <c r="O58" s="17">
        <f t="shared" si="141"/>
        <v>8.3121485595332126E-2</v>
      </c>
      <c r="P58" s="17">
        <f t="shared" si="141"/>
        <v>8.8665498876510637E-2</v>
      </c>
      <c r="Q58" s="17">
        <f t="shared" si="141"/>
        <v>0.10656281875031166</v>
      </c>
      <c r="S58" s="67">
        <f t="shared" si="98"/>
        <v>162.47369108885812</v>
      </c>
      <c r="T58" s="68">
        <f t="shared" si="99"/>
        <v>133.29424391751746</v>
      </c>
      <c r="U58" s="68">
        <f t="shared" si="100"/>
        <v>295.76793500637552</v>
      </c>
      <c r="W58" t="str">
        <f t="shared" si="133"/>
        <v>51 Skilled agricultural and related trades</v>
      </c>
      <c r="X58" s="17">
        <f t="shared" si="142"/>
        <v>0.26497068950421143</v>
      </c>
      <c r="Y58" s="17">
        <f t="shared" si="142"/>
        <v>0.25337948817207689</v>
      </c>
      <c r="Z58" s="17">
        <f t="shared" si="142"/>
        <v>0.33067672544900378</v>
      </c>
      <c r="AA58" s="17">
        <f t="shared" si="142"/>
        <v>0.39005672411432329</v>
      </c>
      <c r="AB58" s="17">
        <f t="shared" si="142"/>
        <v>0.59034914237975022</v>
      </c>
      <c r="AD58" s="67">
        <f t="shared" si="102"/>
        <v>61.632317659380178</v>
      </c>
      <c r="AE58" s="68">
        <f t="shared" si="103"/>
        <v>101.11848059916275</v>
      </c>
      <c r="AF58" s="68">
        <f t="shared" si="104"/>
        <v>162.75079825854291</v>
      </c>
      <c r="AH58" t="str">
        <f t="shared" si="134"/>
        <v>51 Skilled agricultural and related trades</v>
      </c>
      <c r="AI58" s="17">
        <f t="shared" si="143"/>
        <v>0.67863104448614164</v>
      </c>
      <c r="AJ58" s="17">
        <f t="shared" si="143"/>
        <v>0.74693245654575879</v>
      </c>
      <c r="AK58" s="17">
        <f t="shared" si="143"/>
        <v>0.71250239105528146</v>
      </c>
      <c r="AL58" s="17">
        <f t="shared" si="143"/>
        <v>0.88287130269312764</v>
      </c>
      <c r="AM58" s="17">
        <f t="shared" si="143"/>
        <v>1.1213474425974348</v>
      </c>
      <c r="AO58" s="67">
        <f t="shared" si="106"/>
        <v>46.002936123932933</v>
      </c>
      <c r="AP58" s="68">
        <f t="shared" si="107"/>
        <v>103.16304906421092</v>
      </c>
      <c r="AQ58" s="68">
        <f t="shared" si="108"/>
        <v>149.16598518814385</v>
      </c>
      <c r="AS58" t="str">
        <f t="shared" si="135"/>
        <v>51 Skilled agricultural and related trades</v>
      </c>
      <c r="AT58" s="17">
        <f t="shared" si="144"/>
        <v>0.76130927043887175</v>
      </c>
      <c r="AU58" s="17">
        <f t="shared" si="144"/>
        <v>0.75634284738713675</v>
      </c>
      <c r="AV58" s="17">
        <f t="shared" si="144"/>
        <v>0.72702500128469016</v>
      </c>
      <c r="AW58" s="17">
        <f t="shared" si="144"/>
        <v>0.83723510844180216</v>
      </c>
      <c r="AX58" s="17">
        <f t="shared" si="144"/>
        <v>1.1417604568633974</v>
      </c>
      <c r="AZ58" s="67">
        <f t="shared" si="110"/>
        <v>54.05120546087754</v>
      </c>
      <c r="BA58" s="68">
        <f t="shared" si="111"/>
        <v>94.720736821634276</v>
      </c>
      <c r="BB58" s="68">
        <f t="shared" si="112"/>
        <v>148.77194228251182</v>
      </c>
      <c r="BD58" t="str">
        <f t="shared" si="136"/>
        <v>51 Skilled agricultural and related trades</v>
      </c>
      <c r="BE58" s="17">
        <f t="shared" si="145"/>
        <v>0.35783817316572158</v>
      </c>
      <c r="BF58" s="17">
        <f t="shared" si="145"/>
        <v>0.3386441824059202</v>
      </c>
      <c r="BG58" s="17">
        <f t="shared" si="145"/>
        <v>0.33267585512362863</v>
      </c>
      <c r="BH58" s="17">
        <f t="shared" si="145"/>
        <v>0.28936371279698914</v>
      </c>
      <c r="BI58" s="17">
        <f t="shared" si="145"/>
        <v>0.28558531351929528</v>
      </c>
      <c r="BK58" s="67">
        <f t="shared" si="114"/>
        <v>-40.339774614889613</v>
      </c>
      <c r="BL58" s="68">
        <f t="shared" si="115"/>
        <v>40.033365786234512</v>
      </c>
      <c r="BM58" s="68">
        <f t="shared" si="116"/>
        <v>-0.30640882865510061</v>
      </c>
      <c r="BO58" t="str">
        <f t="shared" si="137"/>
        <v>51 Skilled agricultural and related trades</v>
      </c>
      <c r="BP58" s="17">
        <f t="shared" si="146"/>
        <v>0.6537125457421028</v>
      </c>
      <c r="BQ58" s="17">
        <f t="shared" si="146"/>
        <v>0.70201372728151601</v>
      </c>
      <c r="BR58" s="17">
        <f t="shared" si="146"/>
        <v>0.68455754992780105</v>
      </c>
      <c r="BS58" s="17">
        <f t="shared" si="146"/>
        <v>0.78151803448566259</v>
      </c>
      <c r="BT58" s="17">
        <f t="shared" si="146"/>
        <v>1.0554068977319382</v>
      </c>
      <c r="BV58" s="67">
        <f t="shared" si="118"/>
        <v>0.57444500755641248</v>
      </c>
      <c r="BW58" s="68">
        <f t="shared" si="119"/>
        <v>56.504206686106869</v>
      </c>
      <c r="BX58" s="68">
        <f t="shared" si="120"/>
        <v>57.078651693663282</v>
      </c>
      <c r="BZ58" t="str">
        <f t="shared" si="138"/>
        <v>51 Skilled agricultural and related trades</v>
      </c>
      <c r="CA58" s="17">
        <f t="shared" si="147"/>
        <v>0.81846453375674921</v>
      </c>
      <c r="CB58" s="17">
        <f t="shared" si="147"/>
        <v>0.81997972896043991</v>
      </c>
      <c r="CC58" s="17">
        <f t="shared" si="147"/>
        <v>0.81314153889608543</v>
      </c>
      <c r="CD58" s="17">
        <f t="shared" si="147"/>
        <v>0.95534271933559112</v>
      </c>
      <c r="CE58" s="17">
        <f t="shared" si="147"/>
        <v>1.9507012038964056</v>
      </c>
      <c r="CG58" s="67">
        <f t="shared" si="122"/>
        <v>30.704004144715057</v>
      </c>
      <c r="CH58" s="68">
        <f t="shared" si="123"/>
        <v>51.140319473931548</v>
      </c>
      <c r="CI58" s="68">
        <f t="shared" si="124"/>
        <v>81.844323618646612</v>
      </c>
      <c r="CK58" t="str">
        <f t="shared" si="139"/>
        <v>51 Skilled agricultural and related trades</v>
      </c>
      <c r="CL58" s="17">
        <f t="shared" si="148"/>
        <v>1.3805934814375447</v>
      </c>
      <c r="CM58" s="17">
        <f t="shared" si="148"/>
        <v>1.2444253076592513</v>
      </c>
      <c r="CN58" s="17">
        <f t="shared" si="148"/>
        <v>1.2132813468439942</v>
      </c>
      <c r="CO58" s="17">
        <f t="shared" si="148"/>
        <v>1.3658907119640074</v>
      </c>
      <c r="CP58" s="17">
        <f t="shared" si="148"/>
        <v>0.96777265524488598</v>
      </c>
      <c r="CR58" s="67">
        <f t="shared" si="126"/>
        <v>-66.577424392619704</v>
      </c>
      <c r="CS58" s="68">
        <f t="shared" si="127"/>
        <v>26.714090925112888</v>
      </c>
      <c r="CT58" s="68">
        <f t="shared" si="128"/>
        <v>-39.863333467506806</v>
      </c>
    </row>
    <row r="59" spans="1:98" x14ac:dyDescent="0.2">
      <c r="A59" t="str">
        <f t="shared" si="95"/>
        <v>52 Skilled metal, electrical and electronic trades</v>
      </c>
      <c r="B59" s="17">
        <f t="shared" si="140"/>
        <v>0.27016506801630374</v>
      </c>
      <c r="C59" s="17">
        <f t="shared" si="140"/>
        <v>0.29506566300570825</v>
      </c>
      <c r="D59" s="17">
        <f t="shared" si="140"/>
        <v>0.30806048644263878</v>
      </c>
      <c r="E59" s="17">
        <f t="shared" si="140"/>
        <v>0.33272165841867574</v>
      </c>
      <c r="F59" s="17">
        <f t="shared" si="140"/>
        <v>0.41371999420744571</v>
      </c>
      <c r="H59" s="67">
        <f t="shared" si="129"/>
        <v>175.24743019520514</v>
      </c>
      <c r="I59" s="68">
        <f t="shared" si="130"/>
        <v>86.097997821611187</v>
      </c>
      <c r="J59" s="68">
        <f t="shared" si="131"/>
        <v>261.3454280168163</v>
      </c>
      <c r="L59" t="str">
        <f t="shared" si="132"/>
        <v>52 Skilled metal, electrical and electronic trades</v>
      </c>
      <c r="M59" s="17">
        <f t="shared" si="141"/>
        <v>0.52049347094566567</v>
      </c>
      <c r="N59" s="17">
        <f t="shared" si="141"/>
        <v>0.55018533777706979</v>
      </c>
      <c r="O59" s="17">
        <f t="shared" si="141"/>
        <v>0.48570962737909334</v>
      </c>
      <c r="P59" s="17">
        <f t="shared" si="141"/>
        <v>0.65671029732689878</v>
      </c>
      <c r="Q59" s="17">
        <f t="shared" si="141"/>
        <v>0.81854560685485411</v>
      </c>
      <c r="S59" s="67">
        <f t="shared" si="98"/>
        <v>245.0321351049414</v>
      </c>
      <c r="T59" s="68">
        <f t="shared" si="99"/>
        <v>109.76225095141612</v>
      </c>
      <c r="U59" s="68">
        <f t="shared" si="100"/>
        <v>354.7943860563575</v>
      </c>
      <c r="W59" t="str">
        <f t="shared" si="133"/>
        <v>52 Skilled metal, electrical and electronic trades</v>
      </c>
      <c r="X59" s="17">
        <f t="shared" si="142"/>
        <v>0.82458541653637818</v>
      </c>
      <c r="Y59" s="17">
        <f t="shared" si="142"/>
        <v>0.83556866366992755</v>
      </c>
      <c r="Z59" s="17">
        <f t="shared" si="142"/>
        <v>0.69801068245394837</v>
      </c>
      <c r="AA59" s="17">
        <f t="shared" si="142"/>
        <v>0.85874359162439617</v>
      </c>
      <c r="AB59" s="17">
        <f t="shared" si="142"/>
        <v>1.1153595542250887</v>
      </c>
      <c r="AD59" s="67">
        <f t="shared" si="102"/>
        <v>44.669078347102463</v>
      </c>
      <c r="AE59" s="68">
        <f t="shared" si="103"/>
        <v>64.247137143994181</v>
      </c>
      <c r="AF59" s="68">
        <f t="shared" si="104"/>
        <v>108.91621549109665</v>
      </c>
      <c r="AH59" t="str">
        <f t="shared" si="134"/>
        <v>52 Skilled metal, electrical and electronic trades</v>
      </c>
      <c r="AI59" s="17">
        <f t="shared" si="143"/>
        <v>1.016259445761754</v>
      </c>
      <c r="AJ59" s="17">
        <f t="shared" si="143"/>
        <v>1.1669842938472876</v>
      </c>
      <c r="AK59" s="17">
        <f t="shared" si="143"/>
        <v>1.0520822522704587</v>
      </c>
      <c r="AL59" s="17">
        <f t="shared" si="143"/>
        <v>1.2621008786601113</v>
      </c>
      <c r="AM59" s="17">
        <f t="shared" si="143"/>
        <v>1.752942134074472</v>
      </c>
      <c r="AO59" s="67">
        <f t="shared" si="106"/>
        <v>54.570141396309459</v>
      </c>
      <c r="AP59" s="68">
        <f t="shared" si="107"/>
        <v>61.517037515095573</v>
      </c>
      <c r="AQ59" s="68">
        <f t="shared" si="108"/>
        <v>116.087178911405</v>
      </c>
      <c r="AS59" t="str">
        <f t="shared" si="135"/>
        <v>52 Skilled metal, electrical and electronic trades</v>
      </c>
      <c r="AT59" s="17">
        <f t="shared" si="144"/>
        <v>4.1017183729354327</v>
      </c>
      <c r="AU59" s="17">
        <f t="shared" si="144"/>
        <v>4.1825289379537951</v>
      </c>
      <c r="AV59" s="17">
        <f t="shared" si="144"/>
        <v>3.5928387618958362</v>
      </c>
      <c r="AW59" s="17">
        <f t="shared" si="144"/>
        <v>4.143105629452613</v>
      </c>
      <c r="AX59" s="17">
        <f t="shared" si="144"/>
        <v>5.4224680920436485</v>
      </c>
      <c r="AZ59" s="67">
        <f t="shared" si="110"/>
        <v>48.04669843009944</v>
      </c>
      <c r="BA59" s="68">
        <f t="shared" si="111"/>
        <v>58.369016466291448</v>
      </c>
      <c r="BB59" s="68">
        <f t="shared" si="112"/>
        <v>106.41571489639088</v>
      </c>
      <c r="BD59" t="str">
        <f t="shared" si="136"/>
        <v>52 Skilled metal, electrical and electronic trades</v>
      </c>
      <c r="BE59" s="17">
        <f t="shared" si="145"/>
        <v>4.9083744095298334</v>
      </c>
      <c r="BF59" s="17">
        <f t="shared" si="145"/>
        <v>4.6521564835821101</v>
      </c>
      <c r="BG59" s="17">
        <f t="shared" si="145"/>
        <v>4.9189227707967387</v>
      </c>
      <c r="BH59" s="17">
        <f t="shared" si="145"/>
        <v>4.6763333025691134</v>
      </c>
      <c r="BI59" s="17">
        <f t="shared" si="145"/>
        <v>4.620606565507682</v>
      </c>
      <c r="BK59" s="67">
        <f t="shared" si="114"/>
        <v>-34.717122496202499</v>
      </c>
      <c r="BL59" s="68">
        <f t="shared" si="115"/>
        <v>26.391752191641555</v>
      </c>
      <c r="BM59" s="68">
        <f t="shared" si="116"/>
        <v>-8.3253703045609448</v>
      </c>
      <c r="BO59" t="str">
        <f t="shared" si="137"/>
        <v>52 Skilled metal, electrical and electronic trades</v>
      </c>
      <c r="BP59" s="17">
        <f t="shared" si="146"/>
        <v>3.4052775089475338</v>
      </c>
      <c r="BQ59" s="17">
        <f t="shared" si="146"/>
        <v>3.7694336015833176</v>
      </c>
      <c r="BR59" s="17">
        <f t="shared" si="146"/>
        <v>3.3848190620302288</v>
      </c>
      <c r="BS59" s="17">
        <f t="shared" si="146"/>
        <v>3.5326107091316601</v>
      </c>
      <c r="BT59" s="17">
        <f t="shared" si="146"/>
        <v>3.3076829007099224</v>
      </c>
      <c r="BV59" s="67">
        <f t="shared" si="118"/>
        <v>-36.252069404273627</v>
      </c>
      <c r="BW59" s="68">
        <f t="shared" si="119"/>
        <v>28.082966753642953</v>
      </c>
      <c r="BX59" s="68">
        <f t="shared" si="120"/>
        <v>-8.1691026506306752</v>
      </c>
      <c r="BZ59" t="str">
        <f t="shared" si="138"/>
        <v>52 Skilled metal, electrical and electronic trades</v>
      </c>
      <c r="CA59" s="17">
        <f t="shared" si="147"/>
        <v>2.3469673801119666</v>
      </c>
      <c r="CB59" s="17">
        <f t="shared" si="147"/>
        <v>2.5203057786925971</v>
      </c>
      <c r="CC59" s="17">
        <f t="shared" si="147"/>
        <v>2.1932521606390911</v>
      </c>
      <c r="CD59" s="17">
        <f t="shared" si="147"/>
        <v>2.5523470055048381</v>
      </c>
      <c r="CE59" s="17">
        <f t="shared" si="147"/>
        <v>1.9204932439804978</v>
      </c>
      <c r="CG59" s="67">
        <f t="shared" si="122"/>
        <v>-52.292297138497382</v>
      </c>
      <c r="CH59" s="68">
        <f t="shared" si="123"/>
        <v>25.737748552797342</v>
      </c>
      <c r="CI59" s="68">
        <f t="shared" si="124"/>
        <v>-26.55454858570004</v>
      </c>
      <c r="CK59" t="str">
        <f t="shared" si="139"/>
        <v>52 Skilled metal, electrical and electronic trades</v>
      </c>
      <c r="CL59" s="17">
        <f t="shared" si="148"/>
        <v>2.5853918439133849</v>
      </c>
      <c r="CM59" s="17">
        <f t="shared" si="148"/>
        <v>3.1688127068877368</v>
      </c>
      <c r="CN59" s="17">
        <f t="shared" si="148"/>
        <v>2.9103968480510898</v>
      </c>
      <c r="CO59" s="17">
        <f t="shared" si="148"/>
        <v>3.5860728946175264</v>
      </c>
      <c r="CP59" s="17">
        <f t="shared" si="148"/>
        <v>2.8760214824221397</v>
      </c>
      <c r="CR59" s="67">
        <f t="shared" si="126"/>
        <v>-58.593549525177622</v>
      </c>
      <c r="CS59" s="68">
        <f t="shared" si="127"/>
        <v>25.779054387724536</v>
      </c>
      <c r="CT59" s="68">
        <f t="shared" si="128"/>
        <v>-32.814495137453079</v>
      </c>
    </row>
    <row r="60" spans="1:98" x14ac:dyDescent="0.2">
      <c r="A60" t="str">
        <f t="shared" si="95"/>
        <v>53 Skilled construction and building trades</v>
      </c>
      <c r="B60" s="17">
        <f t="shared" si="140"/>
        <v>0.14213498400588878</v>
      </c>
      <c r="C60" s="17">
        <f t="shared" si="140"/>
        <v>9.2073529501584511E-2</v>
      </c>
      <c r="D60" s="17">
        <f t="shared" si="140"/>
        <v>6.2934060924660293E-2</v>
      </c>
      <c r="E60" s="17">
        <f t="shared" si="140"/>
        <v>9.7789724722871882E-2</v>
      </c>
      <c r="F60" s="17">
        <f t="shared" si="140"/>
        <v>0.10702413443416869</v>
      </c>
      <c r="H60" s="67">
        <f t="shared" si="129"/>
        <v>248.53687082751054</v>
      </c>
      <c r="I60" s="68">
        <f t="shared" si="130"/>
        <v>111.70430453407916</v>
      </c>
      <c r="J60" s="68">
        <f t="shared" si="131"/>
        <v>360.24117536158968</v>
      </c>
      <c r="L60" t="str">
        <f t="shared" si="132"/>
        <v>53 Skilled construction and building trades</v>
      </c>
      <c r="M60" s="17">
        <f t="shared" si="141"/>
        <v>0.39437193490406375</v>
      </c>
      <c r="N60" s="17">
        <f t="shared" si="141"/>
        <v>0.36959383576722615</v>
      </c>
      <c r="O60" s="17">
        <f t="shared" si="141"/>
        <v>0.2779302142910533</v>
      </c>
      <c r="P60" s="17">
        <f t="shared" si="141"/>
        <v>0.36499395250176625</v>
      </c>
      <c r="Q60" s="17">
        <f t="shared" si="141"/>
        <v>0.49615613172925654</v>
      </c>
      <c r="S60" s="67">
        <f t="shared" si="98"/>
        <v>265.49040162189306</v>
      </c>
      <c r="T60" s="68">
        <f t="shared" si="99"/>
        <v>121.21016186061317</v>
      </c>
      <c r="U60" s="68">
        <f t="shared" si="100"/>
        <v>386.7005634825062</v>
      </c>
      <c r="W60" t="str">
        <f t="shared" si="133"/>
        <v>53 Skilled construction and building trades</v>
      </c>
      <c r="X60" s="17">
        <f t="shared" si="142"/>
        <v>0.5902318768810878</v>
      </c>
      <c r="Y60" s="17">
        <f t="shared" si="142"/>
        <v>0.5280584992576528</v>
      </c>
      <c r="Z60" s="17">
        <f t="shared" si="142"/>
        <v>0.44500532931343861</v>
      </c>
      <c r="AA60" s="17">
        <f t="shared" si="142"/>
        <v>0.55987033459351832</v>
      </c>
      <c r="AB60" s="17">
        <f t="shared" si="142"/>
        <v>0.71015500788632924</v>
      </c>
      <c r="AD60" s="67">
        <f t="shared" si="102"/>
        <v>44.481031630190913</v>
      </c>
      <c r="AE60" s="68">
        <f t="shared" si="103"/>
        <v>75.519428848112995</v>
      </c>
      <c r="AF60" s="68">
        <f t="shared" si="104"/>
        <v>120.00046047830391</v>
      </c>
      <c r="AH60" t="str">
        <f t="shared" si="134"/>
        <v>53 Skilled construction and building trades</v>
      </c>
      <c r="AI60" s="17">
        <f t="shared" si="143"/>
        <v>1.5929063235771719</v>
      </c>
      <c r="AJ60" s="17">
        <f t="shared" si="143"/>
        <v>1.6360489619893712</v>
      </c>
      <c r="AK60" s="17">
        <f t="shared" si="143"/>
        <v>1.262984431078191</v>
      </c>
      <c r="AL60" s="17">
        <f t="shared" si="143"/>
        <v>1.6411361562404774</v>
      </c>
      <c r="AM60" s="17">
        <f t="shared" si="143"/>
        <v>2.0613789692063342</v>
      </c>
      <c r="AO60" s="67">
        <f t="shared" si="106"/>
        <v>51.414533438955971</v>
      </c>
      <c r="AP60" s="68">
        <f t="shared" si="107"/>
        <v>81.198742439135856</v>
      </c>
      <c r="AQ60" s="68">
        <f t="shared" si="108"/>
        <v>132.61327587809183</v>
      </c>
      <c r="AS60" t="str">
        <f t="shared" si="135"/>
        <v>53 Skilled construction and building trades</v>
      </c>
      <c r="AT60" s="17">
        <f t="shared" si="144"/>
        <v>2.6085556895074924</v>
      </c>
      <c r="AU60" s="17">
        <f t="shared" si="144"/>
        <v>2.154953503236988</v>
      </c>
      <c r="AV60" s="17">
        <f t="shared" si="144"/>
        <v>1.8252202240445006</v>
      </c>
      <c r="AW60" s="17">
        <f t="shared" si="144"/>
        <v>2.4597545524329165</v>
      </c>
      <c r="AX60" s="17">
        <f t="shared" si="144"/>
        <v>3.0502540328996854</v>
      </c>
      <c r="AZ60" s="67">
        <f t="shared" si="110"/>
        <v>63.930659789649127</v>
      </c>
      <c r="BA60" s="68">
        <f t="shared" si="111"/>
        <v>87.70267018599921</v>
      </c>
      <c r="BB60" s="68">
        <f t="shared" si="112"/>
        <v>151.63332997564834</v>
      </c>
      <c r="BD60" t="str">
        <f t="shared" si="136"/>
        <v>53 Skilled construction and building trades</v>
      </c>
      <c r="BE60" s="17">
        <f t="shared" si="145"/>
        <v>6.1434019357312932</v>
      </c>
      <c r="BF60" s="17">
        <f t="shared" si="145"/>
        <v>4.6157890599783933</v>
      </c>
      <c r="BG60" s="17">
        <f t="shared" si="145"/>
        <v>4.5148925652569112</v>
      </c>
      <c r="BH60" s="17">
        <f t="shared" si="145"/>
        <v>4.5322836954164742</v>
      </c>
      <c r="BI60" s="17">
        <f t="shared" si="145"/>
        <v>4.5538905438470518</v>
      </c>
      <c r="BK60" s="67">
        <f t="shared" si="114"/>
        <v>-29.902025473962972</v>
      </c>
      <c r="BL60" s="68">
        <f t="shared" si="115"/>
        <v>31.758070561265722</v>
      </c>
      <c r="BM60" s="68">
        <f t="shared" si="116"/>
        <v>1.8560450873027459</v>
      </c>
      <c r="BO60" t="str">
        <f t="shared" si="137"/>
        <v>53 Skilled construction and building trades</v>
      </c>
      <c r="BP60" s="17">
        <f t="shared" si="146"/>
        <v>5.7394383538372225</v>
      </c>
      <c r="BQ60" s="17">
        <f t="shared" si="146"/>
        <v>5.6634874189764624</v>
      </c>
      <c r="BR60" s="17">
        <f t="shared" si="146"/>
        <v>4.8187559613913633</v>
      </c>
      <c r="BS60" s="17">
        <f t="shared" si="146"/>
        <v>6.5735641038705719</v>
      </c>
      <c r="BT60" s="17">
        <f t="shared" si="146"/>
        <v>10.600525042672906</v>
      </c>
      <c r="BV60" s="67">
        <f t="shared" si="118"/>
        <v>43.506021622005321</v>
      </c>
      <c r="BW60" s="68">
        <f t="shared" si="119"/>
        <v>52.974474816832796</v>
      </c>
      <c r="BX60" s="68">
        <f t="shared" si="120"/>
        <v>96.480496438838117</v>
      </c>
      <c r="BZ60" t="str">
        <f t="shared" si="138"/>
        <v>53 Skilled construction and building trades</v>
      </c>
      <c r="CA60" s="17">
        <f t="shared" si="147"/>
        <v>4.280636693844091</v>
      </c>
      <c r="CB60" s="17">
        <f t="shared" si="147"/>
        <v>3.9853444715533155</v>
      </c>
      <c r="CC60" s="17">
        <f t="shared" si="147"/>
        <v>3.2544698164504124</v>
      </c>
      <c r="CD60" s="17">
        <f t="shared" si="147"/>
        <v>4.6103843883402646</v>
      </c>
      <c r="CE60" s="17">
        <f t="shared" si="147"/>
        <v>8.7389966785071582</v>
      </c>
      <c r="CG60" s="67">
        <f t="shared" si="122"/>
        <v>46.300433865880294</v>
      </c>
      <c r="CH60" s="68">
        <f t="shared" si="123"/>
        <v>45.722905923956461</v>
      </c>
      <c r="CI60" s="68">
        <f t="shared" si="124"/>
        <v>92.023339789836768</v>
      </c>
      <c r="CK60" t="str">
        <f t="shared" si="139"/>
        <v>53 Skilled construction and building trades</v>
      </c>
      <c r="CL60" s="17">
        <f t="shared" si="148"/>
        <v>7.2079950173700791</v>
      </c>
      <c r="CM60" s="17">
        <f t="shared" si="148"/>
        <v>5.9234956261244784</v>
      </c>
      <c r="CN60" s="17">
        <f t="shared" si="148"/>
        <v>4.7337605364690827</v>
      </c>
      <c r="CO60" s="17">
        <f t="shared" si="148"/>
        <v>4.6952216074052684</v>
      </c>
      <c r="CP60" s="17">
        <f t="shared" si="148"/>
        <v>1.3296688242158134</v>
      </c>
      <c r="CR60" s="67">
        <f t="shared" si="126"/>
        <v>-88.230302800222447</v>
      </c>
      <c r="CS60" s="68">
        <f t="shared" si="127"/>
        <v>15.596608198377195</v>
      </c>
      <c r="CT60" s="68">
        <f t="shared" si="128"/>
        <v>-72.633694601845249</v>
      </c>
    </row>
    <row r="61" spans="1:98" x14ac:dyDescent="0.2">
      <c r="A61" t="str">
        <f t="shared" si="95"/>
        <v>54 Textiles, printing and other skilled trades</v>
      </c>
      <c r="B61" s="17">
        <f t="shared" si="140"/>
        <v>0.3706263749255686</v>
      </c>
      <c r="C61" s="17">
        <f t="shared" si="140"/>
        <v>0.36031512263650622</v>
      </c>
      <c r="D61" s="17">
        <f t="shared" si="140"/>
        <v>0.37354229973486935</v>
      </c>
      <c r="E61" s="17">
        <f t="shared" si="140"/>
        <v>0.41281045947572126</v>
      </c>
      <c r="F61" s="17">
        <f t="shared" si="140"/>
        <v>0.46939794157212145</v>
      </c>
      <c r="H61" s="67">
        <f t="shared" si="129"/>
        <v>157.54561054617238</v>
      </c>
      <c r="I61" s="68">
        <f t="shared" si="130"/>
        <v>92.464034227254359</v>
      </c>
      <c r="J61" s="68">
        <f t="shared" si="131"/>
        <v>250.00964477342674</v>
      </c>
      <c r="L61" t="str">
        <f t="shared" si="132"/>
        <v>54 Textiles, printing and other skilled trades</v>
      </c>
      <c r="M61" s="17">
        <f t="shared" si="141"/>
        <v>0.56050123656811668</v>
      </c>
      <c r="N61" s="17">
        <f t="shared" si="141"/>
        <v>0.54386823575048038</v>
      </c>
      <c r="O61" s="17">
        <f t="shared" si="141"/>
        <v>0.5430424517686171</v>
      </c>
      <c r="P61" s="17">
        <f t="shared" si="141"/>
        <v>0.67260251724291387</v>
      </c>
      <c r="Q61" s="17">
        <f t="shared" si="141"/>
        <v>0.95676099272170423</v>
      </c>
      <c r="S61" s="67">
        <f t="shared" si="98"/>
        <v>260.71404682795708</v>
      </c>
      <c r="T61" s="68">
        <f t="shared" si="99"/>
        <v>113.62656293410831</v>
      </c>
      <c r="U61" s="68">
        <f t="shared" si="100"/>
        <v>374.34060976206541</v>
      </c>
      <c r="W61" t="str">
        <f t="shared" si="133"/>
        <v>54 Textiles, printing and other skilled trades</v>
      </c>
      <c r="X61" s="17">
        <f t="shared" si="142"/>
        <v>0.95501808546118883</v>
      </c>
      <c r="Y61" s="17">
        <f t="shared" si="142"/>
        <v>0.97025528041115772</v>
      </c>
      <c r="Z61" s="17">
        <f t="shared" si="142"/>
        <v>0.89742039805520757</v>
      </c>
      <c r="AA61" s="17">
        <f t="shared" si="142"/>
        <v>1.13586353420951</v>
      </c>
      <c r="AB61" s="17">
        <f t="shared" si="142"/>
        <v>1.6026231002562756</v>
      </c>
      <c r="AD61" s="67">
        <f t="shared" si="102"/>
        <v>61.680764388393449</v>
      </c>
      <c r="AE61" s="68">
        <f t="shared" si="103"/>
        <v>73.764554130663768</v>
      </c>
      <c r="AF61" s="68">
        <f t="shared" si="104"/>
        <v>135.44531851905722</v>
      </c>
      <c r="AH61" t="str">
        <f t="shared" si="134"/>
        <v>54 Textiles, printing and other skilled trades</v>
      </c>
      <c r="AI61" s="17">
        <f t="shared" si="143"/>
        <v>1.3521958001396468</v>
      </c>
      <c r="AJ61" s="17">
        <f t="shared" si="143"/>
        <v>1.4646356589852267</v>
      </c>
      <c r="AK61" s="17">
        <f t="shared" si="143"/>
        <v>1.3594071113654802</v>
      </c>
      <c r="AL61" s="17">
        <f t="shared" si="143"/>
        <v>1.4915918282884362</v>
      </c>
      <c r="AM61" s="17">
        <f t="shared" si="143"/>
        <v>1.721868631035399</v>
      </c>
      <c r="AO61" s="67">
        <f t="shared" si="106"/>
        <v>17.505500159055874</v>
      </c>
      <c r="AP61" s="68">
        <f t="shared" si="107"/>
        <v>59.090661675612566</v>
      </c>
      <c r="AQ61" s="68">
        <f t="shared" si="108"/>
        <v>76.596161834668436</v>
      </c>
      <c r="AS61" t="str">
        <f t="shared" si="135"/>
        <v>54 Textiles, printing and other skilled trades</v>
      </c>
      <c r="AT61" s="17">
        <f t="shared" si="144"/>
        <v>1.9162931470442381</v>
      </c>
      <c r="AU61" s="17">
        <f t="shared" si="144"/>
        <v>1.8473339135842106</v>
      </c>
      <c r="AV61" s="17">
        <f t="shared" si="144"/>
        <v>1.7440809328108535</v>
      </c>
      <c r="AW61" s="17">
        <f t="shared" si="144"/>
        <v>2.067055238015072</v>
      </c>
      <c r="AX61" s="17">
        <f t="shared" si="144"/>
        <v>2.5640242672700531</v>
      </c>
      <c r="AZ61" s="67">
        <f t="shared" si="110"/>
        <v>44.209856988234833</v>
      </c>
      <c r="BA61" s="68">
        <f t="shared" si="111"/>
        <v>66.302035257381092</v>
      </c>
      <c r="BB61" s="68">
        <f t="shared" si="112"/>
        <v>110.51189224561593</v>
      </c>
      <c r="BD61" t="str">
        <f t="shared" si="136"/>
        <v>54 Textiles, printing and other skilled trades</v>
      </c>
      <c r="BE61" s="17">
        <f t="shared" si="145"/>
        <v>3.6734395644433655</v>
      </c>
      <c r="BF61" s="17">
        <f t="shared" si="145"/>
        <v>3.7173639454415612</v>
      </c>
      <c r="BG61" s="17">
        <f t="shared" si="145"/>
        <v>3.5950519732916111</v>
      </c>
      <c r="BH61" s="17">
        <f t="shared" si="145"/>
        <v>4.0861260985533487</v>
      </c>
      <c r="BI61" s="17">
        <f t="shared" si="145"/>
        <v>4.8148244278601871</v>
      </c>
      <c r="BK61" s="67">
        <f t="shared" si="114"/>
        <v>-6.9223127034339695</v>
      </c>
      <c r="BL61" s="68">
        <f t="shared" si="115"/>
        <v>38.264331473474783</v>
      </c>
      <c r="BM61" s="68">
        <f t="shared" si="116"/>
        <v>31.342018770040813</v>
      </c>
      <c r="BO61" t="str">
        <f t="shared" si="137"/>
        <v>54 Textiles, printing and other skilled trades</v>
      </c>
      <c r="BP61" s="17">
        <f t="shared" si="146"/>
        <v>3.4078498162623627</v>
      </c>
      <c r="BQ61" s="17">
        <f t="shared" si="146"/>
        <v>3.0717096561523016</v>
      </c>
      <c r="BR61" s="17">
        <f t="shared" si="146"/>
        <v>2.9116328701386323</v>
      </c>
      <c r="BS61" s="17">
        <f t="shared" si="146"/>
        <v>2.2319005465960684</v>
      </c>
      <c r="BT61" s="17">
        <f t="shared" si="146"/>
        <v>2.4379348282357394</v>
      </c>
      <c r="BV61" s="67">
        <f t="shared" si="118"/>
        <v>-45.378558258215179</v>
      </c>
      <c r="BW61" s="68">
        <f t="shared" si="119"/>
        <v>25.1214325837948</v>
      </c>
      <c r="BX61" s="68">
        <f t="shared" si="120"/>
        <v>-20.257125674420376</v>
      </c>
      <c r="BZ61" t="str">
        <f t="shared" si="138"/>
        <v>54 Textiles, printing and other skilled trades</v>
      </c>
      <c r="CA61" s="17">
        <f t="shared" si="147"/>
        <v>4.7951636243881817</v>
      </c>
      <c r="CB61" s="17">
        <f t="shared" si="147"/>
        <v>5.0870743598286392</v>
      </c>
      <c r="CC61" s="17">
        <f t="shared" si="147"/>
        <v>4.680057603417886</v>
      </c>
      <c r="CD61" s="17">
        <f t="shared" si="147"/>
        <v>5.6521144190206911</v>
      </c>
      <c r="CE61" s="17">
        <f t="shared" si="147"/>
        <v>7.5449119144338441</v>
      </c>
      <c r="CG61" s="67">
        <f t="shared" si="122"/>
        <v>-12.165069271711328</v>
      </c>
      <c r="CH61" s="68">
        <f t="shared" si="123"/>
        <v>31.129462133200946</v>
      </c>
      <c r="CI61" s="68">
        <f t="shared" si="124"/>
        <v>18.964392861489621</v>
      </c>
      <c r="CK61" t="str">
        <f t="shared" si="139"/>
        <v>54 Textiles, printing and other skilled trades</v>
      </c>
      <c r="CL61" s="17">
        <f t="shared" si="148"/>
        <v>5.4696401643469938</v>
      </c>
      <c r="CM61" s="17">
        <f t="shared" si="148"/>
        <v>5.5599794238604963</v>
      </c>
      <c r="CN61" s="17">
        <f t="shared" si="148"/>
        <v>5.2431767406303678</v>
      </c>
      <c r="CO61" s="17">
        <f t="shared" si="148"/>
        <v>4.4377375311378371</v>
      </c>
      <c r="CP61" s="17">
        <f t="shared" si="148"/>
        <v>3.8116720734490768</v>
      </c>
      <c r="CR61" s="67">
        <f t="shared" si="126"/>
        <v>-69.538651791013748</v>
      </c>
      <c r="CS61" s="68">
        <f t="shared" si="127"/>
        <v>16.004955617304301</v>
      </c>
      <c r="CT61" s="68">
        <f t="shared" si="128"/>
        <v>-53.533696173709458</v>
      </c>
    </row>
    <row r="62" spans="1:98" x14ac:dyDescent="0.2">
      <c r="A62" t="str">
        <f t="shared" si="95"/>
        <v>61 Caring personal service occupations</v>
      </c>
      <c r="B62" s="17">
        <f t="shared" si="140"/>
        <v>0.36846959938427709</v>
      </c>
      <c r="C62" s="17">
        <f t="shared" si="140"/>
        <v>0.33674228393543426</v>
      </c>
      <c r="D62" s="17">
        <f t="shared" si="140"/>
        <v>0.34446480232558241</v>
      </c>
      <c r="E62" s="17">
        <f t="shared" si="140"/>
        <v>0.44938322187969959</v>
      </c>
      <c r="F62" s="17">
        <f t="shared" si="140"/>
        <v>0.58741891874472696</v>
      </c>
      <c r="H62" s="67">
        <f t="shared" si="129"/>
        <v>249.50696710613656</v>
      </c>
      <c r="I62" s="68">
        <f t="shared" si="130"/>
        <v>120.49317340420762</v>
      </c>
      <c r="J62" s="68">
        <f t="shared" si="131"/>
        <v>370.00014051034418</v>
      </c>
      <c r="L62" t="str">
        <f t="shared" si="132"/>
        <v>61 Caring personal service occupations</v>
      </c>
      <c r="M62" s="17">
        <f t="shared" si="141"/>
        <v>1.7949212032592012</v>
      </c>
      <c r="N62" s="17">
        <f t="shared" si="141"/>
        <v>1.947263649315498</v>
      </c>
      <c r="O62" s="17">
        <f t="shared" si="141"/>
        <v>1.8905086251205527</v>
      </c>
      <c r="P62" s="17">
        <f t="shared" si="141"/>
        <v>2.2205568589933473</v>
      </c>
      <c r="Q62" s="17">
        <f t="shared" si="141"/>
        <v>2.732167162407495</v>
      </c>
      <c r="S62" s="67">
        <f t="shared" si="98"/>
        <v>195.8843396126548</v>
      </c>
      <c r="T62" s="68">
        <f t="shared" si="99"/>
        <v>117.14933280438262</v>
      </c>
      <c r="U62" s="68">
        <f t="shared" si="100"/>
        <v>313.03367241703745</v>
      </c>
      <c r="W62" t="str">
        <f t="shared" si="133"/>
        <v>61 Caring personal service occupations</v>
      </c>
      <c r="X62" s="17">
        <f t="shared" si="142"/>
        <v>2.5753460152852559</v>
      </c>
      <c r="Y62" s="17">
        <f t="shared" si="142"/>
        <v>2.6183438587749177</v>
      </c>
      <c r="Z62" s="17">
        <f t="shared" si="142"/>
        <v>2.6976366690256612</v>
      </c>
      <c r="AA62" s="17">
        <f t="shared" si="142"/>
        <v>2.969253312060347</v>
      </c>
      <c r="AB62" s="17">
        <f t="shared" si="142"/>
        <v>3.4497698243787012</v>
      </c>
      <c r="AD62" s="67">
        <f t="shared" si="102"/>
        <v>15.778936161038704</v>
      </c>
      <c r="AE62" s="68">
        <f t="shared" si="103"/>
        <v>71.404716007622909</v>
      </c>
      <c r="AF62" s="68">
        <f t="shared" si="104"/>
        <v>87.183652168661609</v>
      </c>
      <c r="AH62" t="str">
        <f t="shared" si="134"/>
        <v>61 Caring personal service occupations</v>
      </c>
      <c r="AI62" s="17">
        <f t="shared" si="143"/>
        <v>9.4550272481646527</v>
      </c>
      <c r="AJ62" s="17">
        <f t="shared" si="143"/>
        <v>9.3465826721271039</v>
      </c>
      <c r="AK62" s="17">
        <f t="shared" si="143"/>
        <v>9.2600113142097982</v>
      </c>
      <c r="AL62" s="17">
        <f t="shared" si="143"/>
        <v>9.4080619085822779</v>
      </c>
      <c r="AM62" s="17">
        <f t="shared" si="143"/>
        <v>8.74393952424772</v>
      </c>
      <c r="AO62" s="67">
        <f t="shared" si="106"/>
        <v>-12.400153196383002</v>
      </c>
      <c r="AP62" s="68">
        <f t="shared" si="107"/>
        <v>56.810942493565385</v>
      </c>
      <c r="AQ62" s="68">
        <f t="shared" si="108"/>
        <v>44.41078929718239</v>
      </c>
      <c r="AS62" t="str">
        <f t="shared" si="135"/>
        <v>61 Caring personal service occupations</v>
      </c>
      <c r="AT62" s="17">
        <f t="shared" si="144"/>
        <v>5.1334308014711461</v>
      </c>
      <c r="AU62" s="17">
        <f t="shared" si="144"/>
        <v>5.2959865792642056</v>
      </c>
      <c r="AV62" s="17">
        <f t="shared" si="144"/>
        <v>5.2727763381045847</v>
      </c>
      <c r="AW62" s="17">
        <f t="shared" si="144"/>
        <v>5.2792204067053845</v>
      </c>
      <c r="AX62" s="17">
        <f t="shared" si="144"/>
        <v>5.2391351266243467</v>
      </c>
      <c r="AZ62" s="67">
        <f t="shared" si="110"/>
        <v>-2.5325286239884464</v>
      </c>
      <c r="BA62" s="68">
        <f t="shared" si="111"/>
        <v>59.974489351446792</v>
      </c>
      <c r="BB62" s="68">
        <f t="shared" si="112"/>
        <v>57.441960727458344</v>
      </c>
      <c r="BD62" t="str">
        <f t="shared" si="136"/>
        <v>61 Caring personal service occupations</v>
      </c>
      <c r="BE62" s="17">
        <f t="shared" si="145"/>
        <v>8.8499956847123471</v>
      </c>
      <c r="BF62" s="17">
        <f t="shared" si="145"/>
        <v>10.155531898704979</v>
      </c>
      <c r="BG62" s="17">
        <f t="shared" si="145"/>
        <v>9.1097254764821276</v>
      </c>
      <c r="BH62" s="17">
        <f t="shared" si="145"/>
        <v>11.143048685593847</v>
      </c>
      <c r="BI62" s="17">
        <f t="shared" si="145"/>
        <v>13.777715316120926</v>
      </c>
      <c r="BK62" s="67">
        <f t="shared" si="114"/>
        <v>5.1095602512949956</v>
      </c>
      <c r="BL62" s="68">
        <f t="shared" si="115"/>
        <v>53.792868864074791</v>
      </c>
      <c r="BM62" s="68">
        <f t="shared" si="116"/>
        <v>58.902429115369785</v>
      </c>
      <c r="BO62" t="str">
        <f t="shared" si="137"/>
        <v>61 Caring personal service occupations</v>
      </c>
      <c r="BP62" s="17">
        <f t="shared" si="146"/>
        <v>7.1516376354277638</v>
      </c>
      <c r="BQ62" s="17">
        <f t="shared" si="146"/>
        <v>6.8637426433501982</v>
      </c>
      <c r="BR62" s="17">
        <f t="shared" si="146"/>
        <v>6.9980196335073614</v>
      </c>
      <c r="BS62" s="17">
        <f t="shared" si="146"/>
        <v>7.4882476761299372</v>
      </c>
      <c r="BT62" s="17">
        <f t="shared" si="146"/>
        <v>7.2252478262147797</v>
      </c>
      <c r="BV62" s="67">
        <f t="shared" si="118"/>
        <v>-32.647259317437673</v>
      </c>
      <c r="BW62" s="68">
        <f t="shared" si="119"/>
        <v>37.73059698516095</v>
      </c>
      <c r="BX62" s="68">
        <f t="shared" si="120"/>
        <v>5.0833376677232822</v>
      </c>
      <c r="BZ62" t="str">
        <f t="shared" si="138"/>
        <v>61 Caring personal service occupations</v>
      </c>
      <c r="CA62" s="17">
        <f t="shared" si="147"/>
        <v>3.2910574619048574</v>
      </c>
      <c r="CB62" s="17">
        <f t="shared" si="147"/>
        <v>2.1772959393043667</v>
      </c>
      <c r="CC62" s="17">
        <f t="shared" si="147"/>
        <v>2.0719507645969397</v>
      </c>
      <c r="CD62" s="17">
        <f t="shared" si="147"/>
        <v>1.9042052182333802</v>
      </c>
      <c r="CE62" s="17">
        <f t="shared" si="147"/>
        <v>2.9464151826234497</v>
      </c>
      <c r="CG62" s="67">
        <f t="shared" si="122"/>
        <v>-22.521928816667135</v>
      </c>
      <c r="CH62" s="68">
        <f t="shared" si="123"/>
        <v>22.891367475855816</v>
      </c>
      <c r="CI62" s="68">
        <f t="shared" si="124"/>
        <v>0.36943865918868385</v>
      </c>
      <c r="CK62" t="str">
        <f t="shared" si="139"/>
        <v>61 Caring personal service occupations</v>
      </c>
      <c r="CL62" s="17">
        <f t="shared" si="148"/>
        <v>1.7758747169909346</v>
      </c>
      <c r="CM62" s="17">
        <f t="shared" si="148"/>
        <v>1.7605004104627657</v>
      </c>
      <c r="CN62" s="17">
        <f t="shared" si="148"/>
        <v>1.8121352132654263</v>
      </c>
      <c r="CO62" s="17">
        <f t="shared" si="148"/>
        <v>2.2302507612437794</v>
      </c>
      <c r="CP62" s="17">
        <f t="shared" si="148"/>
        <v>2.4642091059750166</v>
      </c>
      <c r="CR62" s="67">
        <f t="shared" si="126"/>
        <v>-43.020970630885806</v>
      </c>
      <c r="CS62" s="68">
        <f t="shared" si="127"/>
        <v>22.225629326405745</v>
      </c>
      <c r="CT62" s="68">
        <f t="shared" si="128"/>
        <v>-20.795341304480065</v>
      </c>
    </row>
    <row r="63" spans="1:98" x14ac:dyDescent="0.2">
      <c r="A63" t="str">
        <f t="shared" si="95"/>
        <v>62 Leisure, travel and related personal service occupations</v>
      </c>
      <c r="B63" s="17">
        <f t="shared" si="140"/>
        <v>0.13888985388184449</v>
      </c>
      <c r="C63" s="17">
        <f t="shared" si="140"/>
        <v>0.13321376755722655</v>
      </c>
      <c r="D63" s="17">
        <f t="shared" si="140"/>
        <v>0.15382260198612399</v>
      </c>
      <c r="E63" s="17">
        <f t="shared" si="140"/>
        <v>0.18091985605474176</v>
      </c>
      <c r="F63" s="17">
        <f t="shared" si="140"/>
        <v>0.2400361644154575</v>
      </c>
      <c r="H63" s="67">
        <f t="shared" si="129"/>
        <v>219.82269970544758</v>
      </c>
      <c r="I63" s="68">
        <f t="shared" si="130"/>
        <v>108.82214510347849</v>
      </c>
      <c r="J63" s="68">
        <f t="shared" si="131"/>
        <v>328.64484480892611</v>
      </c>
      <c r="L63" t="str">
        <f t="shared" si="132"/>
        <v>62 Leisure, travel and related personal service occupations</v>
      </c>
      <c r="M63" s="17">
        <f t="shared" si="141"/>
        <v>0.41163937077577145</v>
      </c>
      <c r="N63" s="17">
        <f t="shared" si="141"/>
        <v>0.41457144004634333</v>
      </c>
      <c r="O63" s="17">
        <f t="shared" si="141"/>
        <v>0.36400723524018719</v>
      </c>
      <c r="P63" s="17">
        <f t="shared" si="141"/>
        <v>0.40625311468191772</v>
      </c>
      <c r="Q63" s="17">
        <f t="shared" si="141"/>
        <v>0.51274873088631934</v>
      </c>
      <c r="S63" s="67">
        <f t="shared" si="98"/>
        <v>188.39515070743457</v>
      </c>
      <c r="T63" s="68">
        <f t="shared" si="99"/>
        <v>110.45691743796189</v>
      </c>
      <c r="U63" s="68">
        <f t="shared" si="100"/>
        <v>298.8520681453964</v>
      </c>
      <c r="W63" t="str">
        <f t="shared" si="133"/>
        <v>62 Leisure, travel and related personal service occupations</v>
      </c>
      <c r="X63" s="17">
        <f t="shared" si="142"/>
        <v>0.99736463606736825</v>
      </c>
      <c r="Y63" s="17">
        <f t="shared" si="142"/>
        <v>1.0547221729048273</v>
      </c>
      <c r="Z63" s="17">
        <f t="shared" si="142"/>
        <v>0.96137826072773169</v>
      </c>
      <c r="AA63" s="17">
        <f t="shared" si="142"/>
        <v>1.1426580515251883</v>
      </c>
      <c r="AB63" s="17">
        <f t="shared" si="142"/>
        <v>1.5913665870026783</v>
      </c>
      <c r="AD63" s="67">
        <f t="shared" si="102"/>
        <v>49.864520977581435</v>
      </c>
      <c r="AE63" s="68">
        <f t="shared" si="103"/>
        <v>75.905256528263521</v>
      </c>
      <c r="AF63" s="68">
        <f t="shared" si="104"/>
        <v>125.76977750584494</v>
      </c>
      <c r="AH63" t="str">
        <f t="shared" si="134"/>
        <v>62 Leisure, travel and related personal service occupations</v>
      </c>
      <c r="AI63" s="17">
        <f t="shared" si="143"/>
        <v>2.1749854947228577</v>
      </c>
      <c r="AJ63" s="17">
        <f t="shared" si="143"/>
        <v>2.6947684474576898</v>
      </c>
      <c r="AK63" s="17">
        <f t="shared" si="143"/>
        <v>2.6102051172487868</v>
      </c>
      <c r="AL63" s="17">
        <f t="shared" si="143"/>
        <v>3.0983818615934133</v>
      </c>
      <c r="AM63" s="17">
        <f t="shared" si="143"/>
        <v>4.0173369631625242</v>
      </c>
      <c r="AO63" s="67">
        <f t="shared" si="106"/>
        <v>42.781303567508104</v>
      </c>
      <c r="AP63" s="68">
        <f t="shared" si="107"/>
        <v>77.398522699868394</v>
      </c>
      <c r="AQ63" s="68">
        <f t="shared" si="108"/>
        <v>120.17982626737648</v>
      </c>
      <c r="AS63" t="str">
        <f t="shared" si="135"/>
        <v>62 Leisure, travel and related personal service occupations</v>
      </c>
      <c r="AT63" s="17">
        <f t="shared" si="144"/>
        <v>2.6568957437375089</v>
      </c>
      <c r="AU63" s="17">
        <f t="shared" si="144"/>
        <v>3.0775673813983597</v>
      </c>
      <c r="AV63" s="17">
        <f t="shared" si="144"/>
        <v>3.1819443022149057</v>
      </c>
      <c r="AW63" s="17">
        <f t="shared" si="144"/>
        <v>3.7796557739782481</v>
      </c>
      <c r="AX63" s="17">
        <f t="shared" si="144"/>
        <v>5.1830199165399087</v>
      </c>
      <c r="AZ63" s="67">
        <f t="shared" si="110"/>
        <v>59.782699212130311</v>
      </c>
      <c r="BA63" s="68">
        <f t="shared" si="111"/>
        <v>82.369106414509204</v>
      </c>
      <c r="BB63" s="68">
        <f t="shared" si="112"/>
        <v>142.15180562663951</v>
      </c>
      <c r="BD63" t="str">
        <f t="shared" si="136"/>
        <v>62 Leisure, travel and related personal service occupations</v>
      </c>
      <c r="BE63" s="17">
        <f t="shared" si="145"/>
        <v>2.8299212543948142</v>
      </c>
      <c r="BF63" s="17">
        <f t="shared" si="145"/>
        <v>3.054305085309565</v>
      </c>
      <c r="BG63" s="17">
        <f t="shared" si="145"/>
        <v>2.6618059344104124</v>
      </c>
      <c r="BH63" s="17">
        <f t="shared" si="145"/>
        <v>3.0044566026303254</v>
      </c>
      <c r="BI63" s="17">
        <f t="shared" si="145"/>
        <v>3.2389569779027569</v>
      </c>
      <c r="BK63" s="67">
        <f t="shared" si="114"/>
        <v>-15.433356725574331</v>
      </c>
      <c r="BL63" s="68">
        <f t="shared" si="115"/>
        <v>41.453276492163909</v>
      </c>
      <c r="BM63" s="68">
        <f t="shared" si="116"/>
        <v>26.019919766589577</v>
      </c>
      <c r="BO63" t="str">
        <f t="shared" si="137"/>
        <v>62 Leisure, travel and related personal service occupations</v>
      </c>
      <c r="BP63" s="17">
        <f t="shared" si="146"/>
        <v>2.6832516062737124</v>
      </c>
      <c r="BQ63" s="17">
        <f t="shared" si="146"/>
        <v>2.7426553621482279</v>
      </c>
      <c r="BR63" s="17">
        <f t="shared" si="146"/>
        <v>2.703144276456297</v>
      </c>
      <c r="BS63" s="17">
        <f t="shared" si="146"/>
        <v>2.689217695111259</v>
      </c>
      <c r="BT63" s="17">
        <f t="shared" si="146"/>
        <v>2.6560790420186944</v>
      </c>
      <c r="BV63" s="67">
        <f t="shared" si="118"/>
        <v>-35.90126629392585</v>
      </c>
      <c r="BW63" s="68">
        <f t="shared" si="119"/>
        <v>34.596329574628164</v>
      </c>
      <c r="BX63" s="68">
        <f t="shared" si="120"/>
        <v>-1.3049367192976817</v>
      </c>
      <c r="BZ63" t="str">
        <f t="shared" si="138"/>
        <v>62 Leisure, travel and related personal service occupations</v>
      </c>
      <c r="CA63" s="17">
        <f t="shared" si="147"/>
        <v>2.4370132019492665</v>
      </c>
      <c r="CB63" s="17">
        <f t="shared" si="147"/>
        <v>2.6558456761650153</v>
      </c>
      <c r="CC63" s="17">
        <f t="shared" si="147"/>
        <v>2.6120154846335382</v>
      </c>
      <c r="CD63" s="17">
        <f t="shared" si="147"/>
        <v>2.8947905247060981</v>
      </c>
      <c r="CE63" s="17">
        <f t="shared" si="147"/>
        <v>3.8473527018815936</v>
      </c>
      <c r="CG63" s="67">
        <f t="shared" si="122"/>
        <v>-19.748983479697557</v>
      </c>
      <c r="CH63" s="68">
        <f t="shared" si="123"/>
        <v>34.429987671436244</v>
      </c>
      <c r="CI63" s="68">
        <f t="shared" si="124"/>
        <v>14.681004191738692</v>
      </c>
      <c r="CK63" t="str">
        <f t="shared" si="139"/>
        <v>62 Leisure, travel and related personal service occupations</v>
      </c>
      <c r="CL63" s="17">
        <f t="shared" si="148"/>
        <v>2.8961897744475573</v>
      </c>
      <c r="CM63" s="17">
        <f t="shared" si="148"/>
        <v>3.168625741261049</v>
      </c>
      <c r="CN63" s="17">
        <f t="shared" si="148"/>
        <v>3.3459912100214826</v>
      </c>
      <c r="CO63" s="17">
        <f t="shared" si="148"/>
        <v>3.4306285425111689</v>
      </c>
      <c r="CP63" s="17">
        <f t="shared" si="148"/>
        <v>3.7506417853354486</v>
      </c>
      <c r="CR63" s="67">
        <f t="shared" si="126"/>
        <v>-53.031263185861818</v>
      </c>
      <c r="CS63" s="68">
        <f t="shared" si="127"/>
        <v>21.802208865996818</v>
      </c>
      <c r="CT63" s="68">
        <f t="shared" si="128"/>
        <v>-31.229054319865</v>
      </c>
    </row>
    <row r="64" spans="1:98" x14ac:dyDescent="0.2">
      <c r="A64" t="str">
        <f t="shared" si="95"/>
        <v>63 Community and civil enforcement occupations</v>
      </c>
      <c r="B64" s="17">
        <f t="shared" si="140"/>
        <v>1.7087723718769182E-2</v>
      </c>
      <c r="C64" s="17">
        <f t="shared" si="140"/>
        <v>1.2510426638808339E-2</v>
      </c>
      <c r="D64" s="17">
        <f t="shared" si="140"/>
        <v>1.6158289177018892E-2</v>
      </c>
      <c r="E64" s="17">
        <f t="shared" si="140"/>
        <v>1.524295653789536E-2</v>
      </c>
      <c r="F64" s="17">
        <f t="shared" si="140"/>
        <v>1.9499398868869294E-2</v>
      </c>
      <c r="H64" s="67">
        <f t="shared" si="129"/>
        <v>147.33103034131867</v>
      </c>
      <c r="I64" s="68">
        <f t="shared" si="130"/>
        <v>95.328682786888805</v>
      </c>
      <c r="J64" s="68">
        <f t="shared" si="131"/>
        <v>242.65971312820741</v>
      </c>
      <c r="L64" t="str">
        <f t="shared" si="132"/>
        <v>63 Community and civil enforcement occupations</v>
      </c>
      <c r="M64" s="17">
        <f t="shared" si="141"/>
        <v>4.2254650529306798E-2</v>
      </c>
      <c r="N64" s="17">
        <f t="shared" si="141"/>
        <v>3.4399982407056641E-2</v>
      </c>
      <c r="O64" s="17">
        <f t="shared" si="141"/>
        <v>4.7399198540440175E-2</v>
      </c>
      <c r="P64" s="17">
        <f t="shared" si="141"/>
        <v>4.0428636227364548E-2</v>
      </c>
      <c r="Q64" s="17">
        <f t="shared" si="141"/>
        <v>5.1985804730210874E-2</v>
      </c>
      <c r="S64" s="67">
        <f t="shared" si="98"/>
        <v>124.54694370014371</v>
      </c>
      <c r="T64" s="68">
        <f t="shared" si="99"/>
        <v>82.846613994715597</v>
      </c>
      <c r="U64" s="68">
        <f t="shared" si="100"/>
        <v>207.39355769485934</v>
      </c>
      <c r="W64" t="str">
        <f t="shared" si="133"/>
        <v>63 Community and civil enforcement occupations</v>
      </c>
      <c r="X64" s="17">
        <f t="shared" si="142"/>
        <v>9.2102889332070476E-2</v>
      </c>
      <c r="Y64" s="17">
        <f t="shared" si="142"/>
        <v>9.1065023777728127E-2</v>
      </c>
      <c r="Z64" s="17">
        <f t="shared" si="142"/>
        <v>0.10211315879960792</v>
      </c>
      <c r="AA64" s="17">
        <f t="shared" si="142"/>
        <v>0.10710038463737938</v>
      </c>
      <c r="AB64" s="17">
        <f t="shared" si="142"/>
        <v>0.12673855150006719</v>
      </c>
      <c r="AD64" s="67">
        <f t="shared" si="102"/>
        <v>12.369880831368665</v>
      </c>
      <c r="AE64" s="68">
        <f t="shared" si="103"/>
        <v>72.154885785555095</v>
      </c>
      <c r="AF64" s="68">
        <f t="shared" si="104"/>
        <v>84.524766616923756</v>
      </c>
      <c r="AH64" t="str">
        <f t="shared" si="134"/>
        <v>63 Community and civil enforcement occupations</v>
      </c>
      <c r="AI64" s="17">
        <f t="shared" si="143"/>
        <v>0.10402895104814779</v>
      </c>
      <c r="AJ64" s="17">
        <f t="shared" si="143"/>
        <v>0.10117527625866782</v>
      </c>
      <c r="AK64" s="17">
        <f t="shared" si="143"/>
        <v>0.1320767714751396</v>
      </c>
      <c r="AL64" s="17">
        <f t="shared" si="143"/>
        <v>0.11648482478458018</v>
      </c>
      <c r="AM64" s="17">
        <f t="shared" si="143"/>
        <v>0.12828213650772965</v>
      </c>
      <c r="AO64" s="67">
        <f t="shared" si="106"/>
        <v>-9.8952971506017171</v>
      </c>
      <c r="AP64" s="68">
        <f t="shared" si="107"/>
        <v>55.741658511835624</v>
      </c>
      <c r="AQ64" s="68">
        <f t="shared" si="108"/>
        <v>45.846361361233903</v>
      </c>
      <c r="AS64" t="str">
        <f t="shared" si="135"/>
        <v>63 Community and civil enforcement occupations</v>
      </c>
      <c r="AT64" s="17">
        <f t="shared" si="144"/>
        <v>0.10555153672600028</v>
      </c>
      <c r="AU64" s="17">
        <f t="shared" si="144"/>
        <v>8.7343501071661528E-2</v>
      </c>
      <c r="AV64" s="17">
        <f t="shared" si="144"/>
        <v>0.10759886507809187</v>
      </c>
      <c r="AW64" s="17">
        <f t="shared" si="144"/>
        <v>8.1767649055945857E-2</v>
      </c>
      <c r="AX64" s="17">
        <f t="shared" si="144"/>
        <v>7.6436309725383775E-2</v>
      </c>
      <c r="AZ64" s="67">
        <f t="shared" si="110"/>
        <v>-30.316257042665367</v>
      </c>
      <c r="BA64" s="68">
        <f t="shared" si="111"/>
        <v>47.482752447706808</v>
      </c>
      <c r="BB64" s="68">
        <f t="shared" si="112"/>
        <v>17.166495405041442</v>
      </c>
      <c r="BD64" t="str">
        <f t="shared" si="136"/>
        <v>63 Community and civil enforcement occupations</v>
      </c>
      <c r="BE64" s="17">
        <f t="shared" si="145"/>
        <v>0.10440536512616766</v>
      </c>
      <c r="BF64" s="17">
        <f t="shared" si="145"/>
        <v>7.1375709625011441E-2</v>
      </c>
      <c r="BG64" s="17">
        <f t="shared" si="145"/>
        <v>0.11348826027185452</v>
      </c>
      <c r="BH64" s="17">
        <f t="shared" si="145"/>
        <v>7.0332546389958728E-2</v>
      </c>
      <c r="BI64" s="17">
        <f t="shared" si="145"/>
        <v>6.4509154228574145E-2</v>
      </c>
      <c r="BK64" s="67">
        <f t="shared" si="114"/>
        <v>-60.496032859518913</v>
      </c>
      <c r="BL64" s="68">
        <f t="shared" si="115"/>
        <v>19.940603375108896</v>
      </c>
      <c r="BM64" s="68">
        <f t="shared" si="116"/>
        <v>-40.555429484410013</v>
      </c>
      <c r="BO64" t="str">
        <f t="shared" si="137"/>
        <v>63 Community and civil enforcement occupations</v>
      </c>
      <c r="BP64" s="17">
        <f t="shared" si="146"/>
        <v>0.15292155917519692</v>
      </c>
      <c r="BQ64" s="17">
        <f t="shared" si="146"/>
        <v>0.13521046447050214</v>
      </c>
      <c r="BR64" s="17">
        <f t="shared" si="146"/>
        <v>0.18554925992831683</v>
      </c>
      <c r="BS64" s="17">
        <f t="shared" si="146"/>
        <v>0.1411800783762977</v>
      </c>
      <c r="BT64" s="17">
        <f t="shared" si="146"/>
        <v>0.15706066342479361</v>
      </c>
      <c r="BV64" s="67">
        <f t="shared" si="118"/>
        <v>-44.78133760193905</v>
      </c>
      <c r="BW64" s="68">
        <f t="shared" si="119"/>
        <v>25.537039711364041</v>
      </c>
      <c r="BX64" s="68">
        <f t="shared" si="120"/>
        <v>-19.244297890575005</v>
      </c>
      <c r="BZ64" t="str">
        <f t="shared" si="138"/>
        <v>63 Community and civil enforcement occupations</v>
      </c>
      <c r="CA64" s="17">
        <f t="shared" si="147"/>
        <v>0.17494753082111469</v>
      </c>
      <c r="CB64" s="17">
        <f t="shared" si="147"/>
        <v>0.16509175019175623</v>
      </c>
      <c r="CC64" s="17">
        <f t="shared" si="147"/>
        <v>0.22039712447778451</v>
      </c>
      <c r="CD64" s="17">
        <f t="shared" si="147"/>
        <v>0.20741578013396514</v>
      </c>
      <c r="CE64" s="17">
        <f t="shared" si="147"/>
        <v>0.29854242431863631</v>
      </c>
      <c r="CG64" s="67">
        <f t="shared" si="122"/>
        <v>-26.198630819081913</v>
      </c>
      <c r="CH64" s="68">
        <f t="shared" si="123"/>
        <v>30.688732644733552</v>
      </c>
      <c r="CI64" s="68">
        <f t="shared" si="124"/>
        <v>4.4901018256516361</v>
      </c>
      <c r="CK64" t="str">
        <f t="shared" si="139"/>
        <v>63 Community and civil enforcement occupations</v>
      </c>
      <c r="CL64" s="17">
        <f t="shared" si="148"/>
        <v>0.16155810555141195</v>
      </c>
      <c r="CM64" s="17">
        <f t="shared" si="148"/>
        <v>0.11946044488319499</v>
      </c>
      <c r="CN64" s="17">
        <f t="shared" si="148"/>
        <v>0.18611859935557498</v>
      </c>
      <c r="CO64" s="17">
        <f t="shared" si="148"/>
        <v>0.11103254791996341</v>
      </c>
      <c r="CP64" s="17">
        <f t="shared" si="148"/>
        <v>9.1644166758784118E-2</v>
      </c>
      <c r="CR64" s="67">
        <f t="shared" si="126"/>
        <v>-79.367913985741183</v>
      </c>
      <c r="CS64" s="68">
        <f t="shared" si="127"/>
        <v>10.367423811807461</v>
      </c>
      <c r="CT64" s="68">
        <f t="shared" si="128"/>
        <v>-69.000490173933727</v>
      </c>
    </row>
    <row r="65" spans="1:98" x14ac:dyDescent="0.2">
      <c r="A65" t="str">
        <f t="shared" si="95"/>
        <v>71 Sales occupations</v>
      </c>
      <c r="B65" s="17">
        <f t="shared" ref="B65:F70" si="149">B28/B$35*100</f>
        <v>1.151853222733664</v>
      </c>
      <c r="C65" s="17">
        <f t="shared" si="149"/>
        <v>1.0297339638578809</v>
      </c>
      <c r="D65" s="17">
        <f t="shared" si="149"/>
        <v>0.92498905900491246</v>
      </c>
      <c r="E65" s="17">
        <f t="shared" si="149"/>
        <v>0.95244310151794043</v>
      </c>
      <c r="F65" s="17">
        <f t="shared" si="149"/>
        <v>1.1049060001341091</v>
      </c>
      <c r="H65" s="67">
        <f t="shared" si="129"/>
        <v>144.81695730649798</v>
      </c>
      <c r="I65" s="68">
        <f t="shared" si="130"/>
        <v>77.976020636485543</v>
      </c>
      <c r="J65" s="68">
        <f t="shared" si="131"/>
        <v>222.7929779429835</v>
      </c>
      <c r="L65" t="str">
        <f t="shared" si="132"/>
        <v>71 Sales occupations</v>
      </c>
      <c r="M65" s="17">
        <f t="shared" ref="M65:Q70" si="150">M28/M$35*100</f>
        <v>1.9002804551972179</v>
      </c>
      <c r="N65" s="17">
        <f t="shared" si="150"/>
        <v>1.7709227470679738</v>
      </c>
      <c r="O65" s="17">
        <f t="shared" si="150"/>
        <v>1.8012135874380579</v>
      </c>
      <c r="P65" s="17">
        <f t="shared" si="150"/>
        <v>1.929340445397526</v>
      </c>
      <c r="Q65" s="17">
        <f t="shared" si="150"/>
        <v>2.5489954093518072</v>
      </c>
      <c r="S65" s="67">
        <f t="shared" si="98"/>
        <v>189.73250040623196</v>
      </c>
      <c r="T65" s="68">
        <f t="shared" si="99"/>
        <v>88.599145999621484</v>
      </c>
      <c r="U65" s="68">
        <f t="shared" si="100"/>
        <v>278.33164640585346</v>
      </c>
      <c r="W65" t="str">
        <f t="shared" si="133"/>
        <v>71 Sales occupations</v>
      </c>
      <c r="X65" s="17">
        <f t="shared" ref="X65:AB70" si="151">X28/X$35*100</f>
        <v>3.6343358237397934</v>
      </c>
      <c r="Y65" s="17">
        <f t="shared" si="151"/>
        <v>3.327598991335365</v>
      </c>
      <c r="Z65" s="17">
        <f t="shared" si="151"/>
        <v>3.4484232070990521</v>
      </c>
      <c r="AA65" s="17">
        <f t="shared" si="151"/>
        <v>3.5722588719570916</v>
      </c>
      <c r="AB65" s="17">
        <f t="shared" si="151"/>
        <v>4.2727312475251988</v>
      </c>
      <c r="AD65" s="67">
        <f t="shared" si="102"/>
        <v>12.178056027472246</v>
      </c>
      <c r="AE65" s="68">
        <f t="shared" si="103"/>
        <v>57.758494201782561</v>
      </c>
      <c r="AF65" s="68">
        <f t="shared" si="104"/>
        <v>69.936550229254806</v>
      </c>
      <c r="AH65" t="str">
        <f t="shared" si="134"/>
        <v>71 Sales occupations</v>
      </c>
      <c r="AI65" s="17">
        <f t="shared" ref="AI65:AM70" si="152">AI28/AI$35*100</f>
        <v>4.2704913952061547</v>
      </c>
      <c r="AJ65" s="17">
        <f t="shared" si="152"/>
        <v>4.0385364077650561</v>
      </c>
      <c r="AK65" s="17">
        <f t="shared" si="152"/>
        <v>4.2468634647828285</v>
      </c>
      <c r="AL65" s="17">
        <f t="shared" si="152"/>
        <v>4.239928707294343</v>
      </c>
      <c r="AM65" s="17">
        <f t="shared" si="152"/>
        <v>4.6392689267685654</v>
      </c>
      <c r="AO65" s="67">
        <f t="shared" si="106"/>
        <v>1.3418826843997582</v>
      </c>
      <c r="AP65" s="68">
        <f t="shared" si="107"/>
        <v>53.732828003954495</v>
      </c>
      <c r="AQ65" s="68">
        <f t="shared" si="108"/>
        <v>55.074710688354244</v>
      </c>
      <c r="AS65" t="str">
        <f t="shared" si="135"/>
        <v>71 Sales occupations</v>
      </c>
      <c r="AT65" s="17">
        <f t="shared" ref="AT65:AX70" si="153">AT28/AT$35*100</f>
        <v>4.1764467211661884</v>
      </c>
      <c r="AU65" s="17">
        <f t="shared" si="153"/>
        <v>3.5050025574718804</v>
      </c>
      <c r="AV65" s="17">
        <f t="shared" si="153"/>
        <v>3.4897784785422838</v>
      </c>
      <c r="AW65" s="17">
        <f t="shared" si="153"/>
        <v>3.3105236376534974</v>
      </c>
      <c r="AX65" s="17">
        <f t="shared" si="153"/>
        <v>3.5429006452553624</v>
      </c>
      <c r="AZ65" s="67">
        <f t="shared" si="110"/>
        <v>-0.41347860899977484</v>
      </c>
      <c r="BA65" s="68">
        <f t="shared" si="111"/>
        <v>45.789210648378351</v>
      </c>
      <c r="BB65" s="68">
        <f t="shared" si="112"/>
        <v>45.375732039378576</v>
      </c>
      <c r="BD65" t="str">
        <f t="shared" si="136"/>
        <v>71 Sales occupations</v>
      </c>
      <c r="BE65" s="17">
        <f t="shared" ref="BE65:BI70" si="154">BE28/BE$35*100</f>
        <v>8.7582464368435176</v>
      </c>
      <c r="BF65" s="17">
        <f t="shared" si="154"/>
        <v>7.87660059640619</v>
      </c>
      <c r="BG65" s="17">
        <f t="shared" si="154"/>
        <v>8.1560629747139366</v>
      </c>
      <c r="BH65" s="17">
        <f t="shared" si="154"/>
        <v>7.9056501686110341</v>
      </c>
      <c r="BI65" s="17">
        <f t="shared" si="154"/>
        <v>8.0684296044102801</v>
      </c>
      <c r="BK65" s="67">
        <f t="shared" si="114"/>
        <v>-31.249043336896687</v>
      </c>
      <c r="BL65" s="68">
        <f t="shared" si="115"/>
        <v>35.089897612388029</v>
      </c>
      <c r="BM65" s="68">
        <f t="shared" si="116"/>
        <v>3.8408542754913402</v>
      </c>
      <c r="BO65" t="str">
        <f t="shared" si="137"/>
        <v>71 Sales occupations</v>
      </c>
      <c r="BP65" s="17">
        <f t="shared" ref="BP65:BT70" si="155">BP28/BP$35*100</f>
        <v>8.7216068935658377</v>
      </c>
      <c r="BQ65" s="17">
        <f t="shared" si="155"/>
        <v>7.129160646051325</v>
      </c>
      <c r="BR65" s="17">
        <f t="shared" si="155"/>
        <v>7.4459006373786742</v>
      </c>
      <c r="BS65" s="17">
        <f t="shared" si="155"/>
        <v>6.4270981842734942</v>
      </c>
      <c r="BT65" s="17">
        <f t="shared" si="155"/>
        <v>6.2216389017504641</v>
      </c>
      <c r="BV65" s="67">
        <f t="shared" si="118"/>
        <v>-45.491372591460951</v>
      </c>
      <c r="BW65" s="68">
        <f t="shared" si="119"/>
        <v>29.740738914544757</v>
      </c>
      <c r="BX65" s="68">
        <f t="shared" si="120"/>
        <v>-15.750633676916195</v>
      </c>
      <c r="BZ65" t="str">
        <f t="shared" si="138"/>
        <v>71 Sales occupations</v>
      </c>
      <c r="CA65" s="17">
        <f t="shared" ref="CA65:CE70" si="156">CA28/CA$35*100</f>
        <v>8.9189289113364065</v>
      </c>
      <c r="CB65" s="17">
        <f t="shared" si="156"/>
        <v>7.820201192113081</v>
      </c>
      <c r="CC65" s="17">
        <f t="shared" si="156"/>
        <v>8.1126064330031298</v>
      </c>
      <c r="CD65" s="17">
        <f t="shared" si="156"/>
        <v>7.0627318381905901</v>
      </c>
      <c r="CE65" s="17">
        <f t="shared" si="156"/>
        <v>3.1507456174923321</v>
      </c>
      <c r="CG65" s="67">
        <f t="shared" si="122"/>
        <v>-78.839924102010144</v>
      </c>
      <c r="CH65" s="68">
        <f t="shared" si="123"/>
        <v>19.2400211986063</v>
      </c>
      <c r="CI65" s="68">
        <f t="shared" si="124"/>
        <v>-59.599902903403844</v>
      </c>
      <c r="CK65" t="str">
        <f t="shared" si="139"/>
        <v>71 Sales occupations</v>
      </c>
      <c r="CL65" s="17">
        <f t="shared" ref="CL65:CP70" si="157">CL28/CL$35*100</f>
        <v>10.682544115971371</v>
      </c>
      <c r="CM65" s="17">
        <f t="shared" si="157"/>
        <v>9.0506959821156716</v>
      </c>
      <c r="CN65" s="17">
        <f t="shared" si="157"/>
        <v>8.9204720447770853</v>
      </c>
      <c r="CO65" s="17">
        <f t="shared" si="157"/>
        <v>7.1624779622489543</v>
      </c>
      <c r="CP65" s="17">
        <f t="shared" si="157"/>
        <v>3.5190952933721618</v>
      </c>
      <c r="CR65" s="67">
        <f t="shared" si="126"/>
        <v>-83.470059929814838</v>
      </c>
      <c r="CS65" s="68">
        <f t="shared" si="127"/>
        <v>11.988557484379562</v>
      </c>
      <c r="CT65" s="68">
        <f t="shared" si="128"/>
        <v>-71.481502445435268</v>
      </c>
    </row>
    <row r="66" spans="1:98" x14ac:dyDescent="0.2">
      <c r="A66" t="str">
        <f t="shared" si="95"/>
        <v>72 Customer service occupations</v>
      </c>
      <c r="B66" s="17">
        <f t="shared" si="149"/>
        <v>0.36655196879886537</v>
      </c>
      <c r="C66" s="17">
        <f t="shared" si="149"/>
        <v>0.35457764205857073</v>
      </c>
      <c r="D66" s="17">
        <f t="shared" si="149"/>
        <v>0.40311214889816332</v>
      </c>
      <c r="E66" s="17">
        <f t="shared" si="149"/>
        <v>0.54702792301894276</v>
      </c>
      <c r="F66" s="17">
        <f t="shared" si="149"/>
        <v>0.70044853556236752</v>
      </c>
      <c r="H66" s="67">
        <f t="shared" si="129"/>
        <v>256.12552664255657</v>
      </c>
      <c r="I66" s="68">
        <f t="shared" si="130"/>
        <v>113.68942919185395</v>
      </c>
      <c r="J66" s="68">
        <f t="shared" si="131"/>
        <v>369.81495583441051</v>
      </c>
      <c r="L66" t="str">
        <f t="shared" si="132"/>
        <v>72 Customer service occupations</v>
      </c>
      <c r="M66" s="17">
        <f t="shared" si="150"/>
        <v>0.60059456006199607</v>
      </c>
      <c r="N66" s="17">
        <f t="shared" si="150"/>
        <v>0.614547177985443</v>
      </c>
      <c r="O66" s="17">
        <f t="shared" si="150"/>
        <v>0.63891295904355883</v>
      </c>
      <c r="P66" s="17">
        <f t="shared" si="150"/>
        <v>0.84509670097324341</v>
      </c>
      <c r="Q66" s="17">
        <f t="shared" si="150"/>
        <v>0.99546522519564695</v>
      </c>
      <c r="S66" s="67">
        <f t="shared" si="98"/>
        <v>218.9905165189713</v>
      </c>
      <c r="T66" s="68">
        <f t="shared" si="99"/>
        <v>109.80869326859019</v>
      </c>
      <c r="U66" s="68">
        <f t="shared" si="100"/>
        <v>328.79920978756155</v>
      </c>
      <c r="W66" t="str">
        <f t="shared" si="133"/>
        <v>72 Customer service occupations</v>
      </c>
      <c r="X66" s="17">
        <f t="shared" si="151"/>
        <v>1.0867708858909779</v>
      </c>
      <c r="Y66" s="17">
        <f t="shared" si="151"/>
        <v>1.1063761167866089</v>
      </c>
      <c r="Z66" s="17">
        <f t="shared" si="151"/>
        <v>1.1879935828582553</v>
      </c>
      <c r="AA66" s="17">
        <f t="shared" si="151"/>
        <v>1.5227045189219299</v>
      </c>
      <c r="AB66" s="17">
        <f t="shared" si="151"/>
        <v>1.8991874815857592</v>
      </c>
      <c r="AD66" s="67">
        <f t="shared" si="102"/>
        <v>44.736023403431091</v>
      </c>
      <c r="AE66" s="68">
        <f t="shared" si="103"/>
        <v>67.388850445929776</v>
      </c>
      <c r="AF66" s="68">
        <f t="shared" si="104"/>
        <v>112.12487384936087</v>
      </c>
      <c r="AH66" t="str">
        <f t="shared" si="134"/>
        <v>72 Customer service occupations</v>
      </c>
      <c r="AI66" s="17">
        <f t="shared" si="152"/>
        <v>1.3187282241559466</v>
      </c>
      <c r="AJ66" s="17">
        <f t="shared" si="152"/>
        <v>1.5329953078099625</v>
      </c>
      <c r="AK66" s="17">
        <f t="shared" si="152"/>
        <v>1.6900937016529383</v>
      </c>
      <c r="AL66" s="17">
        <f t="shared" si="152"/>
        <v>2.3324807468234581</v>
      </c>
      <c r="AM66" s="17">
        <f t="shared" si="152"/>
        <v>2.8689863969413874</v>
      </c>
      <c r="AO66" s="67">
        <f t="shared" si="106"/>
        <v>57.480006674066189</v>
      </c>
      <c r="AP66" s="68">
        <f t="shared" si="107"/>
        <v>77.300861643307641</v>
      </c>
      <c r="AQ66" s="68">
        <f t="shared" si="108"/>
        <v>134.7808683173738</v>
      </c>
      <c r="AS66" t="str">
        <f t="shared" si="135"/>
        <v>72 Customer service occupations</v>
      </c>
      <c r="AT66" s="17">
        <f t="shared" si="153"/>
        <v>1.9113444294852275</v>
      </c>
      <c r="AU66" s="17">
        <f t="shared" si="153"/>
        <v>1.9667722480001721</v>
      </c>
      <c r="AV66" s="17">
        <f t="shared" si="153"/>
        <v>1.9175770086720851</v>
      </c>
      <c r="AW66" s="17">
        <f t="shared" si="153"/>
        <v>2.4513035064290172</v>
      </c>
      <c r="AX66" s="17">
        <f t="shared" si="153"/>
        <v>2.5798396059181901</v>
      </c>
      <c r="AZ66" s="67">
        <f t="shared" si="110"/>
        <v>31.971253244212889</v>
      </c>
      <c r="BA66" s="68">
        <f t="shared" si="111"/>
        <v>60.443736123952554</v>
      </c>
      <c r="BB66" s="68">
        <f t="shared" si="112"/>
        <v>92.41498936816545</v>
      </c>
      <c r="BD66" t="str">
        <f t="shared" si="136"/>
        <v>72 Customer service occupations</v>
      </c>
      <c r="BE66" s="17">
        <f t="shared" si="154"/>
        <v>1.9787644147839616</v>
      </c>
      <c r="BF66" s="17">
        <f t="shared" si="154"/>
        <v>2.1507070226978806</v>
      </c>
      <c r="BG66" s="17">
        <f t="shared" si="154"/>
        <v>2.1136091321337713</v>
      </c>
      <c r="BH66" s="17">
        <f t="shared" si="154"/>
        <v>2.726684096883659</v>
      </c>
      <c r="BI66" s="17">
        <f t="shared" si="154"/>
        <v>3.1713948664684701</v>
      </c>
      <c r="BK66" s="67">
        <f t="shared" si="114"/>
        <v>4.2787806057081124</v>
      </c>
      <c r="BL66" s="68">
        <f t="shared" si="115"/>
        <v>44.981541331286046</v>
      </c>
      <c r="BM66" s="68">
        <f t="shared" si="116"/>
        <v>49.26032193699416</v>
      </c>
      <c r="BO66" t="str">
        <f t="shared" si="137"/>
        <v>72 Customer service occupations</v>
      </c>
      <c r="BP66" s="17">
        <f t="shared" si="155"/>
        <v>2.2878158713080845</v>
      </c>
      <c r="BQ66" s="17">
        <f t="shared" si="155"/>
        <v>2.3645546925187571</v>
      </c>
      <c r="BR66" s="17">
        <f t="shared" si="155"/>
        <v>2.4958954745871829</v>
      </c>
      <c r="BS66" s="17">
        <f t="shared" si="155"/>
        <v>3.2806446725918295</v>
      </c>
      <c r="BT66" s="17">
        <f t="shared" si="155"/>
        <v>3.5577719020373757</v>
      </c>
      <c r="BV66" s="67">
        <f t="shared" si="118"/>
        <v>-7.0114686877932888</v>
      </c>
      <c r="BW66" s="68">
        <f t="shared" si="119"/>
        <v>46.2959431095261</v>
      </c>
      <c r="BX66" s="68">
        <f t="shared" si="120"/>
        <v>39.28447442173281</v>
      </c>
      <c r="BZ66" t="str">
        <f t="shared" si="138"/>
        <v>72 Customer service occupations</v>
      </c>
      <c r="CA66" s="17">
        <f t="shared" si="156"/>
        <v>1.5372384127795642</v>
      </c>
      <c r="CB66" s="17">
        <f t="shared" si="156"/>
        <v>1.4408228524580144</v>
      </c>
      <c r="CC66" s="17">
        <f t="shared" si="156"/>
        <v>1.5454063098448458</v>
      </c>
      <c r="CD66" s="17">
        <f t="shared" si="156"/>
        <v>1.750431482724464</v>
      </c>
      <c r="CE66" s="17">
        <f t="shared" si="156"/>
        <v>2.2348425725677714</v>
      </c>
      <c r="CG66" s="67">
        <f t="shared" si="122"/>
        <v>-21.210464061500073</v>
      </c>
      <c r="CH66" s="68">
        <f t="shared" si="123"/>
        <v>26.514079968054542</v>
      </c>
      <c r="CI66" s="68">
        <f t="shared" si="124"/>
        <v>5.3036159065544695</v>
      </c>
      <c r="CK66" t="str">
        <f t="shared" si="139"/>
        <v>72 Customer service occupations</v>
      </c>
      <c r="CL66" s="17">
        <f t="shared" si="157"/>
        <v>1.2131469146221272</v>
      </c>
      <c r="CM66" s="17">
        <f t="shared" si="157"/>
        <v>1.4937208902711749</v>
      </c>
      <c r="CN66" s="17">
        <f t="shared" si="157"/>
        <v>1.6775162387526601</v>
      </c>
      <c r="CO66" s="17">
        <f t="shared" si="157"/>
        <v>2.8832838148163691</v>
      </c>
      <c r="CP66" s="17">
        <f t="shared" si="157"/>
        <v>4.9584145896321843</v>
      </c>
      <c r="CR66" s="67">
        <f t="shared" si="126"/>
        <v>23.852333113723844</v>
      </c>
      <c r="CS66" s="68">
        <f t="shared" si="127"/>
        <v>40.293744919917565</v>
      </c>
      <c r="CT66" s="68">
        <f t="shared" si="128"/>
        <v>64.146078033641402</v>
      </c>
    </row>
    <row r="67" spans="1:98" x14ac:dyDescent="0.2">
      <c r="A67" t="str">
        <f t="shared" si="95"/>
        <v>81 Process, plant and machine operatives</v>
      </c>
      <c r="B67" s="17">
        <f t="shared" si="149"/>
        <v>0.15228370278402817</v>
      </c>
      <c r="C67" s="17">
        <f t="shared" si="149"/>
        <v>0.1381131465203036</v>
      </c>
      <c r="D67" s="17">
        <f t="shared" si="149"/>
        <v>0.14243778211060448</v>
      </c>
      <c r="E67" s="17">
        <f t="shared" si="149"/>
        <v>0.20921804383881171</v>
      </c>
      <c r="F67" s="17">
        <f t="shared" si="149"/>
        <v>0.32341647004316598</v>
      </c>
      <c r="H67" s="67">
        <f t="shared" si="129"/>
        <v>365.36068476147722</v>
      </c>
      <c r="I67" s="68">
        <f t="shared" si="130"/>
        <v>131.0106455969588</v>
      </c>
      <c r="J67" s="68">
        <f t="shared" si="131"/>
        <v>496.37133035843607</v>
      </c>
      <c r="L67" t="str">
        <f t="shared" si="132"/>
        <v>81 Process, plant and machine operatives</v>
      </c>
      <c r="M67" s="17">
        <f t="shared" si="150"/>
        <v>0.11865785382482713</v>
      </c>
      <c r="N67" s="17">
        <f t="shared" si="150"/>
        <v>0.13018689031608491</v>
      </c>
      <c r="O67" s="17">
        <f t="shared" si="150"/>
        <v>0.13258780481135843</v>
      </c>
      <c r="P67" s="17">
        <f t="shared" si="150"/>
        <v>0.18749805126137797</v>
      </c>
      <c r="Q67" s="17">
        <f t="shared" si="150"/>
        <v>0.27985388104462205</v>
      </c>
      <c r="S67" s="67">
        <f t="shared" si="98"/>
        <v>332.13667832095899</v>
      </c>
      <c r="T67" s="68">
        <f t="shared" si="99"/>
        <v>137.13465347401578</v>
      </c>
      <c r="U67" s="68">
        <f t="shared" si="100"/>
        <v>469.2713317949748</v>
      </c>
      <c r="W67" t="str">
        <f t="shared" si="133"/>
        <v>81 Process, plant and machine operatives</v>
      </c>
      <c r="X67" s="17">
        <f t="shared" si="151"/>
        <v>0.17966860308935492</v>
      </c>
      <c r="Y67" s="17">
        <f t="shared" si="151"/>
        <v>0.15254860675971579</v>
      </c>
      <c r="Z67" s="17">
        <f t="shared" si="151"/>
        <v>0.15251599502233201</v>
      </c>
      <c r="AA67" s="17">
        <f t="shared" si="151"/>
        <v>0.22547146910236313</v>
      </c>
      <c r="AB67" s="17">
        <f t="shared" si="151"/>
        <v>0.38628692290843081</v>
      </c>
      <c r="AD67" s="67">
        <f t="shared" si="102"/>
        <v>129.30710198433459</v>
      </c>
      <c r="AE67" s="68">
        <f t="shared" si="103"/>
        <v>88.51010081770103</v>
      </c>
      <c r="AF67" s="68">
        <f t="shared" si="104"/>
        <v>217.81720280203564</v>
      </c>
      <c r="AH67" t="str">
        <f t="shared" si="134"/>
        <v>81 Process, plant and machine operatives</v>
      </c>
      <c r="AI67" s="17">
        <f t="shared" si="152"/>
        <v>0.27724402292366873</v>
      </c>
      <c r="AJ67" s="17">
        <f t="shared" si="152"/>
        <v>0.26012873290018657</v>
      </c>
      <c r="AK67" s="17">
        <f t="shared" si="152"/>
        <v>0.2803743442339805</v>
      </c>
      <c r="AL67" s="17">
        <f t="shared" si="152"/>
        <v>0.42748109888000924</v>
      </c>
      <c r="AM67" s="17">
        <f t="shared" si="152"/>
        <v>0.70725163047253548</v>
      </c>
      <c r="AO67" s="67">
        <f t="shared" si="106"/>
        <v>134.01484338721497</v>
      </c>
      <c r="AP67" s="68">
        <f t="shared" si="107"/>
        <v>88.251404700320833</v>
      </c>
      <c r="AQ67" s="68">
        <f t="shared" si="108"/>
        <v>222.26624808753579</v>
      </c>
      <c r="AS67" t="str">
        <f t="shared" si="135"/>
        <v>81 Process, plant and machine operatives</v>
      </c>
      <c r="AT67" s="17">
        <f t="shared" si="153"/>
        <v>0.64924767169904496</v>
      </c>
      <c r="AU67" s="17">
        <f t="shared" si="153"/>
        <v>0.62668893688260019</v>
      </c>
      <c r="AV67" s="17">
        <f t="shared" si="153"/>
        <v>0.65153449697712407</v>
      </c>
      <c r="AW67" s="17">
        <f t="shared" si="153"/>
        <v>0.92717833192427235</v>
      </c>
      <c r="AX67" s="17">
        <f t="shared" si="153"/>
        <v>1.2321447135312453</v>
      </c>
      <c r="AZ67" s="67">
        <f t="shared" si="110"/>
        <v>85.508473514422988</v>
      </c>
      <c r="BA67" s="68">
        <f t="shared" si="111"/>
        <v>82.790503146401917</v>
      </c>
      <c r="BB67" s="68">
        <f t="shared" si="112"/>
        <v>168.29897666082491</v>
      </c>
      <c r="BD67" t="str">
        <f t="shared" si="136"/>
        <v>81 Process, plant and machine operatives</v>
      </c>
      <c r="BE67" s="17">
        <f t="shared" si="154"/>
        <v>0.78113799363820324</v>
      </c>
      <c r="BF67" s="17">
        <f t="shared" si="154"/>
        <v>0.73257524653290662</v>
      </c>
      <c r="BG67" s="17">
        <f t="shared" si="154"/>
        <v>0.80400751845697127</v>
      </c>
      <c r="BH67" s="17">
        <f t="shared" si="154"/>
        <v>0.98088615191996853</v>
      </c>
      <c r="BI67" s="17">
        <f t="shared" si="154"/>
        <v>1.1650672879248758</v>
      </c>
      <c r="BK67" s="67">
        <f t="shared" si="114"/>
        <v>0.70735750352891602</v>
      </c>
      <c r="BL67" s="68">
        <f t="shared" si="115"/>
        <v>39.705189585984172</v>
      </c>
      <c r="BM67" s="68">
        <f t="shared" si="116"/>
        <v>40.41254708951309</v>
      </c>
      <c r="BO67" t="str">
        <f t="shared" si="137"/>
        <v>81 Process, plant and machine operatives</v>
      </c>
      <c r="BP67" s="17">
        <f t="shared" si="155"/>
        <v>1.0413968090772396</v>
      </c>
      <c r="BQ67" s="17">
        <f t="shared" si="155"/>
        <v>1.0937887330978837</v>
      </c>
      <c r="BR67" s="17">
        <f t="shared" si="155"/>
        <v>1.0702193886548601</v>
      </c>
      <c r="BS67" s="17">
        <f t="shared" si="155"/>
        <v>1.4484794712814604</v>
      </c>
      <c r="BT67" s="17">
        <f t="shared" si="155"/>
        <v>1.8704846801113371</v>
      </c>
      <c r="BV67" s="67">
        <f t="shared" si="118"/>
        <v>14.014220404057564</v>
      </c>
      <c r="BW67" s="68">
        <f t="shared" si="119"/>
        <v>42.363479187080038</v>
      </c>
      <c r="BX67" s="68">
        <f t="shared" si="120"/>
        <v>56.377699591137606</v>
      </c>
      <c r="BZ67" t="str">
        <f t="shared" si="138"/>
        <v>81 Process, plant and machine operatives</v>
      </c>
      <c r="CA67" s="17">
        <f t="shared" si="156"/>
        <v>1.5012919316954405</v>
      </c>
      <c r="CB67" s="17">
        <f t="shared" si="156"/>
        <v>1.4618489306964177</v>
      </c>
      <c r="CC67" s="17">
        <f t="shared" si="156"/>
        <v>1.3987433857729692</v>
      </c>
      <c r="CD67" s="17">
        <f t="shared" si="156"/>
        <v>1.7007362990886725</v>
      </c>
      <c r="CE67" s="17">
        <f t="shared" si="156"/>
        <v>1.588953441420921</v>
      </c>
      <c r="CG67" s="67">
        <f t="shared" si="122"/>
        <v>-38.107587141336005</v>
      </c>
      <c r="CH67" s="68">
        <f t="shared" si="123"/>
        <v>28.859702080660316</v>
      </c>
      <c r="CI67" s="68">
        <f t="shared" si="124"/>
        <v>-9.2478850606756886</v>
      </c>
      <c r="CK67" t="str">
        <f t="shared" si="139"/>
        <v>81 Process, plant and machine operatives</v>
      </c>
      <c r="CL67" s="17">
        <f t="shared" si="157"/>
        <v>1.9783067073232525</v>
      </c>
      <c r="CM67" s="17">
        <f t="shared" si="157"/>
        <v>1.7242063856536392</v>
      </c>
      <c r="CN67" s="17">
        <f t="shared" si="157"/>
        <v>1.7468744215666809</v>
      </c>
      <c r="CO67" s="17">
        <f t="shared" si="157"/>
        <v>1.8375644214007878</v>
      </c>
      <c r="CP67" s="17">
        <f t="shared" si="157"/>
        <v>1.674177199443998</v>
      </c>
      <c r="CR67" s="67">
        <f t="shared" si="126"/>
        <v>-59.842392965691602</v>
      </c>
      <c r="CS67" s="68">
        <f t="shared" si="127"/>
        <v>18.072773341370763</v>
      </c>
      <c r="CT67" s="68">
        <f t="shared" si="128"/>
        <v>-41.769619624320839</v>
      </c>
    </row>
    <row r="68" spans="1:98" x14ac:dyDescent="0.2">
      <c r="A68" t="str">
        <f t="shared" si="95"/>
        <v>82 Transport and mobile machine drivers and operatives</v>
      </c>
      <c r="B68" s="17">
        <f t="shared" si="149"/>
        <v>0.69817046156866658</v>
      </c>
      <c r="C68" s="17">
        <f t="shared" si="149"/>
        <v>0.86933807165313903</v>
      </c>
      <c r="D68" s="17">
        <f t="shared" si="149"/>
        <v>0.7916283283890494</v>
      </c>
      <c r="E68" s="17">
        <f t="shared" si="149"/>
        <v>1.132273671798778</v>
      </c>
      <c r="F68" s="17">
        <f t="shared" si="149"/>
        <v>1.5553642545952362</v>
      </c>
      <c r="H68" s="67">
        <f t="shared" si="129"/>
        <v>302.68323287253475</v>
      </c>
      <c r="I68" s="68">
        <f t="shared" si="130"/>
        <v>167.14827977370774</v>
      </c>
      <c r="J68" s="68">
        <f t="shared" si="131"/>
        <v>469.83151264624257</v>
      </c>
      <c r="L68" t="str">
        <f t="shared" si="132"/>
        <v>82 Transport and mobile machine drivers and operatives</v>
      </c>
      <c r="M68" s="17">
        <f t="shared" si="150"/>
        <v>0.59935002903984702</v>
      </c>
      <c r="N68" s="17">
        <f t="shared" si="150"/>
        <v>0.6948169475514111</v>
      </c>
      <c r="O68" s="17">
        <f t="shared" si="150"/>
        <v>0.66317462343461475</v>
      </c>
      <c r="P68" s="17">
        <f t="shared" si="150"/>
        <v>0.85813837299868345</v>
      </c>
      <c r="Q68" s="17">
        <f t="shared" si="150"/>
        <v>1.152368701681846</v>
      </c>
      <c r="S68" s="67">
        <f t="shared" si="98"/>
        <v>255.75984757754014</v>
      </c>
      <c r="T68" s="68">
        <f t="shared" si="99"/>
        <v>147.73877188622413</v>
      </c>
      <c r="U68" s="68">
        <f t="shared" si="100"/>
        <v>403.49861946376427</v>
      </c>
      <c r="W68" t="str">
        <f t="shared" si="133"/>
        <v>82 Transport and mobile machine drivers and operatives</v>
      </c>
      <c r="X68" s="17">
        <f t="shared" si="151"/>
        <v>0.85083904661578091</v>
      </c>
      <c r="Y68" s="17">
        <f t="shared" si="151"/>
        <v>1.0011515854751853</v>
      </c>
      <c r="Z68" s="17">
        <f t="shared" si="151"/>
        <v>0.99427993188013919</v>
      </c>
      <c r="AA68" s="17">
        <f t="shared" si="151"/>
        <v>1.2519931567064482</v>
      </c>
      <c r="AB68" s="17">
        <f t="shared" si="151"/>
        <v>1.6251337975893021</v>
      </c>
      <c r="AD68" s="67">
        <f t="shared" si="102"/>
        <v>47.980108185785888</v>
      </c>
      <c r="AE68" s="68">
        <f t="shared" si="103"/>
        <v>93.192567324542736</v>
      </c>
      <c r="AF68" s="68">
        <f t="shared" si="104"/>
        <v>141.17267551032862</v>
      </c>
      <c r="AH68" t="str">
        <f t="shared" si="134"/>
        <v>82 Transport and mobile machine drivers and operatives</v>
      </c>
      <c r="AI68" s="17">
        <f t="shared" si="152"/>
        <v>1.5536911688363571</v>
      </c>
      <c r="AJ68" s="17">
        <f t="shared" si="152"/>
        <v>2.0412305915033504</v>
      </c>
      <c r="AK68" s="17">
        <f t="shared" si="152"/>
        <v>2.0607405212460019</v>
      </c>
      <c r="AL68" s="17">
        <f t="shared" si="152"/>
        <v>2.7263347739381927</v>
      </c>
      <c r="AM68" s="17">
        <f t="shared" si="152"/>
        <v>3.3444257638550239</v>
      </c>
      <c r="AO68" s="67">
        <f t="shared" si="106"/>
        <v>50.558738838537856</v>
      </c>
      <c r="AP68" s="68">
        <f t="shared" si="107"/>
        <v>93.132426316990376</v>
      </c>
      <c r="AQ68" s="68">
        <f t="shared" si="108"/>
        <v>143.69116515552821</v>
      </c>
      <c r="AS68" t="str">
        <f t="shared" si="135"/>
        <v>82 Transport and mobile machine drivers and operatives</v>
      </c>
      <c r="AT68" s="17">
        <f t="shared" si="153"/>
        <v>2.8693992969038873</v>
      </c>
      <c r="AU68" s="17">
        <f t="shared" si="153"/>
        <v>3.1911727342369822</v>
      </c>
      <c r="AV68" s="17">
        <f t="shared" si="153"/>
        <v>3.2089068708317279</v>
      </c>
      <c r="AW68" s="17">
        <f t="shared" si="153"/>
        <v>3.8420264859139408</v>
      </c>
      <c r="AX68" s="17">
        <f t="shared" si="153"/>
        <v>4.4202046739853449</v>
      </c>
      <c r="AZ68" s="67">
        <f t="shared" si="110"/>
        <v>35.12158016723091</v>
      </c>
      <c r="BA68" s="68">
        <f t="shared" si="111"/>
        <v>87.639926400562388</v>
      </c>
      <c r="BB68" s="68">
        <f t="shared" si="112"/>
        <v>122.7615065677933</v>
      </c>
      <c r="BD68" t="str">
        <f t="shared" si="136"/>
        <v>82 Transport and mobile machine drivers and operatives</v>
      </c>
      <c r="BE68" s="17">
        <f t="shared" si="154"/>
        <v>3.7506843217347643</v>
      </c>
      <c r="BF68" s="17">
        <f t="shared" si="154"/>
        <v>3.8782136619220191</v>
      </c>
      <c r="BG68" s="17">
        <f t="shared" si="154"/>
        <v>4.471943862021015</v>
      </c>
      <c r="BH68" s="17">
        <f t="shared" si="154"/>
        <v>4.8545789351242492</v>
      </c>
      <c r="BI68" s="17">
        <f t="shared" si="154"/>
        <v>5.4178748166520379</v>
      </c>
      <c r="BK68" s="67">
        <f t="shared" si="114"/>
        <v>-15.801777157576671</v>
      </c>
      <c r="BL68" s="68">
        <f t="shared" si="115"/>
        <v>46.094162085522939</v>
      </c>
      <c r="BM68" s="68">
        <f t="shared" si="116"/>
        <v>30.292384927946269</v>
      </c>
      <c r="BO68" t="str">
        <f t="shared" si="137"/>
        <v>82 Transport and mobile machine drivers and operatives</v>
      </c>
      <c r="BP68" s="17">
        <f t="shared" si="155"/>
        <v>5.8618214075567012</v>
      </c>
      <c r="BQ68" s="17">
        <f t="shared" si="155"/>
        <v>6.9158635597236477</v>
      </c>
      <c r="BR68" s="17">
        <f t="shared" si="155"/>
        <v>6.5568798325261284</v>
      </c>
      <c r="BS68" s="17">
        <f t="shared" si="155"/>
        <v>8.1123894906750404</v>
      </c>
      <c r="BT68" s="17">
        <f t="shared" si="155"/>
        <v>10.508165300384144</v>
      </c>
      <c r="BV68" s="67">
        <f t="shared" si="118"/>
        <v>4.5459835054611517</v>
      </c>
      <c r="BW68" s="68">
        <f t="shared" si="119"/>
        <v>53.009054111733974</v>
      </c>
      <c r="BX68" s="68">
        <f t="shared" si="120"/>
        <v>57.55503761719514</v>
      </c>
      <c r="BZ68" t="str">
        <f t="shared" si="138"/>
        <v>82 Transport and mobile machine drivers and operatives</v>
      </c>
      <c r="CA68" s="17">
        <f t="shared" si="156"/>
        <v>8.1087448764314374</v>
      </c>
      <c r="CB68" s="17">
        <f t="shared" si="156"/>
        <v>9.0751272985702069</v>
      </c>
      <c r="CC68" s="17">
        <f t="shared" si="156"/>
        <v>8.3982476773887331</v>
      </c>
      <c r="CD68" s="17">
        <f t="shared" si="156"/>
        <v>10.042614135560363</v>
      </c>
      <c r="CE68" s="17">
        <f t="shared" si="156"/>
        <v>12.131328246241296</v>
      </c>
      <c r="CG68" s="67">
        <f t="shared" si="122"/>
        <v>-21.298327226429866</v>
      </c>
      <c r="CH68" s="68">
        <f t="shared" si="123"/>
        <v>38.353950173854074</v>
      </c>
      <c r="CI68" s="68">
        <f t="shared" si="124"/>
        <v>17.055622947424208</v>
      </c>
      <c r="CK68" t="str">
        <f t="shared" si="139"/>
        <v>82 Transport and mobile machine drivers and operatives</v>
      </c>
      <c r="CL68" s="17">
        <f t="shared" si="157"/>
        <v>9.5823131403617232</v>
      </c>
      <c r="CM68" s="17">
        <f t="shared" si="157"/>
        <v>11.219525600355187</v>
      </c>
      <c r="CN68" s="17">
        <f t="shared" si="157"/>
        <v>10.761022827875479</v>
      </c>
      <c r="CO68" s="17">
        <f t="shared" si="157"/>
        <v>10.858089109789645</v>
      </c>
      <c r="CP68" s="17">
        <f t="shared" si="157"/>
        <v>8.8150838988491724</v>
      </c>
      <c r="CR68" s="67">
        <f t="shared" si="126"/>
        <v>-65.675755588252485</v>
      </c>
      <c r="CS68" s="68">
        <f t="shared" si="127"/>
        <v>25.89848929756549</v>
      </c>
      <c r="CT68" s="68">
        <f t="shared" si="128"/>
        <v>-39.777266290686988</v>
      </c>
    </row>
    <row r="69" spans="1:98" x14ac:dyDescent="0.2">
      <c r="A69" t="str">
        <f t="shared" si="95"/>
        <v>91 Elementary trades and related occupations</v>
      </c>
      <c r="B69" s="17">
        <f t="shared" si="149"/>
        <v>3.1262630191798268E-3</v>
      </c>
      <c r="C69" s="17">
        <f t="shared" si="149"/>
        <v>2.7332804512251977E-3</v>
      </c>
      <c r="D69" s="17">
        <f t="shared" si="149"/>
        <v>2.9051761298997374E-3</v>
      </c>
      <c r="E69" s="17">
        <f t="shared" si="149"/>
        <v>2.740573597360687E-3</v>
      </c>
      <c r="F69" s="17">
        <f t="shared" si="149"/>
        <v>4.187233217257229E-3</v>
      </c>
      <c r="H69" s="67">
        <f t="shared" si="129"/>
        <v>195.39792700028454</v>
      </c>
      <c r="I69" s="68">
        <f t="shared" si="130"/>
        <v>89.07365641353428</v>
      </c>
      <c r="J69" s="68">
        <f t="shared" si="131"/>
        <v>284.47158341381879</v>
      </c>
      <c r="L69" t="str">
        <f t="shared" si="132"/>
        <v>91 Elementary trades and related occupations</v>
      </c>
      <c r="M69" s="17">
        <f t="shared" si="150"/>
        <v>8.6091319167799898E-2</v>
      </c>
      <c r="N69" s="17">
        <f t="shared" si="150"/>
        <v>7.5905188951595773E-2</v>
      </c>
      <c r="O69" s="17">
        <f t="shared" si="150"/>
        <v>7.0439749075552088E-2</v>
      </c>
      <c r="P69" s="17">
        <f t="shared" si="150"/>
        <v>7.1790890043976971E-2</v>
      </c>
      <c r="Q69" s="17">
        <f t="shared" si="150"/>
        <v>0.10683661816956644</v>
      </c>
      <c r="S69" s="67">
        <f t="shared" si="98"/>
        <v>210.5243830326101</v>
      </c>
      <c r="T69" s="68">
        <f t="shared" si="99"/>
        <v>98.643342326341426</v>
      </c>
      <c r="U69" s="68">
        <f t="shared" si="100"/>
        <v>309.16772535895154</v>
      </c>
      <c r="W69" t="str">
        <f t="shared" si="133"/>
        <v>91 Elementary trades and related occupations</v>
      </c>
      <c r="X69" s="17">
        <f t="shared" si="151"/>
        <v>0.15258330790930569</v>
      </c>
      <c r="Y69" s="17">
        <f t="shared" si="151"/>
        <v>0.14193579133155812</v>
      </c>
      <c r="Z69" s="17">
        <f t="shared" si="151"/>
        <v>0.13956824819617381</v>
      </c>
      <c r="AA69" s="17">
        <f t="shared" si="151"/>
        <v>0.11975741846489862</v>
      </c>
      <c r="AB69" s="17">
        <f t="shared" si="151"/>
        <v>0.13334839273952581</v>
      </c>
      <c r="AD69" s="67">
        <f t="shared" si="102"/>
        <v>-13.498418029315587</v>
      </c>
      <c r="AE69" s="68">
        <f t="shared" si="103"/>
        <v>54.532259264837549</v>
      </c>
      <c r="AF69" s="68">
        <f t="shared" si="104"/>
        <v>41.033841235521955</v>
      </c>
      <c r="AH69" t="str">
        <f t="shared" si="134"/>
        <v>91 Elementary trades and related occupations</v>
      </c>
      <c r="AI69" s="17">
        <f t="shared" si="152"/>
        <v>0.35002962762121503</v>
      </c>
      <c r="AJ69" s="17">
        <f t="shared" si="152"/>
        <v>0.33187033117575471</v>
      </c>
      <c r="AK69" s="17">
        <f t="shared" si="152"/>
        <v>0.33455681411764376</v>
      </c>
      <c r="AL69" s="17">
        <f t="shared" si="152"/>
        <v>0.29097874319356898</v>
      </c>
      <c r="AM69" s="17">
        <f t="shared" si="152"/>
        <v>0.30315640873780986</v>
      </c>
      <c r="AO69" s="67">
        <f t="shared" si="106"/>
        <v>-15.937056571158493</v>
      </c>
      <c r="AP69" s="68">
        <f t="shared" si="107"/>
        <v>52.197079371826739</v>
      </c>
      <c r="AQ69" s="68">
        <f t="shared" si="108"/>
        <v>36.260022800668239</v>
      </c>
      <c r="AS69" t="str">
        <f t="shared" si="135"/>
        <v>91 Elementary trades and related occupations</v>
      </c>
      <c r="AT69" s="17">
        <f t="shared" si="153"/>
        <v>0.50265409960770946</v>
      </c>
      <c r="AU69" s="17">
        <f t="shared" si="153"/>
        <v>0.49301141575607249</v>
      </c>
      <c r="AV69" s="17">
        <f t="shared" si="153"/>
        <v>0.53121729436394483</v>
      </c>
      <c r="AW69" s="17">
        <f t="shared" si="153"/>
        <v>0.47504729433708903</v>
      </c>
      <c r="AX69" s="17">
        <f t="shared" si="153"/>
        <v>0.53083462381819624</v>
      </c>
      <c r="AZ69" s="67">
        <f t="shared" si="110"/>
        <v>-1.9773395395157096</v>
      </c>
      <c r="BA69" s="68">
        <f t="shared" si="111"/>
        <v>53.775923721119526</v>
      </c>
      <c r="BB69" s="68">
        <f t="shared" si="112"/>
        <v>51.798584181603815</v>
      </c>
      <c r="BD69" t="str">
        <f t="shared" si="136"/>
        <v>91 Elementary trades and related occupations</v>
      </c>
      <c r="BE69" s="17">
        <f t="shared" si="154"/>
        <v>0.72980366233128913</v>
      </c>
      <c r="BF69" s="17">
        <f t="shared" si="154"/>
        <v>0.60589580687328148</v>
      </c>
      <c r="BG69" s="17">
        <f t="shared" si="154"/>
        <v>0.66105609693025247</v>
      </c>
      <c r="BH69" s="17">
        <f t="shared" si="154"/>
        <v>0.58665288531393733</v>
      </c>
      <c r="BI69" s="17">
        <f t="shared" si="154"/>
        <v>0.74667599670498941</v>
      </c>
      <c r="BK69" s="67">
        <f t="shared" si="114"/>
        <v>-21.500990445816072</v>
      </c>
      <c r="BL69" s="68">
        <f t="shared" si="115"/>
        <v>29.560541638635517</v>
      </c>
      <c r="BM69" s="68">
        <f t="shared" si="116"/>
        <v>8.0595511928194448</v>
      </c>
      <c r="BO69" t="str">
        <f t="shared" si="137"/>
        <v>91 Elementary trades and related occupations</v>
      </c>
      <c r="BP69" s="17">
        <f t="shared" si="155"/>
        <v>1.3294674769522876</v>
      </c>
      <c r="BQ69" s="17">
        <f t="shared" si="155"/>
        <v>1.2862974842080495</v>
      </c>
      <c r="BR69" s="17">
        <f t="shared" si="155"/>
        <v>1.3043568859930015</v>
      </c>
      <c r="BS69" s="17">
        <f t="shared" si="155"/>
        <v>1.1774585485515534</v>
      </c>
      <c r="BT69" s="17">
        <f t="shared" si="155"/>
        <v>1.6224195800644086</v>
      </c>
      <c r="BV69" s="67">
        <f t="shared" si="118"/>
        <v>-18.858239763612577</v>
      </c>
      <c r="BW69" s="68">
        <f t="shared" si="119"/>
        <v>28.881918913042355</v>
      </c>
      <c r="BX69" s="68">
        <f t="shared" si="120"/>
        <v>10.023679149429778</v>
      </c>
      <c r="BZ69" t="str">
        <f t="shared" si="138"/>
        <v>91 Elementary trades and related occupations</v>
      </c>
      <c r="CA69" s="17">
        <f t="shared" si="156"/>
        <v>2.2978941705204732</v>
      </c>
      <c r="CB69" s="17">
        <f t="shared" si="156"/>
        <v>2.1030644563561052</v>
      </c>
      <c r="CC69" s="17">
        <f t="shared" si="156"/>
        <v>2.0400199039681293</v>
      </c>
      <c r="CD69" s="17">
        <f t="shared" si="156"/>
        <v>1.7950423408003939</v>
      </c>
      <c r="CE69" s="17">
        <f t="shared" si="156"/>
        <v>2.113589633629557</v>
      </c>
      <c r="CG69" s="67">
        <f t="shared" si="122"/>
        <v>-43.551740803921788</v>
      </c>
      <c r="CH69" s="68">
        <f t="shared" si="123"/>
        <v>24.136923548765775</v>
      </c>
      <c r="CI69" s="68">
        <f t="shared" si="124"/>
        <v>-19.414817255156013</v>
      </c>
      <c r="CK69" t="str">
        <f t="shared" si="139"/>
        <v>91 Elementary trades and related occupations</v>
      </c>
      <c r="CL69" s="17">
        <f t="shared" si="157"/>
        <v>3.163702915415862</v>
      </c>
      <c r="CM69" s="17">
        <f t="shared" si="157"/>
        <v>3.0342166773102441</v>
      </c>
      <c r="CN69" s="17">
        <f t="shared" si="157"/>
        <v>3.3559680785099606</v>
      </c>
      <c r="CO69" s="17">
        <f t="shared" si="157"/>
        <v>2.828498208928655</v>
      </c>
      <c r="CP69" s="17">
        <f t="shared" si="157"/>
        <v>3.9751506084219352</v>
      </c>
      <c r="CR69" s="67">
        <f t="shared" si="126"/>
        <v>-50.367762451535881</v>
      </c>
      <c r="CS69" s="68">
        <f t="shared" si="127"/>
        <v>19.257798779288787</v>
      </c>
      <c r="CT69" s="68">
        <f t="shared" si="128"/>
        <v>-31.109963672247087</v>
      </c>
    </row>
    <row r="70" spans="1:98" x14ac:dyDescent="0.2">
      <c r="A70" t="str">
        <f t="shared" si="95"/>
        <v>92 Elementary administration and service occupations</v>
      </c>
      <c r="B70" s="17">
        <f t="shared" si="149"/>
        <v>0.42681764303060582</v>
      </c>
      <c r="C70" s="17">
        <f t="shared" si="149"/>
        <v>0.42877676547155852</v>
      </c>
      <c r="D70" s="17">
        <f t="shared" si="149"/>
        <v>0.45838420474357494</v>
      </c>
      <c r="E70" s="17">
        <f t="shared" si="149"/>
        <v>0.52969805315385043</v>
      </c>
      <c r="F70" s="17">
        <f t="shared" si="149"/>
        <v>0.62202837407055855</v>
      </c>
      <c r="H70" s="67">
        <f t="shared" si="129"/>
        <v>178.12069851142053</v>
      </c>
      <c r="I70" s="68">
        <f t="shared" si="130"/>
        <v>110.7085796119069</v>
      </c>
      <c r="J70" s="68">
        <f t="shared" si="131"/>
        <v>288.82927812332741</v>
      </c>
      <c r="L70" t="str">
        <f t="shared" ref="L70" si="158">A70</f>
        <v>92 Elementary administration and service occupations</v>
      </c>
      <c r="M70" s="17">
        <f t="shared" si="150"/>
        <v>2.0204038638000599</v>
      </c>
      <c r="N70" s="17">
        <f t="shared" si="150"/>
        <v>2.2807611023318781</v>
      </c>
      <c r="O70" s="17">
        <f t="shared" si="150"/>
        <v>2.3461425122678388</v>
      </c>
      <c r="P70" s="17">
        <f t="shared" si="150"/>
        <v>2.9005650659880375</v>
      </c>
      <c r="Q70" s="17">
        <f t="shared" si="150"/>
        <v>4.2044393159543594</v>
      </c>
      <c r="S70" s="67">
        <f t="shared" si="98"/>
        <v>266.89946206643083</v>
      </c>
      <c r="T70" s="68">
        <f t="shared" si="99"/>
        <v>135.26008616763303</v>
      </c>
      <c r="U70" s="68">
        <f t="shared" si="100"/>
        <v>402.15954823406389</v>
      </c>
      <c r="W70" t="str">
        <f t="shared" ref="W70" si="159">A70</f>
        <v>92 Elementary administration and service occupations</v>
      </c>
      <c r="X70" s="17">
        <f t="shared" si="151"/>
        <v>3.4474263201367199</v>
      </c>
      <c r="Y70" s="17">
        <f t="shared" si="151"/>
        <v>3.9849299387407657</v>
      </c>
      <c r="Z70" s="17">
        <f t="shared" si="151"/>
        <v>4.1176580378944116</v>
      </c>
      <c r="AA70" s="17">
        <f t="shared" si="151"/>
        <v>4.7379446058586048</v>
      </c>
      <c r="AB70" s="17">
        <f t="shared" si="151"/>
        <v>6.2848558834845374</v>
      </c>
      <c r="AD70" s="67">
        <f t="shared" si="102"/>
        <v>38.18723874850869</v>
      </c>
      <c r="AE70" s="68">
        <f t="shared" si="103"/>
        <v>81.140593751705552</v>
      </c>
      <c r="AF70" s="68">
        <f t="shared" si="104"/>
        <v>119.32783250021424</v>
      </c>
      <c r="AH70" t="str">
        <f t="shared" ref="AH70" si="160">L70</f>
        <v>92 Elementary administration and service occupations</v>
      </c>
      <c r="AI70" s="17">
        <f t="shared" si="152"/>
        <v>6.1581133178444931</v>
      </c>
      <c r="AJ70" s="17">
        <f t="shared" si="152"/>
        <v>7.5759078504085364</v>
      </c>
      <c r="AK70" s="17">
        <f t="shared" si="152"/>
        <v>7.9365943128281478</v>
      </c>
      <c r="AL70" s="17">
        <f t="shared" si="152"/>
        <v>9.1275382520841983</v>
      </c>
      <c r="AM70" s="17">
        <f t="shared" si="152"/>
        <v>11.447894140168605</v>
      </c>
      <c r="AO70" s="67">
        <f t="shared" si="106"/>
        <v>33.81325717791286</v>
      </c>
      <c r="AP70" s="68">
        <f t="shared" si="107"/>
        <v>76.138780466770328</v>
      </c>
      <c r="AQ70" s="68">
        <f t="shared" si="108"/>
        <v>109.9520376446832</v>
      </c>
      <c r="AS70" t="str">
        <f t="shared" ref="AS70" si="161">W70</f>
        <v>92 Elementary administration and service occupations</v>
      </c>
      <c r="AT70" s="17">
        <f t="shared" si="153"/>
        <v>5.6318623980857696</v>
      </c>
      <c r="AU70" s="17">
        <f t="shared" si="153"/>
        <v>6.1318471356012001</v>
      </c>
      <c r="AV70" s="17">
        <f t="shared" si="153"/>
        <v>6.7174933986637555</v>
      </c>
      <c r="AW70" s="17">
        <f t="shared" si="153"/>
        <v>7.4040687168906123</v>
      </c>
      <c r="AX70" s="17">
        <f t="shared" si="153"/>
        <v>9.2609873179376496</v>
      </c>
      <c r="AZ70" s="67">
        <f t="shared" si="110"/>
        <v>35.235119849285951</v>
      </c>
      <c r="BA70" s="68">
        <f t="shared" si="111"/>
        <v>73.420678308647808</v>
      </c>
      <c r="BB70" s="68">
        <f t="shared" si="112"/>
        <v>108.65579815793376</v>
      </c>
      <c r="BD70" t="str">
        <f t="shared" ref="BD70" si="162">AH70</f>
        <v>92 Elementary administration and service occupations</v>
      </c>
      <c r="BE70" s="17">
        <f t="shared" si="154"/>
        <v>9.78810056807664</v>
      </c>
      <c r="BF70" s="17">
        <f t="shared" si="154"/>
        <v>10.209585634085105</v>
      </c>
      <c r="BG70" s="17">
        <f t="shared" si="154"/>
        <v>9.6526046859388739</v>
      </c>
      <c r="BH70" s="17">
        <f t="shared" si="154"/>
        <v>9.9979391861068443</v>
      </c>
      <c r="BI70" s="17">
        <f t="shared" si="154"/>
        <v>11.313550463963965</v>
      </c>
      <c r="BK70" s="67">
        <f t="shared" si="114"/>
        <v>-18.543696122563937</v>
      </c>
      <c r="BL70" s="68">
        <f t="shared" si="115"/>
        <v>44.110534379214315</v>
      </c>
      <c r="BM70" s="68">
        <f t="shared" si="116"/>
        <v>25.566838256650382</v>
      </c>
      <c r="BO70" t="str">
        <f t="shared" ref="BO70" si="163">AS70</f>
        <v>92 Elementary administration and service occupations</v>
      </c>
      <c r="BP70" s="17">
        <f t="shared" si="155"/>
        <v>15.294979323780295</v>
      </c>
      <c r="BQ70" s="17">
        <f t="shared" si="155"/>
        <v>16.402104387066139</v>
      </c>
      <c r="BR70" s="17">
        <f t="shared" si="155"/>
        <v>16.395846801080442</v>
      </c>
      <c r="BS70" s="17">
        <f t="shared" si="155"/>
        <v>17.918787809608627</v>
      </c>
      <c r="BT70" s="17">
        <f t="shared" si="155"/>
        <v>19.503955942302397</v>
      </c>
      <c r="BV70" s="67">
        <f t="shared" si="118"/>
        <v>-22.399139582319673</v>
      </c>
      <c r="BW70" s="68">
        <f t="shared" si="119"/>
        <v>40.790121851031131</v>
      </c>
      <c r="BX70" s="68">
        <f t="shared" si="120"/>
        <v>18.390982268711458</v>
      </c>
      <c r="BZ70" t="str">
        <f t="shared" ref="BZ70" si="164">BD70</f>
        <v>92 Elementary administration and service occupations</v>
      </c>
      <c r="CA70" s="17">
        <f t="shared" si="156"/>
        <v>20.268675064719037</v>
      </c>
      <c r="CB70" s="17">
        <f t="shared" si="156"/>
        <v>21.400826513764397</v>
      </c>
      <c r="CC70" s="17">
        <f t="shared" si="156"/>
        <v>21.708438092840641</v>
      </c>
      <c r="CD70" s="17">
        <f t="shared" si="156"/>
        <v>23.153500911323093</v>
      </c>
      <c r="CE70" s="17">
        <f t="shared" si="156"/>
        <v>22.669032223545422</v>
      </c>
      <c r="CG70" s="67">
        <f t="shared" si="122"/>
        <v>-43.105708934821457</v>
      </c>
      <c r="CH70" s="68">
        <f t="shared" si="123"/>
        <v>30.165555417420688</v>
      </c>
      <c r="CI70" s="68">
        <f t="shared" si="124"/>
        <v>-12.940153517400772</v>
      </c>
      <c r="CK70" t="str">
        <f t="shared" ref="CK70" si="165">BO70</f>
        <v>92 Elementary administration and service occupations</v>
      </c>
      <c r="CL70" s="17">
        <f t="shared" si="157"/>
        <v>28.963095880956836</v>
      </c>
      <c r="CM70" s="17">
        <f t="shared" si="157"/>
        <v>26.526113333026547</v>
      </c>
      <c r="CN70" s="17">
        <f t="shared" si="157"/>
        <v>25.595889255898758</v>
      </c>
      <c r="CO70" s="17">
        <f t="shared" si="157"/>
        <v>21.833272447430225</v>
      </c>
      <c r="CP70" s="17">
        <f t="shared" si="157"/>
        <v>16.353418782454629</v>
      </c>
      <c r="CR70" s="67">
        <f t="shared" si="126"/>
        <v>-73.228887179612798</v>
      </c>
      <c r="CS70" s="68">
        <f t="shared" si="127"/>
        <v>14.925799755188789</v>
      </c>
      <c r="CT70" s="68">
        <f t="shared" si="128"/>
        <v>-58.303087424424014</v>
      </c>
    </row>
    <row r="71" spans="1:98" x14ac:dyDescent="0.2">
      <c r="B71" s="17"/>
      <c r="C71" s="17"/>
      <c r="D71" s="17"/>
      <c r="E71" s="17"/>
      <c r="F71" s="17"/>
      <c r="H71" s="67"/>
      <c r="I71" s="68"/>
      <c r="J71" s="68"/>
      <c r="M71" s="17"/>
      <c r="N71" s="17"/>
      <c r="O71" s="17"/>
      <c r="P71" s="17"/>
      <c r="Q71" s="17"/>
      <c r="S71" s="67"/>
      <c r="T71" s="68"/>
      <c r="U71" s="68"/>
      <c r="X71" s="17"/>
      <c r="Y71" s="17"/>
      <c r="Z71" s="17"/>
      <c r="AA71" s="17"/>
      <c r="AB71" s="17"/>
      <c r="AD71" s="67"/>
      <c r="AE71" s="68"/>
      <c r="AF71" s="68"/>
      <c r="AI71" s="17"/>
      <c r="AJ71" s="17"/>
      <c r="AK71" s="17"/>
      <c r="AL71" s="17"/>
      <c r="AM71" s="17"/>
      <c r="AO71" s="67"/>
      <c r="AP71" s="68"/>
      <c r="AQ71" s="68"/>
      <c r="AT71" s="17"/>
      <c r="AU71" s="17"/>
      <c r="AV71" s="17"/>
      <c r="AW71" s="17"/>
      <c r="AX71" s="17"/>
      <c r="AZ71" s="67"/>
      <c r="BA71" s="68"/>
      <c r="BB71" s="68"/>
      <c r="BE71" s="17"/>
      <c r="BF71" s="17"/>
      <c r="BG71" s="17"/>
      <c r="BH71" s="17"/>
      <c r="BI71" s="17"/>
      <c r="BK71" s="67"/>
      <c r="BL71" s="68"/>
      <c r="BM71" s="68"/>
      <c r="BP71" s="17"/>
      <c r="BQ71" s="17"/>
      <c r="BR71" s="17"/>
      <c r="BS71" s="17"/>
      <c r="BT71" s="17"/>
      <c r="BV71" s="67"/>
      <c r="BW71" s="68"/>
      <c r="BX71" s="68"/>
      <c r="CA71" s="17"/>
      <c r="CB71" s="17"/>
      <c r="CC71" s="17"/>
      <c r="CD71" s="17"/>
      <c r="CE71" s="17"/>
      <c r="CG71" s="67"/>
      <c r="CH71" s="68"/>
      <c r="CI71" s="68"/>
      <c r="CL71" s="17"/>
      <c r="CM71" s="17"/>
      <c r="CN71" s="17"/>
      <c r="CO71" s="17"/>
      <c r="CP71" s="17"/>
      <c r="CR71" s="67"/>
      <c r="CS71" s="68"/>
      <c r="CT71" s="68"/>
    </row>
    <row r="72" spans="1:98" x14ac:dyDescent="0.2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104.95228276423279</v>
      </c>
      <c r="I72" s="66">
        <f>IF(D35&gt;0,I35/D35*100,0)</f>
        <v>75.564596701036621</v>
      </c>
      <c r="J72" s="66">
        <f>IF(D35&gt;0,(J35/D35)*100,0)</f>
        <v>180.5168794652694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166">IF(O35&gt;0,(S35/O35)*100,0)</f>
        <v>104.73560467761524</v>
      </c>
      <c r="T72" s="66">
        <f t="shared" ref="T72" si="167">IF(O35&gt;0,T35/O35*100,0)</f>
        <v>77.877606361269969</v>
      </c>
      <c r="U72" s="66">
        <f t="shared" ref="U72" si="168">IF(O35&gt;0,(U35/O35)*100,0)</f>
        <v>182.6132110388852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169">IF(Z35&gt;0,(AD35/Z35)*100,0)</f>
        <v>-9.4636687115641926</v>
      </c>
      <c r="AE72" s="66">
        <f t="shared" ref="AE72" si="170">IF(Z35&gt;0,AE35/Z35*100,0)</f>
        <v>51.972223097752703</v>
      </c>
      <c r="AF72" s="66">
        <f t="shared" ref="AF72" si="171">IF(Z35&gt;0,(AF35/Z35)*100,0)</f>
        <v>42.508554386188514</v>
      </c>
      <c r="AH72" s="23" t="str">
        <f>AH35</f>
        <v>All occupations</v>
      </c>
      <c r="AI72" s="25">
        <f>AI35/AI$35*100</f>
        <v>100</v>
      </c>
      <c r="AJ72" s="25">
        <f>AJ35/AJ$35*100</f>
        <v>100</v>
      </c>
      <c r="AK72" s="25">
        <f>AK35/AK$35*100</f>
        <v>100</v>
      </c>
      <c r="AL72" s="25">
        <f>AL35/AL$35*100</f>
        <v>100</v>
      </c>
      <c r="AM72" s="25">
        <f>AM35/AM$35*100</f>
        <v>100</v>
      </c>
      <c r="AO72" s="69">
        <f t="shared" ref="AO72" si="172">IF(AK35&gt;0,(AO35/AK35)*100,0)</f>
        <v>-7.2299653634295415</v>
      </c>
      <c r="AP72" s="66">
        <f t="shared" ref="AP72" si="173">IF(AK35&gt;0,AP35/AK35*100,0)</f>
        <v>51.111494888966924</v>
      </c>
      <c r="AQ72" s="66">
        <f t="shared" ref="AQ72" si="174">IF(AK35&gt;0,(AQ35/AK35)*100,0)</f>
        <v>43.881529525537381</v>
      </c>
      <c r="AS72" s="23" t="str">
        <f>AS35</f>
        <v>All occupations</v>
      </c>
      <c r="AT72" s="25">
        <f>AT35/AT$35*100</f>
        <v>100</v>
      </c>
      <c r="AU72" s="25">
        <f>AU35/AU$35*100</f>
        <v>100</v>
      </c>
      <c r="AV72" s="25">
        <f>AV35/AV$35*100</f>
        <v>100</v>
      </c>
      <c r="AW72" s="25">
        <f>AW35/AW$35*100</f>
        <v>100</v>
      </c>
      <c r="AX72" s="25">
        <f>AX35/AX$35*100</f>
        <v>100</v>
      </c>
      <c r="AZ72" s="69">
        <f t="shared" ref="AZ72" si="175">IF(AV35&gt;0,(AZ35/AV35)*100,0)</f>
        <v>-1.906676505698631</v>
      </c>
      <c r="BA72" s="66">
        <f t="shared" ref="BA72" si="176">IF(AV35&gt;0,BA35/AV35*100,0)</f>
        <v>53.358295014025103</v>
      </c>
      <c r="BB72" s="66">
        <f t="shared" ref="BB72" si="177">IF(AV35&gt;0,(BB35/AV35)*100,0)</f>
        <v>51.451618508326483</v>
      </c>
      <c r="BD72" s="23" t="str">
        <f>BD35</f>
        <v>All occupations</v>
      </c>
      <c r="BE72" s="25">
        <f>BE35/BE$35*100</f>
        <v>100</v>
      </c>
      <c r="BF72" s="25">
        <f>BF35/BF$35*100</f>
        <v>100</v>
      </c>
      <c r="BG72" s="25">
        <f>BG35/BG$35*100</f>
        <v>100</v>
      </c>
      <c r="BH72" s="25">
        <f>BH35/BH$35*100</f>
        <v>100</v>
      </c>
      <c r="BI72" s="25">
        <f>BI35/BI$35*100</f>
        <v>100</v>
      </c>
      <c r="BK72" s="69">
        <f t="shared" ref="BK72" si="178">IF(BG35&gt;0,(BK35/BG35)*100,0)</f>
        <v>-30.502320822183894</v>
      </c>
      <c r="BL72" s="66">
        <f t="shared" ref="BL72" si="179">IF(BG35&gt;0,BL35/BG35*100,0)</f>
        <v>35.79606205202829</v>
      </c>
      <c r="BM72" s="66">
        <f t="shared" ref="BM72" si="180">IF(BG35&gt;0,(BM35/BG35)*100,0)</f>
        <v>5.2937412298443993</v>
      </c>
      <c r="BO72" s="23" t="str">
        <f>BO35</f>
        <v>All occupations</v>
      </c>
      <c r="BP72" s="25">
        <f>BP35/BP$35*100</f>
        <v>100</v>
      </c>
      <c r="BQ72" s="25">
        <f>BQ35/BQ$35*100</f>
        <v>100</v>
      </c>
      <c r="BR72" s="25">
        <f>BR35/BR$35*100</f>
        <v>100</v>
      </c>
      <c r="BS72" s="25">
        <f>BS35/BS$35*100</f>
        <v>100</v>
      </c>
      <c r="BT72" s="25">
        <f>BT35/BT$35*100</f>
        <v>100</v>
      </c>
      <c r="BV72" s="69">
        <f t="shared" ref="BV72" si="181">IF(BR35&gt;0,(BV35/BR35)*100,0)</f>
        <v>-34.765448465727118</v>
      </c>
      <c r="BW72" s="66">
        <f t="shared" ref="BW72" si="182">IF(BR35&gt;0,BW35/BR35*100,0)</f>
        <v>33.85483351348271</v>
      </c>
      <c r="BX72" s="66">
        <f t="shared" ref="BX72" si="183">IF(BR35&gt;0,(BX35/BR35)*100,0)</f>
        <v>-0.91061495224440714</v>
      </c>
      <c r="BZ72" s="23" t="str">
        <f>BZ35</f>
        <v>All occupations</v>
      </c>
      <c r="CA72" s="25">
        <f>CA35/CA$35*100</f>
        <v>100</v>
      </c>
      <c r="CB72" s="25">
        <f>CB35/CB$35*100</f>
        <v>100</v>
      </c>
      <c r="CC72" s="25">
        <f>CC35/CC$35*100</f>
        <v>100</v>
      </c>
      <c r="CD72" s="25">
        <f>CD35/CD$35*100</f>
        <v>100</v>
      </c>
      <c r="CE72" s="25">
        <f>CE35/CE$35*100</f>
        <v>100</v>
      </c>
      <c r="CG72" s="69">
        <f t="shared" ref="CG72" si="184">IF(CC35&gt;0,(CG35/CC35)*100,0)</f>
        <v>-45.51658918453299</v>
      </c>
      <c r="CH72" s="66">
        <f t="shared" ref="CH72" si="185">IF(CC35&gt;0,CH35/CC35*100,0)</f>
        <v>27.295322320912501</v>
      </c>
      <c r="CI72" s="66">
        <f t="shared" ref="CI72" si="186">IF(CC35&gt;0,(CI35/CC35)*100,0)</f>
        <v>-18.221266863620485</v>
      </c>
      <c r="CK72" s="23" t="str">
        <f>CK35</f>
        <v>All occupations</v>
      </c>
      <c r="CL72" s="25">
        <f>CL35/CL$35*100</f>
        <v>100</v>
      </c>
      <c r="CM72" s="25">
        <f>CM35/CM$35*100</f>
        <v>100</v>
      </c>
      <c r="CN72" s="25">
        <f>CN35/CN$35*100</f>
        <v>100</v>
      </c>
      <c r="CO72" s="25">
        <f>CO35/CO$35*100</f>
        <v>100</v>
      </c>
      <c r="CP72" s="25">
        <f>CP35/CP$35*100</f>
        <v>100</v>
      </c>
      <c r="CR72" s="69">
        <f t="shared" ref="CR72" si="187">IF(CN35&gt;0,(CR35/CN35)*100,0)</f>
        <v>-58.09864297348166</v>
      </c>
      <c r="CS72" s="66">
        <f t="shared" ref="CS72" si="188">IF(CN35&gt;0,CS35/CN35*100,0)</f>
        <v>20.785493139475609</v>
      </c>
      <c r="CT72" s="66">
        <f t="shared" ref="CT72" si="189">IF(CN35&gt;0,(CT35/CN35)*100,0)</f>
        <v>-37.313149834006055</v>
      </c>
    </row>
    <row r="75" spans="1:98" ht="51" customHeight="1" x14ac:dyDescent="0.2">
      <c r="A75" s="378" t="str">
        <f>CONCATENATE(A$1," (Continued)")</f>
        <v>Basic Table 2  Employment Change by Occupation and Replacement Demand, RQF8 Doctorate, 2015-2035, London (Continued)</v>
      </c>
      <c r="B75" s="378"/>
      <c r="C75" s="378"/>
      <c r="D75" s="378"/>
      <c r="E75" s="378"/>
      <c r="F75" s="378"/>
      <c r="G75" s="378"/>
      <c r="H75" s="378"/>
      <c r="I75" s="378"/>
      <c r="J75" s="378"/>
      <c r="L75" s="378" t="str">
        <f>CONCATENATE(L$1," (Continued)")</f>
        <v>Basic Table 2.1  Employment Change by Occupation and Replacement Demand, RQF7 Other higher degree, 2015-2035, London (Continued)</v>
      </c>
      <c r="M75" s="378"/>
      <c r="N75" s="378"/>
      <c r="O75" s="378"/>
      <c r="P75" s="378"/>
      <c r="Q75" s="378"/>
      <c r="R75" s="378"/>
      <c r="S75" s="378"/>
      <c r="T75" s="378"/>
      <c r="U75" s="378"/>
      <c r="W75" s="378" t="str">
        <f>CONCATENATE(W$1," (Continued)")</f>
        <v>Basic Table 2.2  Employment Change by Occupation and Replacement Demand, RQF6 First degree, 2015-2035, London (Continued)</v>
      </c>
      <c r="X75" s="378"/>
      <c r="Y75" s="378"/>
      <c r="Z75" s="378"/>
      <c r="AA75" s="378"/>
      <c r="AB75" s="378"/>
      <c r="AC75" s="378"/>
      <c r="AD75" s="378"/>
      <c r="AE75" s="378"/>
      <c r="AF75" s="378"/>
      <c r="AH75" s="378" t="str">
        <f>CONCATENATE(AH$1," (Continued)")</f>
        <v>Basic Table 2.3  Employment Change by Occupation and Replacement Demand, RQF5 Foundation degree;Nursing;Teaching, 2015-2035, London (Continued)</v>
      </c>
      <c r="AI75" s="378"/>
      <c r="AJ75" s="378"/>
      <c r="AK75" s="378"/>
      <c r="AL75" s="378"/>
      <c r="AM75" s="378"/>
      <c r="AN75" s="378"/>
      <c r="AO75" s="378"/>
      <c r="AP75" s="378"/>
      <c r="AQ75" s="378"/>
      <c r="AS75" s="378" t="str">
        <f>CONCATENATE(AS$1," (Continued)")</f>
        <v>Basic Table 2.4  Employment Change by Occupation and Replacement Demand, RQF4 HE below degree level, 2015-2035, London (Continued)</v>
      </c>
      <c r="AT75" s="378"/>
      <c r="AU75" s="378"/>
      <c r="AV75" s="378"/>
      <c r="AW75" s="378"/>
      <c r="AX75" s="378"/>
      <c r="AY75" s="378"/>
      <c r="AZ75" s="378"/>
      <c r="BA75" s="378"/>
      <c r="BB75" s="378"/>
      <c r="BD75" s="378" t="str">
        <f>CONCATENATE(BD$1," (Continued)")</f>
        <v>Basic Table 2.5  Employment Change by Occupation and Replacement Demand, RQF3 A level &amp; equivalent, 2015-2035, London (Continued)</v>
      </c>
      <c r="BE75" s="378"/>
      <c r="BF75" s="378"/>
      <c r="BG75" s="378"/>
      <c r="BH75" s="378"/>
      <c r="BI75" s="378"/>
      <c r="BJ75" s="378"/>
      <c r="BK75" s="378"/>
      <c r="BL75" s="378"/>
      <c r="BM75" s="378"/>
      <c r="BO75" s="378" t="str">
        <f>CONCATENATE(BO$1," (Continued)")</f>
        <v>Basic Table 2.6  Employment Change by Occupation and Replacement Demand, RQF2 GCSE(A-C) &amp; equivalent, 2015-2035, London (Continued)</v>
      </c>
      <c r="BP75" s="378"/>
      <c r="BQ75" s="378"/>
      <c r="BR75" s="378"/>
      <c r="BS75" s="378"/>
      <c r="BT75" s="378"/>
      <c r="BU75" s="378"/>
      <c r="BV75" s="378"/>
      <c r="BW75" s="378"/>
      <c r="BX75" s="378"/>
      <c r="BZ75" s="378" t="str">
        <f>CONCATENATE(BZ$1," (Continued)")</f>
        <v>Basic Table 2.7  Employment Change by Occupation and Replacement Demand, RQF1 GCSE(below grade C) &amp; equivalent, 2015-2035, London (Continued)</v>
      </c>
      <c r="CA75" s="378"/>
      <c r="CB75" s="378"/>
      <c r="CC75" s="378"/>
      <c r="CD75" s="378"/>
      <c r="CE75" s="378"/>
      <c r="CF75" s="378"/>
      <c r="CG75" s="378"/>
      <c r="CH75" s="378"/>
      <c r="CI75" s="378"/>
      <c r="CK75" s="378" t="str">
        <f>CONCATENATE(CK$1," (Continued)")</f>
        <v>Basic Table 2.8  Employment Change by Occupation and Replacement Demand, No Qualification, 2015-2035, London (Continued)</v>
      </c>
      <c r="CL75" s="378"/>
      <c r="CM75" s="378"/>
      <c r="CN75" s="378"/>
      <c r="CO75" s="378"/>
      <c r="CP75" s="378"/>
      <c r="CQ75" s="378"/>
      <c r="CR75" s="378"/>
      <c r="CS75" s="378"/>
      <c r="CT75" s="378"/>
    </row>
    <row r="77" spans="1:98" x14ac:dyDescent="0.2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  <c r="AM77" s="15" t="s">
        <v>36</v>
      </c>
      <c r="AQ77" s="15" t="s">
        <v>36</v>
      </c>
      <c r="AX77" s="15" t="s">
        <v>36</v>
      </c>
      <c r="BB77" s="15" t="s">
        <v>36</v>
      </c>
      <c r="BI77" s="15" t="s">
        <v>36</v>
      </c>
      <c r="BM77" s="15" t="s">
        <v>36</v>
      </c>
      <c r="BT77" s="15" t="s">
        <v>36</v>
      </c>
      <c r="BX77" s="15" t="s">
        <v>36</v>
      </c>
      <c r="CE77" s="15" t="s">
        <v>36</v>
      </c>
      <c r="CI77" s="15" t="s">
        <v>36</v>
      </c>
      <c r="CP77" s="15" t="s">
        <v>36</v>
      </c>
      <c r="CT77" s="15" t="s">
        <v>36</v>
      </c>
    </row>
    <row r="78" spans="1:98" x14ac:dyDescent="0.2">
      <c r="A78" s="35"/>
      <c r="B78" s="35"/>
      <c r="C78" s="35"/>
      <c r="D78" s="35"/>
      <c r="E78" s="35"/>
      <c r="F78" s="35"/>
      <c r="H78" s="27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27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27" t="str">
        <f>$H$4</f>
        <v>2020-2035</v>
      </c>
      <c r="AE78" s="35"/>
      <c r="AF78" s="35"/>
      <c r="AH78" s="35"/>
      <c r="AI78" s="35"/>
      <c r="AJ78" s="35"/>
      <c r="AK78" s="35"/>
      <c r="AL78" s="35"/>
      <c r="AM78" s="35"/>
      <c r="AO78" s="27" t="str">
        <f>$H$4</f>
        <v>2020-2035</v>
      </c>
      <c r="AP78" s="35"/>
      <c r="AQ78" s="35"/>
      <c r="AS78" s="35"/>
      <c r="AT78" s="35"/>
      <c r="AU78" s="35"/>
      <c r="AV78" s="35"/>
      <c r="AW78" s="35"/>
      <c r="AX78" s="35"/>
      <c r="AZ78" s="27" t="str">
        <f>$H$4</f>
        <v>2020-2035</v>
      </c>
      <c r="BA78" s="35"/>
      <c r="BB78" s="35"/>
      <c r="BD78" s="35"/>
      <c r="BE78" s="35"/>
      <c r="BF78" s="35"/>
      <c r="BG78" s="35"/>
      <c r="BH78" s="35"/>
      <c r="BI78" s="35"/>
      <c r="BK78" s="27" t="str">
        <f>$H$4</f>
        <v>2020-2035</v>
      </c>
      <c r="BL78" s="35"/>
      <c r="BM78" s="35"/>
      <c r="BO78" s="35"/>
      <c r="BP78" s="35"/>
      <c r="BQ78" s="35"/>
      <c r="BR78" s="35"/>
      <c r="BS78" s="35"/>
      <c r="BT78" s="35"/>
      <c r="BV78" s="27" t="str">
        <f>$H$4</f>
        <v>2020-2035</v>
      </c>
      <c r="BW78" s="35"/>
      <c r="BX78" s="35"/>
      <c r="BZ78" s="35"/>
      <c r="CA78" s="35"/>
      <c r="CB78" s="35"/>
      <c r="CC78" s="35"/>
      <c r="CD78" s="35"/>
      <c r="CE78" s="35"/>
      <c r="CG78" s="27" t="str">
        <f>$H$4</f>
        <v>2020-2035</v>
      </c>
      <c r="CH78" s="35"/>
      <c r="CI78" s="35"/>
      <c r="CK78" s="35"/>
      <c r="CL78" s="35"/>
      <c r="CM78" s="35"/>
      <c r="CN78" s="35"/>
      <c r="CO78" s="35"/>
      <c r="CP78" s="35"/>
      <c r="CR78" s="27" t="str">
        <f>$H$4</f>
        <v>2020-2035</v>
      </c>
      <c r="CS78" s="35"/>
      <c r="CT78" s="35"/>
    </row>
    <row r="79" spans="1:98" x14ac:dyDescent="0.2">
      <c r="H79" s="15" t="str">
        <f t="shared" ref="H79:J80" si="190">H42</f>
        <v>Net</v>
      </c>
      <c r="I79" s="15" t="str">
        <f t="shared" si="190"/>
        <v>Replacement</v>
      </c>
      <c r="J79" s="15" t="str">
        <f t="shared" si="190"/>
        <v>Total</v>
      </c>
      <c r="S79" s="15" t="str">
        <f t="shared" ref="S79:U80" si="191">S42</f>
        <v>Net</v>
      </c>
      <c r="T79" s="15" t="str">
        <f t="shared" si="191"/>
        <v>Replacement</v>
      </c>
      <c r="U79" s="15" t="str">
        <f t="shared" si="191"/>
        <v>Total</v>
      </c>
      <c r="AD79" s="15" t="str">
        <f t="shared" ref="AD79:AF80" si="192">AD42</f>
        <v>Net</v>
      </c>
      <c r="AE79" s="15" t="str">
        <f t="shared" si="192"/>
        <v>Replacement</v>
      </c>
      <c r="AF79" s="15" t="str">
        <f t="shared" si="192"/>
        <v>Total</v>
      </c>
      <c r="AO79" s="15" t="str">
        <f t="shared" ref="AO79:AQ80" si="193">AO42</f>
        <v>Net</v>
      </c>
      <c r="AP79" s="15" t="str">
        <f t="shared" si="193"/>
        <v>Replacement</v>
      </c>
      <c r="AQ79" s="15" t="str">
        <f t="shared" si="193"/>
        <v>Total</v>
      </c>
      <c r="AZ79" s="15" t="str">
        <f t="shared" ref="AZ79:BB80" si="194">AZ42</f>
        <v>Net</v>
      </c>
      <c r="BA79" s="15" t="str">
        <f t="shared" si="194"/>
        <v>Replacement</v>
      </c>
      <c r="BB79" s="15" t="str">
        <f t="shared" si="194"/>
        <v>Total</v>
      </c>
      <c r="BK79" s="15" t="str">
        <f t="shared" ref="BK79:BM80" si="195">BK42</f>
        <v>Net</v>
      </c>
      <c r="BL79" s="15" t="str">
        <f t="shared" si="195"/>
        <v>Replacement</v>
      </c>
      <c r="BM79" s="15" t="str">
        <f t="shared" si="195"/>
        <v>Total</v>
      </c>
      <c r="BV79" s="15" t="str">
        <f t="shared" ref="BV79:BX80" si="196">BV42</f>
        <v>Net</v>
      </c>
      <c r="BW79" s="15" t="str">
        <f t="shared" si="196"/>
        <v>Replacement</v>
      </c>
      <c r="BX79" s="15" t="str">
        <f t="shared" si="196"/>
        <v>Total</v>
      </c>
      <c r="CG79" s="15" t="str">
        <f t="shared" ref="CG79:CI80" si="197">CG42</f>
        <v>Net</v>
      </c>
      <c r="CH79" s="15" t="str">
        <f t="shared" si="197"/>
        <v>Replacement</v>
      </c>
      <c r="CI79" s="15" t="str">
        <f t="shared" si="197"/>
        <v>Total</v>
      </c>
      <c r="CR79" s="15" t="str">
        <f t="shared" ref="CR79:CT80" si="198">CR42</f>
        <v>Net</v>
      </c>
      <c r="CS79" s="15" t="str">
        <f t="shared" si="198"/>
        <v>Replacement</v>
      </c>
      <c r="CT79" s="15" t="str">
        <f t="shared" si="198"/>
        <v>Total</v>
      </c>
    </row>
    <row r="80" spans="1:98" x14ac:dyDescent="0.2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CONCATENATE(C$6,"-",F$6)</f>
        <v>2019-2035</v>
      </c>
      <c r="H80" s="62" t="str">
        <f t="shared" si="190"/>
        <v>Change</v>
      </c>
      <c r="I80" s="62" t="str">
        <f t="shared" si="190"/>
        <v>Demand</v>
      </c>
      <c r="J80" s="62" t="str">
        <f t="shared" si="1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CONCATENATE(N$6,"-",Q$6)</f>
        <v>2019-2035</v>
      </c>
      <c r="S80" s="62" t="str">
        <f t="shared" si="191"/>
        <v>Change</v>
      </c>
      <c r="T80" s="62" t="str">
        <f t="shared" si="191"/>
        <v>Demand</v>
      </c>
      <c r="U80" s="62" t="str">
        <f t="shared" si="191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CONCATENATE(Y$6,"-",AB$6)</f>
        <v>2019-2035</v>
      </c>
      <c r="AD80" s="62" t="str">
        <f t="shared" si="192"/>
        <v>Change</v>
      </c>
      <c r="AE80" s="62" t="str">
        <f t="shared" si="192"/>
        <v>Demand</v>
      </c>
      <c r="AF80" s="62" t="str">
        <f t="shared" si="192"/>
        <v>Requirement</v>
      </c>
      <c r="AH80" s="40" t="s">
        <v>14</v>
      </c>
      <c r="AI80" s="63" t="str">
        <f>CONCATENATE(AI$6,"-",AJ$6)</f>
        <v>2015-2019</v>
      </c>
      <c r="AJ80" s="63" t="str">
        <f>CONCATENATE(AJ$6,"-",AK$6)</f>
        <v>2019-2020</v>
      </c>
      <c r="AK80" s="63" t="str">
        <f>CONCATENATE(AK$6,"-",AL$6)</f>
        <v>2020-2025</v>
      </c>
      <c r="AL80" s="63" t="str">
        <f>CONCATENATE(AL$6,"-",AM$6)</f>
        <v>2025-2035</v>
      </c>
      <c r="AM80" s="63" t="str">
        <f>CONCATENATE(AJ$6,"-",AM$6)</f>
        <v>2019-2035</v>
      </c>
      <c r="AO80" s="62" t="str">
        <f t="shared" si="193"/>
        <v>Change</v>
      </c>
      <c r="AP80" s="62" t="str">
        <f t="shared" si="193"/>
        <v>Demand</v>
      </c>
      <c r="AQ80" s="62" t="str">
        <f t="shared" si="193"/>
        <v>Requirement</v>
      </c>
      <c r="AS80" s="40" t="s">
        <v>14</v>
      </c>
      <c r="AT80" s="63" t="str">
        <f>CONCATENATE(AT$6,"-",AU$6)</f>
        <v>2015-2019</v>
      </c>
      <c r="AU80" s="63" t="str">
        <f>CONCATENATE(AU$6,"-",AV$6)</f>
        <v>2019-2020</v>
      </c>
      <c r="AV80" s="63" t="str">
        <f>CONCATENATE(AV$6,"-",AW$6)</f>
        <v>2020-2025</v>
      </c>
      <c r="AW80" s="63" t="str">
        <f>CONCATENATE(AW$6,"-",AX$6)</f>
        <v>2025-2035</v>
      </c>
      <c r="AX80" s="63" t="str">
        <f>CONCATENATE(AU$6,"-",AX$6)</f>
        <v>2019-2035</v>
      </c>
      <c r="AZ80" s="62" t="str">
        <f t="shared" si="194"/>
        <v>Change</v>
      </c>
      <c r="BA80" s="62" t="str">
        <f t="shared" si="194"/>
        <v>Demand</v>
      </c>
      <c r="BB80" s="62" t="str">
        <f t="shared" si="194"/>
        <v>Requirement</v>
      </c>
      <c r="BD80" s="40" t="s">
        <v>14</v>
      </c>
      <c r="BE80" s="63" t="str">
        <f>CONCATENATE(BE$6,"-",BF$6)</f>
        <v>2015-2019</v>
      </c>
      <c r="BF80" s="63" t="str">
        <f>CONCATENATE(BF$6,"-",BG$6)</f>
        <v>2019-2020</v>
      </c>
      <c r="BG80" s="63" t="str">
        <f>CONCATENATE(BG$6,"-",BH$6)</f>
        <v>2020-2025</v>
      </c>
      <c r="BH80" s="63" t="str">
        <f>CONCATENATE(BH$6,"-",BI$6)</f>
        <v>2025-2035</v>
      </c>
      <c r="BI80" s="63" t="str">
        <f>CONCATENATE(BF$6,"-",BI$6)</f>
        <v>2019-2035</v>
      </c>
      <c r="BK80" s="62" t="str">
        <f t="shared" si="195"/>
        <v>Change</v>
      </c>
      <c r="BL80" s="62" t="str">
        <f t="shared" si="195"/>
        <v>Demand</v>
      </c>
      <c r="BM80" s="62" t="str">
        <f t="shared" si="195"/>
        <v>Requirement</v>
      </c>
      <c r="BO80" s="40" t="s">
        <v>14</v>
      </c>
      <c r="BP80" s="63" t="str">
        <f>CONCATENATE(BP$6,"-",BQ$6)</f>
        <v>2015-2019</v>
      </c>
      <c r="BQ80" s="63" t="str">
        <f>CONCATENATE(BQ$6,"-",BR$6)</f>
        <v>2019-2020</v>
      </c>
      <c r="BR80" s="63" t="str">
        <f>CONCATENATE(BR$6,"-",BS$6)</f>
        <v>2020-2025</v>
      </c>
      <c r="BS80" s="63" t="str">
        <f>CONCATENATE(BS$6,"-",BT$6)</f>
        <v>2025-2035</v>
      </c>
      <c r="BT80" s="63" t="str">
        <f>CONCATENATE(BQ$6,"-",BT$6)</f>
        <v>2019-2035</v>
      </c>
      <c r="BV80" s="62" t="str">
        <f t="shared" si="196"/>
        <v>Change</v>
      </c>
      <c r="BW80" s="62" t="str">
        <f t="shared" si="196"/>
        <v>Demand</v>
      </c>
      <c r="BX80" s="62" t="str">
        <f t="shared" si="196"/>
        <v>Requirement</v>
      </c>
      <c r="BZ80" s="40" t="s">
        <v>14</v>
      </c>
      <c r="CA80" s="63" t="str">
        <f>CONCATENATE(CA$6,"-",CB$6)</f>
        <v>2015-2019</v>
      </c>
      <c r="CB80" s="63" t="str">
        <f>CONCATENATE(CB$6,"-",CC$6)</f>
        <v>2019-2020</v>
      </c>
      <c r="CC80" s="63" t="str">
        <f>CONCATENATE(CC$6,"-",CD$6)</f>
        <v>2020-2025</v>
      </c>
      <c r="CD80" s="63" t="str">
        <f>CONCATENATE(CD$6,"-",CE$6)</f>
        <v>2025-2035</v>
      </c>
      <c r="CE80" s="63" t="str">
        <f>CONCATENATE(CB$6,"-",CE$6)</f>
        <v>2019-2035</v>
      </c>
      <c r="CG80" s="62" t="str">
        <f t="shared" si="197"/>
        <v>Change</v>
      </c>
      <c r="CH80" s="62" t="str">
        <f t="shared" si="197"/>
        <v>Demand</v>
      </c>
      <c r="CI80" s="62" t="str">
        <f t="shared" si="197"/>
        <v>Requirement</v>
      </c>
      <c r="CK80" s="40" t="s">
        <v>14</v>
      </c>
      <c r="CL80" s="63" t="str">
        <f>CONCATENATE(CL$6,"-",CM$6)</f>
        <v>2015-2019</v>
      </c>
      <c r="CM80" s="63" t="str">
        <f>CONCATENATE(CM$6,"-",CN$6)</f>
        <v>2019-2020</v>
      </c>
      <c r="CN80" s="63" t="str">
        <f>CONCATENATE(CN$6,"-",CO$6)</f>
        <v>2020-2025</v>
      </c>
      <c r="CO80" s="63" t="str">
        <f>CONCATENATE(CO$6,"-",CP$6)</f>
        <v>2025-2035</v>
      </c>
      <c r="CP80" s="63" t="str">
        <f>CONCATENATE(CM$6,"-",CP$6)</f>
        <v>2019-2035</v>
      </c>
      <c r="CR80" s="62" t="str">
        <f t="shared" si="198"/>
        <v>Change</v>
      </c>
      <c r="CS80" s="62" t="str">
        <f t="shared" si="198"/>
        <v>Demand</v>
      </c>
      <c r="CT80" s="62" t="str">
        <f t="shared" si="198"/>
        <v>Requirement</v>
      </c>
    </row>
    <row r="82" spans="1:98" x14ac:dyDescent="0.2">
      <c r="A82" t="str">
        <f t="shared" ref="A82:A107" si="199">A8</f>
        <v>11 Corporate managers and directors</v>
      </c>
      <c r="B82" s="17">
        <f t="shared" ref="B82:E107" si="200">IF(AND(C$6-B$6 &lt;&gt; 0,B8&lt;&gt;0,C8&lt;&gt;0),(EXP(LN(C8/B8)/(C$6-B$6))-1)*100,0)</f>
        <v>9.9295483388191386</v>
      </c>
      <c r="C82" s="17">
        <f t="shared" si="200"/>
        <v>3.2632943829467909</v>
      </c>
      <c r="D82" s="17">
        <f t="shared" si="200"/>
        <v>5.8701660762981556</v>
      </c>
      <c r="E82" s="17">
        <f t="shared" si="200"/>
        <v>4.7876023066283802</v>
      </c>
      <c r="F82" s="17">
        <f t="shared" ref="F82:F107" si="201">IF(AND(F$6-C$6 &lt;&gt; 0,C8&lt;&gt;0,F8&lt;&gt;0),(EXP(LN(F8/C8)/(F$6-C$6))-1)*100,0)</f>
        <v>5.0284753864868081</v>
      </c>
      <c r="H82" s="17">
        <f t="shared" ref="H82:H107" si="202">IF($F$6-$D$6 &lt;&gt; 0,(EXP(LN(1+(H45/100))/($F$6-$D$6))-1)*100,0)</f>
        <v>5.1472213135762113</v>
      </c>
      <c r="I82" s="17">
        <f t="shared" ref="I82:I107" si="203">IF(D8&gt;0,((1+(I8/D8))^(1/($F$6-$D$6))-1)*100,0)</f>
        <v>4.1023535134535383</v>
      </c>
      <c r="J82" s="17">
        <f t="shared" ref="J82:J107" si="204">IF($F$6-$D$6 &lt;&gt; 0,(EXP(LN(1+(J45/100))/($F$6-$D$6))-1)*100,0)</f>
        <v>7.4804038517241933</v>
      </c>
      <c r="L82" t="str">
        <f>A82</f>
        <v>11 Corporate managers and directors</v>
      </c>
      <c r="M82" s="17">
        <f t="shared" ref="M82:P107" si="205">IF(AND(N$6-M$6 &lt;&gt; 0,M8&lt;&gt;0,N8&lt;&gt;0),(EXP(LN(N8/M8)/(N$6-M$6))-1)*100,0)</f>
        <v>9.5047329805691518</v>
      </c>
      <c r="N82" s="17">
        <f t="shared" si="205"/>
        <v>9.2354936722589986</v>
      </c>
      <c r="O82" s="17">
        <f t="shared" si="205"/>
        <v>4.8587609705076806</v>
      </c>
      <c r="P82" s="17">
        <f t="shared" si="205"/>
        <v>4.5992825871563392</v>
      </c>
      <c r="Q82" s="17">
        <f t="shared" ref="Q82:Q107" si="206">IF(AND(Q$6-N$6 &lt;&gt; 0,N8&lt;&gt;0,Q8&lt;&gt;0),(EXP(LN(Q8/N8)/(Q$6-N$6))-1)*100,0)</f>
        <v>4.96443023172084</v>
      </c>
      <c r="S82" s="17">
        <f t="shared" ref="S82:S107" si="207">IF($F$6-$D$6 &lt;&gt; 0,(EXP(LN(1+(S45/100))/($F$6-$D$6))-1)*100,0)</f>
        <v>4.6857039594105698</v>
      </c>
      <c r="T82" s="17">
        <f t="shared" ref="T82:T107" si="208">IF(O8&gt;0,((1+(T8/O8))^(1/($F$6-$D$6))-1)*100,0)</f>
        <v>3.9096769052024749</v>
      </c>
      <c r="U82" s="17">
        <f t="shared" ref="U82:U107" si="209">IF($F$6-$D$6 &lt;&gt; 0,(EXP(LN(1+(U45/100))/($F$6-$D$6))-1)*100,0)</f>
        <v>7.0157773286369407</v>
      </c>
      <c r="W82" t="str">
        <f>A82</f>
        <v>11 Corporate managers and directors</v>
      </c>
      <c r="X82" s="17">
        <f t="shared" ref="X82:AA107" si="210">IF(AND(Y$6-X$6 &lt;&gt; 0,X8&lt;&gt;0,Y8&lt;&gt;0),(EXP(LN(Y8/X8)/(Y$6-X$6))-1)*100,0)</f>
        <v>4.0262896511927604</v>
      </c>
      <c r="Y82" s="17">
        <f t="shared" si="210"/>
        <v>0.23477317853961566</v>
      </c>
      <c r="Z82" s="17">
        <f t="shared" si="210"/>
        <v>-2.4150499464182462</v>
      </c>
      <c r="AA82" s="17">
        <f t="shared" si="210"/>
        <v>-0.87504534684775814</v>
      </c>
      <c r="AB82" s="17">
        <f t="shared" ref="AB82:AB107" si="211">IF(AND(AB$6-Y$6 &lt;&gt; 0,Y8&lt;&gt;0,AB8&lt;&gt;0),(EXP(LN(AB8/Y8)/(AB$6-Y$6))-1)*100,0)</f>
        <v>-1.2902241799813252</v>
      </c>
      <c r="AD82" s="17">
        <f t="shared" ref="AD82:AD107" si="212">IF($F$6-$D$6 &lt;&gt; 0,(EXP(LN(1+(AD45/100))/($F$6-$D$6))-1)*100,0)</f>
        <v>-1.3910617875600884</v>
      </c>
      <c r="AE82" s="17">
        <f t="shared" ref="AE82:AE107" si="213">IF(Z8&gt;0,((1+(AE8/Z8))^(1/($F$6-$D$6))-1)*100,0)</f>
        <v>2.7597590406933881</v>
      </c>
      <c r="AF82" s="17">
        <f t="shared" ref="AF82:AF107" si="214">IF($F$6-$D$6 &lt;&gt; 0,(EXP(LN(1+(AF45/100))/($F$6-$D$6))-1)*100,0)</f>
        <v>1.8414353089107882</v>
      </c>
      <c r="AH82" t="str">
        <f>L82</f>
        <v>11 Corporate managers and directors</v>
      </c>
      <c r="AI82" s="17">
        <f t="shared" ref="AI82:AL107" si="215">IF(AND(AJ$6-AI$6 &lt;&gt; 0,AI8&lt;&gt;0,AJ8&lt;&gt;0),(EXP(LN(AJ8/AI8)/(AJ$6-AI$6))-1)*100,0)</f>
        <v>2.461553952757467</v>
      </c>
      <c r="AJ82" s="17">
        <f t="shared" si="215"/>
        <v>5.3011585417735985</v>
      </c>
      <c r="AK82" s="17">
        <f t="shared" si="215"/>
        <v>-3.0940990944507418</v>
      </c>
      <c r="AL82" s="17">
        <f t="shared" si="215"/>
        <v>-0.73356508073091353</v>
      </c>
      <c r="AM82" s="17">
        <f t="shared" ref="AM82:AM107" si="216">IF(AND(AM$6-AJ$6 &lt;&gt; 0,AJ8&lt;&gt;0,AM8&lt;&gt;0),(EXP(LN(AM8/AJ8)/(AM$6-AJ$6))-1)*100,0)</f>
        <v>-1.1132662814231087</v>
      </c>
      <c r="AO82" s="17">
        <f t="shared" ref="AO82:AO107" si="217">IF($F$6-$D$6 &lt;&gt; 0,(EXP(LN(1+(AO45/100))/($F$6-$D$6))-1)*100,0)</f>
        <v>-1.5267304761474643</v>
      </c>
      <c r="AP82" s="17">
        <f t="shared" ref="AP82:AP107" si="218">IF(AK8&gt;0,((1+(AP8/AK8))^(1/($F$6-$D$6))-1)*100,0)</f>
        <v>2.4972231642748532</v>
      </c>
      <c r="AQ82" s="17">
        <f t="shared" ref="AQ82:AQ107" si="219">IF($F$6-$D$6 &lt;&gt; 0,(EXP(LN(1+(AQ45/100))/($F$6-$D$6))-1)*100,0)</f>
        <v>1.4532774937148663</v>
      </c>
      <c r="AS82" t="str">
        <f>W82</f>
        <v>11 Corporate managers and directors</v>
      </c>
      <c r="AT82" s="17">
        <f t="shared" ref="AT82:AW107" si="220">IF(AND(AU$6-AT$6 &lt;&gt; 0,AT8&lt;&gt;0,AU8&lt;&gt;0),(EXP(LN(AU8/AT8)/(AU$6-AT$6))-1)*100,0)</f>
        <v>2.9595633680143063</v>
      </c>
      <c r="AU82" s="17">
        <f t="shared" si="220"/>
        <v>4.108226516628366</v>
      </c>
      <c r="AV82" s="17">
        <f t="shared" si="220"/>
        <v>-3.3445936999434212</v>
      </c>
      <c r="AW82" s="17">
        <f t="shared" si="220"/>
        <v>-0.98806674433156161</v>
      </c>
      <c r="AX82" s="17">
        <f t="shared" ref="AX82:AX107" si="221">IF(AND(AX$6-AU$6 &lt;&gt; 0,AU8&lt;&gt;0,AX8&lt;&gt;0),(EXP(LN(AX8/AU8)/(AX$6-AU$6))-1)*100,0)</f>
        <v>-1.4218416411429069</v>
      </c>
      <c r="AZ82" s="17">
        <f t="shared" ref="AZ82:AZ107" si="222">IF($F$6-$D$6 &lt;&gt; 0,(EXP(LN(1+(AZ45/100))/($F$6-$D$6))-1)*100,0)</f>
        <v>-1.7798912783905663</v>
      </c>
      <c r="BA82" s="17">
        <f t="shared" ref="BA82:BA107" si="223">IF(AV8&gt;0,((1+(BA8/AV8))^(1/($F$6-$D$6))-1)*100,0)</f>
        <v>2.516269736713217</v>
      </c>
      <c r="BB82" s="17">
        <f t="shared" ref="BB82:BB107" si="224">IF($F$6-$D$6 &lt;&gt; 0,(EXP(LN(1+(BB45/100))/($F$6-$D$6))-1)*100,0)</f>
        <v>1.3100756000089753</v>
      </c>
      <c r="BD82" t="str">
        <f>AH82</f>
        <v>11 Corporate managers and directors</v>
      </c>
      <c r="BE82" s="17">
        <f t="shared" ref="BE82:BH107" si="225">IF(AND(BF$6-BE$6 &lt;&gt; 0,BE8&lt;&gt;0,BF8&lt;&gt;0),(EXP(LN(BF8/BE8)/(BF$6-BE$6))-1)*100,0)</f>
        <v>1.0738470972387226</v>
      </c>
      <c r="BF82" s="17">
        <f t="shared" si="225"/>
        <v>3.2060963635769602</v>
      </c>
      <c r="BG82" s="17">
        <f t="shared" si="225"/>
        <v>-6.1403110590881322</v>
      </c>
      <c r="BH82" s="17">
        <f t="shared" si="225"/>
        <v>-3.2361467417973522</v>
      </c>
      <c r="BI82" s="17">
        <f t="shared" ref="BI82:BI107" si="226">IF(AND(BI$6-BF$6 &lt;&gt; 0,BF8&lt;&gt;0,BI8&lt;&gt;0),(EXP(LN(BI8/BF8)/(BI$6-BF$6))-1)*100,0)</f>
        <v>-3.7663345653448643</v>
      </c>
      <c r="BK82" s="17">
        <f t="shared" ref="BK82:BK107" si="227">IF($F$6-$D$6 &lt;&gt; 0,(EXP(LN(1+(BK45/100))/($F$6-$D$6))-1)*100,0)</f>
        <v>-4.214051011268638</v>
      </c>
      <c r="BL82" s="17">
        <f t="shared" ref="BL82:BL107" si="228">IF(BG8&gt;0,((1+(BL8/BG8))^(1/($F$6-$D$6))-1)*100,0)</f>
        <v>1.679454858943652</v>
      </c>
      <c r="BM82" s="17">
        <f t="shared" ref="BM82:BM107" si="229">IF($F$6-$D$6 &lt;&gt; 0,(EXP(LN(1+(BM45/100))/($F$6-$D$6))-1)*100,0)</f>
        <v>-1.4109217848278233</v>
      </c>
      <c r="BO82" t="str">
        <f>AS82</f>
        <v>11 Corporate managers and directors</v>
      </c>
      <c r="BP82" s="17">
        <f t="shared" ref="BP82:BS107" si="230">IF(AND(BQ$6-BP$6 &lt;&gt; 0,BP8&lt;&gt;0,BQ8&lt;&gt;0),(EXP(LN(BQ8/BP8)/(BQ$6-BP$6))-1)*100,0)</f>
        <v>3.6545363329040237</v>
      </c>
      <c r="BQ82" s="17">
        <f t="shared" si="230"/>
        <v>-20.029025632458019</v>
      </c>
      <c r="BR82" s="17">
        <f t="shared" si="230"/>
        <v>-4.8161473970172786</v>
      </c>
      <c r="BS82" s="17">
        <f t="shared" si="230"/>
        <v>-7.3817714600306727</v>
      </c>
      <c r="BT82" s="17">
        <f t="shared" ref="BT82:BT107" si="231">IF(AND(BT$6-BQ$6 &lt;&gt; 0,BQ8&lt;&gt;0,BT8&lt;&gt;0),(EXP(LN(BT8/BQ8)/(BT$6-BQ$6))-1)*100,0)</f>
        <v>-7.4407998921174219</v>
      </c>
      <c r="BV82" s="17">
        <f t="shared" ref="BV82:BV107" si="232">IF($F$6-$D$6 &lt;&gt; 0,(EXP(LN(1+(BV45/100))/($F$6-$D$6))-1)*100,0)</f>
        <v>-6.5343408379875729</v>
      </c>
      <c r="BW82" s="17">
        <f t="shared" ref="BW82:BW107" si="233">IF(BR8&gt;0,((1+(BW8/BR8))^(1/($F$6-$D$6))-1)*100,0)</f>
        <v>1.5031205741004028</v>
      </c>
      <c r="BX82" s="17">
        <f t="shared" ref="BX82:BX107" si="234">IF($F$6-$D$6 &lt;&gt; 0,(EXP(LN(1+(BX45/100))/($F$6-$D$6))-1)*100,0)</f>
        <v>-3.2025484904524615</v>
      </c>
      <c r="BZ82" t="str">
        <f>BD82</f>
        <v>11 Corporate managers and directors</v>
      </c>
      <c r="CA82" s="17">
        <f t="shared" ref="CA82:CD107" si="235">IF(AND(CB$6-CA$6 &lt;&gt; 0,CA8&lt;&gt;0,CB8&lt;&gt;0),(EXP(LN(CB8/CA8)/(CB$6-CA$6))-1)*100,0)</f>
        <v>2.002541831744642</v>
      </c>
      <c r="CB82" s="17">
        <f t="shared" si="235"/>
        <v>-2.7486513780076938</v>
      </c>
      <c r="CC82" s="17">
        <f t="shared" si="235"/>
        <v>-2.4921402411139715</v>
      </c>
      <c r="CD82" s="17">
        <f t="shared" si="235"/>
        <v>-5.1075592179790181</v>
      </c>
      <c r="CE82" s="17">
        <f t="shared" ref="CE82:CE107" si="236">IF(AND(CE$6-CB$6 &lt;&gt; 0,CB8&lt;&gt;0,CE8&lt;&gt;0),(EXP(LN(CE8/CB8)/(CE$6-CB$6))-1)*100,0)</f>
        <v>-4.1508820839950893</v>
      </c>
      <c r="CG82" s="17">
        <f t="shared" ref="CG82:CG107" si="237">IF($F$6-$D$6 &lt;&gt; 0,(EXP(LN(1+(CG45/100))/($F$6-$D$6))-1)*100,0)</f>
        <v>-4.2436420129906001</v>
      </c>
      <c r="CH82" s="17">
        <f t="shared" ref="CH82:CH107" si="238">IF(CC8&gt;0,((1+(CH8/CC8))^(1/($F$6-$D$6))-1)*100,0)</f>
        <v>1.6983522185305411</v>
      </c>
      <c r="CI82" s="17">
        <f t="shared" ref="CI82:CI107" si="239">IF($F$6-$D$6 &lt;&gt; 0,(EXP(LN(1+(CI45/100))/($F$6-$D$6))-1)*100,0)</f>
        <v>-1.4014959008193051</v>
      </c>
      <c r="CK82" t="str">
        <f>BO82</f>
        <v>11 Corporate managers and directors</v>
      </c>
      <c r="CL82" s="17">
        <f t="shared" ref="CL82:CO107" si="240">IF(AND(CM$6-CL$6 &lt;&gt; 0,CL8&lt;&gt;0,CM8&lt;&gt;0),(EXP(LN(CM8/CL8)/(CM$6-CL$6))-1)*100,0)</f>
        <v>0.34496793291132199</v>
      </c>
      <c r="CM82" s="17">
        <f t="shared" si="240"/>
        <v>-31.627378104862601</v>
      </c>
      <c r="CN82" s="17">
        <f t="shared" si="240"/>
        <v>-5.160651778313663</v>
      </c>
      <c r="CO82" s="17">
        <f t="shared" si="240"/>
        <v>-2.52033402610089</v>
      </c>
      <c r="CP82" s="17">
        <f t="shared" ref="CP82:CP107" si="241">IF(AND(CP$6-CM$6 &lt;&gt; 0,CM8&lt;&gt;0,CP8&lt;&gt;0),(EXP(LN(CP8/CM8)/(CP$6-CM$6))-1)*100,0)</f>
        <v>-5.4720292177963481</v>
      </c>
      <c r="CR82" s="17">
        <f t="shared" ref="CR82:CR107" si="242">IF($F$6-$D$6 &lt;&gt; 0,(EXP(LN(1+(CR45/100))/($F$6-$D$6))-1)*100,0)</f>
        <v>-3.4085078506975508</v>
      </c>
      <c r="CS82" s="17">
        <f t="shared" ref="CS82:CS107" si="243">IF(CN8&gt;0,((1+(CS8/CN8))^(1/($F$6-$D$6))-1)*100,0)</f>
        <v>1.3383757493130588</v>
      </c>
      <c r="CT82" s="17">
        <f t="shared" ref="CT82:CT107" si="244">IF($F$6-$D$6 &lt;&gt; 0,(EXP(LN(1+(CT45/100))/($F$6-$D$6))-1)*100,0)</f>
        <v>-1.353665868243259</v>
      </c>
    </row>
    <row r="83" spans="1:98" x14ac:dyDescent="0.2">
      <c r="A83" t="str">
        <f t="shared" si="199"/>
        <v>12 Other managers and proprietors</v>
      </c>
      <c r="B83" s="17">
        <f t="shared" si="200"/>
        <v>8.081805525055664</v>
      </c>
      <c r="C83" s="17">
        <f t="shared" si="200"/>
        <v>-0.8425076826632294</v>
      </c>
      <c r="D83" s="17">
        <f t="shared" si="200"/>
        <v>13.22370748586188</v>
      </c>
      <c r="E83" s="17">
        <f t="shared" si="200"/>
        <v>6.1714352606718537</v>
      </c>
      <c r="F83" s="17">
        <f t="shared" si="201"/>
        <v>7.8650079426298092</v>
      </c>
      <c r="H83" s="17">
        <f t="shared" si="202"/>
        <v>8.4719837778594265</v>
      </c>
      <c r="I83" s="17">
        <f t="shared" si="203"/>
        <v>5.8016862724139528</v>
      </c>
      <c r="J83" s="17">
        <f t="shared" si="204"/>
        <v>10.894416371456227</v>
      </c>
      <c r="L83" t="str">
        <f t="shared" ref="L83:L106" si="245">A83</f>
        <v>12 Other managers and proprietors</v>
      </c>
      <c r="M83" s="17">
        <f t="shared" si="205"/>
        <v>7.175866273201259</v>
      </c>
      <c r="N83" s="17">
        <f t="shared" si="205"/>
        <v>8.030653980043212</v>
      </c>
      <c r="O83" s="17">
        <f t="shared" si="205"/>
        <v>11.052452502243604</v>
      </c>
      <c r="P83" s="17">
        <f t="shared" si="205"/>
        <v>5.3532888427670677</v>
      </c>
      <c r="Q83" s="17">
        <f t="shared" si="206"/>
        <v>7.2702510403091392</v>
      </c>
      <c r="S83" s="17">
        <f t="shared" si="207"/>
        <v>7.2197482332056584</v>
      </c>
      <c r="T83" s="17">
        <f t="shared" si="208"/>
        <v>5.2634128350628195</v>
      </c>
      <c r="U83" s="17">
        <f t="shared" si="209"/>
        <v>9.689453414038308</v>
      </c>
      <c r="W83" t="str">
        <f t="shared" ref="W83:W106" si="246">A83</f>
        <v>12 Other managers and proprietors</v>
      </c>
      <c r="X83" s="17">
        <f t="shared" si="210"/>
        <v>1.4351693376959629</v>
      </c>
      <c r="Y83" s="17">
        <f t="shared" si="210"/>
        <v>1.6649833078287823</v>
      </c>
      <c r="Z83" s="17">
        <f t="shared" si="210"/>
        <v>3.797610706487875</v>
      </c>
      <c r="AA83" s="17">
        <f t="shared" si="210"/>
        <v>0.14146446513836342</v>
      </c>
      <c r="AB83" s="17">
        <f t="shared" si="211"/>
        <v>1.3655713093243316</v>
      </c>
      <c r="AD83" s="17">
        <f t="shared" si="212"/>
        <v>1.3456418908577961</v>
      </c>
      <c r="AE83" s="17">
        <f t="shared" si="213"/>
        <v>3.8217217602446008</v>
      </c>
      <c r="AF83" s="17">
        <f t="shared" si="214"/>
        <v>4.6493948549177766</v>
      </c>
      <c r="AH83" t="str">
        <f t="shared" ref="AH83:AH106" si="247">L83</f>
        <v>12 Other managers and proprietors</v>
      </c>
      <c r="AI83" s="17">
        <f t="shared" si="215"/>
        <v>2.2268118606270093</v>
      </c>
      <c r="AJ83" s="17">
        <f t="shared" si="215"/>
        <v>5.3251746521468357</v>
      </c>
      <c r="AK83" s="17">
        <f t="shared" si="215"/>
        <v>2.3722188633463093</v>
      </c>
      <c r="AL83" s="17">
        <f t="shared" si="215"/>
        <v>-3.7442494204109611E-2</v>
      </c>
      <c r="AM83" s="17">
        <f t="shared" si="216"/>
        <v>1.0388797561255991</v>
      </c>
      <c r="AO83" s="17">
        <f t="shared" si="217"/>
        <v>0.75940897863977508</v>
      </c>
      <c r="AP83" s="17">
        <f t="shared" si="218"/>
        <v>3.6091855151794805</v>
      </c>
      <c r="AQ83" s="17">
        <f t="shared" si="219"/>
        <v>4.0814886755740964</v>
      </c>
      <c r="AS83" t="str">
        <f t="shared" ref="AS83:AS106" si="248">W83</f>
        <v>12 Other managers and proprietors</v>
      </c>
      <c r="AT83" s="17">
        <f t="shared" si="220"/>
        <v>1.5999395816409967</v>
      </c>
      <c r="AU83" s="17">
        <f t="shared" si="220"/>
        <v>3.7720655643737278</v>
      </c>
      <c r="AV83" s="17">
        <f t="shared" si="220"/>
        <v>3.4165765081878519</v>
      </c>
      <c r="AW83" s="17">
        <f t="shared" si="220"/>
        <v>-0.2978931297078824</v>
      </c>
      <c r="AX83" s="17">
        <f t="shared" si="221"/>
        <v>1.1008164283851984</v>
      </c>
      <c r="AZ83" s="17">
        <f t="shared" si="222"/>
        <v>0.92519784980724662</v>
      </c>
      <c r="BA83" s="17">
        <f t="shared" si="223"/>
        <v>3.6477665381833502</v>
      </c>
      <c r="BB83" s="17">
        <f t="shared" si="224"/>
        <v>4.2229269601126163</v>
      </c>
      <c r="BD83" t="str">
        <f t="shared" ref="BD83:BD106" si="249">AH83</f>
        <v>12 Other managers and proprietors</v>
      </c>
      <c r="BE83" s="17">
        <f t="shared" si="225"/>
        <v>-2.351517196212316</v>
      </c>
      <c r="BF83" s="17">
        <f t="shared" si="225"/>
        <v>1.6016152332727129</v>
      </c>
      <c r="BG83" s="17">
        <f t="shared" si="225"/>
        <v>-0.82803744369360777</v>
      </c>
      <c r="BH83" s="17">
        <f t="shared" si="225"/>
        <v>-3.2126829229083498</v>
      </c>
      <c r="BI83" s="17">
        <f t="shared" si="226"/>
        <v>-2.1773656536901331</v>
      </c>
      <c r="BK83" s="17">
        <f t="shared" si="227"/>
        <v>-2.424241281307371</v>
      </c>
      <c r="BL83" s="17">
        <f t="shared" si="228"/>
        <v>2.2353109366652246</v>
      </c>
      <c r="BM83" s="17">
        <f t="shared" si="229"/>
        <v>0.54681693220555161</v>
      </c>
      <c r="BO83" t="str">
        <f t="shared" ref="BO83:BO106" si="250">AS83</f>
        <v>12 Other managers and proprietors</v>
      </c>
      <c r="BP83" s="17">
        <f t="shared" si="230"/>
        <v>1.901890044878396</v>
      </c>
      <c r="BQ83" s="17">
        <f t="shared" si="230"/>
        <v>-20.59779665823833</v>
      </c>
      <c r="BR83" s="17">
        <f t="shared" si="230"/>
        <v>2.5873412897087666</v>
      </c>
      <c r="BS83" s="17">
        <f t="shared" si="230"/>
        <v>-4.822374825175368</v>
      </c>
      <c r="BT83" s="17">
        <f t="shared" si="231"/>
        <v>-3.6635520329760474</v>
      </c>
      <c r="BV83" s="17">
        <f t="shared" si="232"/>
        <v>-2.41392865305462</v>
      </c>
      <c r="BW83" s="17">
        <f t="shared" si="233"/>
        <v>2.4746297006972062</v>
      </c>
      <c r="BX83" s="17">
        <f t="shared" si="234"/>
        <v>0.85409605604984673</v>
      </c>
      <c r="BZ83" t="str">
        <f t="shared" ref="BZ83:BZ106" si="251">BD83</f>
        <v>12 Other managers and proprietors</v>
      </c>
      <c r="CA83" s="17">
        <f t="shared" si="235"/>
        <v>0.19545431933398749</v>
      </c>
      <c r="CB83" s="17">
        <f t="shared" si="235"/>
        <v>-10.353161568089742</v>
      </c>
      <c r="CC83" s="17">
        <f t="shared" si="235"/>
        <v>1.1013321643595253</v>
      </c>
      <c r="CD83" s="17">
        <f t="shared" si="235"/>
        <v>-5.2457824435216622</v>
      </c>
      <c r="CE83" s="17">
        <f t="shared" si="236"/>
        <v>-3.6406073225566105</v>
      </c>
      <c r="CG83" s="17">
        <f t="shared" si="237"/>
        <v>-3.1756346109273248</v>
      </c>
      <c r="CH83" s="17">
        <f t="shared" si="238"/>
        <v>2.0697634036817458</v>
      </c>
      <c r="CI83" s="17">
        <f t="shared" si="239"/>
        <v>-0.16174707496232621</v>
      </c>
      <c r="CK83" t="str">
        <f t="shared" ref="CK83:CK106" si="252">BO83</f>
        <v>12 Other managers and proprietors</v>
      </c>
      <c r="CL83" s="17">
        <f t="shared" si="240"/>
        <v>-3.4501768001638178</v>
      </c>
      <c r="CM83" s="17">
        <f t="shared" si="240"/>
        <v>-35.058580552222317</v>
      </c>
      <c r="CN83" s="17">
        <f t="shared" si="240"/>
        <v>1.7199442005074284</v>
      </c>
      <c r="CO83" s="17">
        <f t="shared" si="240"/>
        <v>-5.6164685253725093</v>
      </c>
      <c r="CP83" s="17">
        <f t="shared" si="241"/>
        <v>-5.6140914169774288</v>
      </c>
      <c r="CR83" s="17">
        <f t="shared" si="242"/>
        <v>-3.2317575935309373</v>
      </c>
      <c r="CS83" s="17">
        <f t="shared" si="243"/>
        <v>1.7593897604006647</v>
      </c>
      <c r="CT83" s="17">
        <f t="shared" si="244"/>
        <v>-0.62708148309450484</v>
      </c>
    </row>
    <row r="84" spans="1:98" x14ac:dyDescent="0.2">
      <c r="A84" t="str">
        <f t="shared" si="199"/>
        <v>21 Science, research, engineering and technology professionals</v>
      </c>
      <c r="B84" s="17">
        <f t="shared" si="200"/>
        <v>8.0045426091332814</v>
      </c>
      <c r="C84" s="17">
        <f t="shared" si="200"/>
        <v>4.6182011354974017</v>
      </c>
      <c r="D84" s="17">
        <f t="shared" si="200"/>
        <v>6.0834623493432272</v>
      </c>
      <c r="E84" s="17">
        <f t="shared" si="200"/>
        <v>3.3769386106247357</v>
      </c>
      <c r="F84" s="17">
        <f t="shared" si="201"/>
        <v>4.2929967488126719</v>
      </c>
      <c r="H84" s="17">
        <f t="shared" si="202"/>
        <v>4.2713524340705966</v>
      </c>
      <c r="I84" s="17">
        <f t="shared" si="203"/>
        <v>3.0648672800418053</v>
      </c>
      <c r="J84" s="17">
        <f t="shared" si="204"/>
        <v>6.142897481987597</v>
      </c>
      <c r="L84" t="str">
        <f t="shared" si="245"/>
        <v>21 Science, research, engineering and technology professionals</v>
      </c>
      <c r="M84" s="17">
        <f t="shared" si="205"/>
        <v>9.6688367154516452</v>
      </c>
      <c r="N84" s="17">
        <f t="shared" si="205"/>
        <v>9.8560671394646082</v>
      </c>
      <c r="O84" s="17">
        <f t="shared" si="205"/>
        <v>6.9866007737145575</v>
      </c>
      <c r="P84" s="17">
        <f t="shared" si="205"/>
        <v>3.9687816540894261</v>
      </c>
      <c r="Q84" s="17">
        <f t="shared" si="206"/>
        <v>5.2643429028588207</v>
      </c>
      <c r="S84" s="17">
        <f t="shared" si="207"/>
        <v>4.9651424652616516</v>
      </c>
      <c r="T84" s="17">
        <f t="shared" si="208"/>
        <v>3.3035145360595042</v>
      </c>
      <c r="U84" s="17">
        <f t="shared" si="209"/>
        <v>6.8375698372027394</v>
      </c>
      <c r="W84" t="str">
        <f t="shared" si="246"/>
        <v>21 Science, research, engineering and technology professionals</v>
      </c>
      <c r="X84" s="17">
        <f t="shared" si="210"/>
        <v>2.2029745345922169</v>
      </c>
      <c r="Y84" s="17">
        <f t="shared" si="210"/>
        <v>3.1842906370380009</v>
      </c>
      <c r="Z84" s="17">
        <f t="shared" si="210"/>
        <v>-1.3838003773789076</v>
      </c>
      <c r="AA84" s="17">
        <f t="shared" si="210"/>
        <v>-2.0536854505828983</v>
      </c>
      <c r="AB84" s="17">
        <f t="shared" si="211"/>
        <v>-1.5247157874686335</v>
      </c>
      <c r="AD84" s="17">
        <f t="shared" si="212"/>
        <v>-1.8308975619147017</v>
      </c>
      <c r="AE84" s="17">
        <f t="shared" si="213"/>
        <v>2.1053971880711897</v>
      </c>
      <c r="AF84" s="17">
        <f t="shared" si="214"/>
        <v>0.78710728286828235</v>
      </c>
      <c r="AH84" t="str">
        <f t="shared" si="247"/>
        <v>21 Science, research, engineering and technology professionals</v>
      </c>
      <c r="AI84" s="17">
        <f t="shared" si="215"/>
        <v>2.6071559365952179</v>
      </c>
      <c r="AJ84" s="17">
        <f t="shared" si="215"/>
        <v>9.1998626533212438</v>
      </c>
      <c r="AK84" s="17">
        <f t="shared" si="215"/>
        <v>-0.26764737201177002</v>
      </c>
      <c r="AL84" s="17">
        <f t="shared" si="215"/>
        <v>-0.89821062677095664</v>
      </c>
      <c r="AM84" s="17">
        <f t="shared" si="216"/>
        <v>-9.756222456900332E-2</v>
      </c>
      <c r="AO84" s="17">
        <f t="shared" si="217"/>
        <v>-0.68846709908290116</v>
      </c>
      <c r="AP84" s="17">
        <f t="shared" si="218"/>
        <v>2.2132979325493851</v>
      </c>
      <c r="AQ84" s="17">
        <f t="shared" si="219"/>
        <v>1.7135231260400952</v>
      </c>
      <c r="AS84" t="str">
        <f t="shared" si="248"/>
        <v>21 Science, research, engineering and technology professionals</v>
      </c>
      <c r="AT84" s="17">
        <f t="shared" si="220"/>
        <v>2.3738862997972232</v>
      </c>
      <c r="AU84" s="17">
        <f t="shared" si="220"/>
        <v>5.29575448471169</v>
      </c>
      <c r="AV84" s="17">
        <f t="shared" si="220"/>
        <v>-2.2944649841931675</v>
      </c>
      <c r="AW84" s="17">
        <f t="shared" si="220"/>
        <v>-1.7806576509690752</v>
      </c>
      <c r="AX84" s="17">
        <f t="shared" si="221"/>
        <v>-1.5142135630905273</v>
      </c>
      <c r="AZ84" s="17">
        <f t="shared" si="222"/>
        <v>-1.952226282026992</v>
      </c>
      <c r="BA84" s="17">
        <f t="shared" si="223"/>
        <v>2.0185524102473096</v>
      </c>
      <c r="BB84" s="17">
        <f t="shared" si="224"/>
        <v>0.59787271317219837</v>
      </c>
      <c r="BD84" t="str">
        <f t="shared" si="249"/>
        <v>21 Science, research, engineering and technology professionals</v>
      </c>
      <c r="BE84" s="17">
        <f t="shared" si="225"/>
        <v>-1.6847336183855033</v>
      </c>
      <c r="BF84" s="17">
        <f t="shared" si="225"/>
        <v>12.867941648517656</v>
      </c>
      <c r="BG84" s="17">
        <f t="shared" si="225"/>
        <v>-6.7472362325166291</v>
      </c>
      <c r="BH84" s="17">
        <f t="shared" si="225"/>
        <v>-4.5601506680947868</v>
      </c>
      <c r="BI84" s="17">
        <f t="shared" si="226"/>
        <v>-4.2506050108557787</v>
      </c>
      <c r="BK84" s="17">
        <f t="shared" si="227"/>
        <v>-5.294819957536312</v>
      </c>
      <c r="BL84" s="17">
        <f t="shared" si="228"/>
        <v>1.1261004575836564</v>
      </c>
      <c r="BM84" s="17">
        <f t="shared" si="229"/>
        <v>-3.0838521516680206</v>
      </c>
      <c r="BO84" t="str">
        <f t="shared" si="250"/>
        <v>21 Science, research, engineering and technology professionals</v>
      </c>
      <c r="BP84" s="17">
        <f t="shared" si="230"/>
        <v>3.4522643298884992</v>
      </c>
      <c r="BQ84" s="17">
        <f t="shared" si="230"/>
        <v>-17.539811499107383</v>
      </c>
      <c r="BR84" s="17">
        <f t="shared" si="230"/>
        <v>-2.2705898072183706</v>
      </c>
      <c r="BS84" s="17">
        <f t="shared" si="230"/>
        <v>-5.517165554246251</v>
      </c>
      <c r="BT84" s="17">
        <f t="shared" si="231"/>
        <v>-5.3231630020098226</v>
      </c>
      <c r="BV84" s="17">
        <f t="shared" si="232"/>
        <v>-4.4471375641127686</v>
      </c>
      <c r="BW84" s="17">
        <f t="shared" si="233"/>
        <v>1.3834109262891747</v>
      </c>
      <c r="BX84" s="17">
        <f t="shared" si="234"/>
        <v>-2.0379853379999924</v>
      </c>
      <c r="BZ84" t="str">
        <f t="shared" si="251"/>
        <v>21 Science, research, engineering and technology professionals</v>
      </c>
      <c r="CA84" s="17">
        <f t="shared" si="235"/>
        <v>1.6733783751097908</v>
      </c>
      <c r="CB84" s="17">
        <f t="shared" si="235"/>
        <v>-4.5907998569770019</v>
      </c>
      <c r="CC84" s="17">
        <f t="shared" si="235"/>
        <v>-3.6426017423667911</v>
      </c>
      <c r="CD84" s="17">
        <f t="shared" si="235"/>
        <v>-9.189516840705835</v>
      </c>
      <c r="CE84" s="17">
        <f t="shared" si="236"/>
        <v>-7.2052373517887851</v>
      </c>
      <c r="CG84" s="17">
        <f t="shared" si="237"/>
        <v>-7.3769639138553273</v>
      </c>
      <c r="CH84" s="17">
        <f t="shared" si="238"/>
        <v>1.0586805684595024</v>
      </c>
      <c r="CI84" s="17">
        <f t="shared" si="239"/>
        <v>-4.67129014861648</v>
      </c>
      <c r="CK84" t="str">
        <f t="shared" si="252"/>
        <v>21 Science, research, engineering and technology professionals</v>
      </c>
      <c r="CL84" s="17">
        <f t="shared" si="240"/>
        <v>4.8630928971115539</v>
      </c>
      <c r="CM84" s="17">
        <f t="shared" si="240"/>
        <v>-29.380340563016926</v>
      </c>
      <c r="CN84" s="17">
        <f t="shared" si="240"/>
        <v>2.4649226958986636</v>
      </c>
      <c r="CO84" s="17">
        <f t="shared" si="240"/>
        <v>-1.5202848627117516</v>
      </c>
      <c r="CP84" s="17">
        <f t="shared" si="241"/>
        <v>-2.3427824482310844</v>
      </c>
      <c r="CR84" s="17">
        <f t="shared" si="242"/>
        <v>-0.20940899949495329</v>
      </c>
      <c r="CS84" s="17">
        <f t="shared" si="243"/>
        <v>1.8147182063554368</v>
      </c>
      <c r="CT84" s="17">
        <f t="shared" si="244"/>
        <v>1.6524886592446997</v>
      </c>
    </row>
    <row r="85" spans="1:98" x14ac:dyDescent="0.2">
      <c r="A85" t="str">
        <f t="shared" si="199"/>
        <v>22 Health professionals</v>
      </c>
      <c r="B85" s="17">
        <f t="shared" si="200"/>
        <v>10.163283649240862</v>
      </c>
      <c r="C85" s="17">
        <f t="shared" si="200"/>
        <v>8.6522700224676452</v>
      </c>
      <c r="D85" s="17">
        <f t="shared" si="200"/>
        <v>6.4485540526070473</v>
      </c>
      <c r="E85" s="17">
        <f t="shared" si="200"/>
        <v>3.5188405321553873</v>
      </c>
      <c r="F85" s="17">
        <f t="shared" si="201"/>
        <v>4.7419672975514748</v>
      </c>
      <c r="H85" s="17">
        <f t="shared" si="202"/>
        <v>4.4863411479658666</v>
      </c>
      <c r="I85" s="17">
        <f t="shared" si="203"/>
        <v>3.8015681082597119</v>
      </c>
      <c r="J85" s="17">
        <f t="shared" si="204"/>
        <v>6.7970676959132392</v>
      </c>
      <c r="L85" t="str">
        <f t="shared" si="245"/>
        <v>22 Health professionals</v>
      </c>
      <c r="M85" s="17">
        <f t="shared" si="205"/>
        <v>8.5605636845414335</v>
      </c>
      <c r="N85" s="17">
        <f t="shared" si="205"/>
        <v>6.9463795631543368</v>
      </c>
      <c r="O85" s="17">
        <f t="shared" si="205"/>
        <v>5.4597053166344445</v>
      </c>
      <c r="P85" s="17">
        <f t="shared" si="205"/>
        <v>3.1239366808991198</v>
      </c>
      <c r="Q85" s="17">
        <f t="shared" si="206"/>
        <v>4.0847505242257443</v>
      </c>
      <c r="S85" s="17">
        <f t="shared" si="207"/>
        <v>3.8967207174684937</v>
      </c>
      <c r="T85" s="17">
        <f t="shared" si="208"/>
        <v>3.8946425580144162</v>
      </c>
      <c r="U85" s="17">
        <f t="shared" si="209"/>
        <v>6.4340975670440947</v>
      </c>
      <c r="W85" t="str">
        <f t="shared" si="246"/>
        <v>22 Health professionals</v>
      </c>
      <c r="X85" s="17">
        <f t="shared" si="210"/>
        <v>3.5066671301390295</v>
      </c>
      <c r="Y85" s="17">
        <f t="shared" si="210"/>
        <v>-0.63118756990883096</v>
      </c>
      <c r="Z85" s="17">
        <f t="shared" si="210"/>
        <v>-0.74412845172154851</v>
      </c>
      <c r="AA85" s="17">
        <f t="shared" si="210"/>
        <v>-2.0913146035883123</v>
      </c>
      <c r="AB85" s="17">
        <f t="shared" si="211"/>
        <v>-1.5812809871649902</v>
      </c>
      <c r="AD85" s="17">
        <f t="shared" si="212"/>
        <v>-1.6442965923977204</v>
      </c>
      <c r="AE85" s="17">
        <f t="shared" si="213"/>
        <v>2.8366947472696635</v>
      </c>
      <c r="AF85" s="17">
        <f t="shared" si="214"/>
        <v>1.7704370858872664</v>
      </c>
      <c r="AH85" t="str">
        <f t="shared" si="247"/>
        <v>22 Health professionals</v>
      </c>
      <c r="AI85" s="17">
        <f t="shared" si="215"/>
        <v>-5.7929568542470777</v>
      </c>
      <c r="AJ85" s="17">
        <f t="shared" si="215"/>
        <v>-9.449985059424403</v>
      </c>
      <c r="AK85" s="17">
        <f t="shared" si="215"/>
        <v>-10.340292120328554</v>
      </c>
      <c r="AL85" s="17">
        <f t="shared" si="215"/>
        <v>-9.2068335761311015</v>
      </c>
      <c r="AM85" s="17">
        <f t="shared" si="216"/>
        <v>-9.5777266211230732</v>
      </c>
      <c r="AO85" s="17">
        <f t="shared" si="217"/>
        <v>-9.5862363149993755</v>
      </c>
      <c r="AP85" s="17">
        <f t="shared" si="218"/>
        <v>1.1962547548150182</v>
      </c>
      <c r="AQ85" s="17">
        <f t="shared" si="219"/>
        <v>-5.6820839246422334</v>
      </c>
      <c r="AS85" t="str">
        <f t="shared" si="248"/>
        <v>22 Health professionals</v>
      </c>
      <c r="AT85" s="17">
        <f t="shared" si="220"/>
        <v>2.231815817161853</v>
      </c>
      <c r="AU85" s="17">
        <f t="shared" si="220"/>
        <v>10.85719925280344</v>
      </c>
      <c r="AV85" s="17">
        <f t="shared" si="220"/>
        <v>-0.83036721675245895</v>
      </c>
      <c r="AW85" s="17">
        <f t="shared" si="220"/>
        <v>-0.88854240223821268</v>
      </c>
      <c r="AX85" s="17">
        <f t="shared" si="221"/>
        <v>-0.17403808227051121</v>
      </c>
      <c r="AZ85" s="17">
        <f t="shared" si="222"/>
        <v>-0.86915446660977835</v>
      </c>
      <c r="BA85" s="17">
        <f t="shared" si="223"/>
        <v>2.6539844227042808</v>
      </c>
      <c r="BB85" s="17">
        <f t="shared" si="224"/>
        <v>2.0637827561230226</v>
      </c>
      <c r="BD85" t="str">
        <f t="shared" si="249"/>
        <v>22 Health professionals</v>
      </c>
      <c r="BE85" s="17">
        <f t="shared" si="225"/>
        <v>5.2784062387225328</v>
      </c>
      <c r="BF85" s="17">
        <f t="shared" si="225"/>
        <v>-12.699527626914165</v>
      </c>
      <c r="BG85" s="17">
        <f t="shared" si="225"/>
        <v>1.7640569289182118</v>
      </c>
      <c r="BH85" s="17">
        <f t="shared" si="225"/>
        <v>-1.7288168491713884</v>
      </c>
      <c r="BI85" s="17">
        <f t="shared" si="226"/>
        <v>-1.3826889974048573</v>
      </c>
      <c r="BK85" s="17">
        <f t="shared" si="227"/>
        <v>-0.57805371468556688</v>
      </c>
      <c r="BL85" s="17">
        <f t="shared" si="228"/>
        <v>2.8613392728817466</v>
      </c>
      <c r="BM85" s="17">
        <f t="shared" si="229"/>
        <v>2.4774008061814401</v>
      </c>
      <c r="BO85" t="str">
        <f t="shared" si="250"/>
        <v>22 Health professionals</v>
      </c>
      <c r="BP85" s="17">
        <f t="shared" si="230"/>
        <v>3.778854517428698</v>
      </c>
      <c r="BQ85" s="17">
        <f t="shared" si="230"/>
        <v>-17.210177506482349</v>
      </c>
      <c r="BR85" s="17">
        <f t="shared" si="230"/>
        <v>-0.31917411143421726</v>
      </c>
      <c r="BS85" s="17">
        <f t="shared" si="230"/>
        <v>-4.8435162911529606</v>
      </c>
      <c r="BT85" s="17">
        <f t="shared" si="231"/>
        <v>-4.2885966793238195</v>
      </c>
      <c r="BV85" s="17">
        <f t="shared" si="232"/>
        <v>-3.3586919805420723</v>
      </c>
      <c r="BW85" s="17">
        <f t="shared" si="233"/>
        <v>2.0680374543242008</v>
      </c>
      <c r="BX85" s="17">
        <f t="shared" si="234"/>
        <v>-0.28273845721266122</v>
      </c>
      <c r="BZ85" t="str">
        <f t="shared" si="251"/>
        <v>22 Health professionals</v>
      </c>
      <c r="CA85" s="17">
        <f t="shared" si="235"/>
        <v>2.3790616050852087</v>
      </c>
      <c r="CB85" s="17">
        <f t="shared" si="235"/>
        <v>-10.178379711127494</v>
      </c>
      <c r="CC85" s="17">
        <f t="shared" si="235"/>
        <v>-0.32003297013120102</v>
      </c>
      <c r="CD85" s="17">
        <f t="shared" si="235"/>
        <v>-6.0093354316814063</v>
      </c>
      <c r="CE85" s="17">
        <f t="shared" si="236"/>
        <v>-4.538287758662185</v>
      </c>
      <c r="CG85" s="17">
        <f t="shared" si="237"/>
        <v>-4.1499282953978085</v>
      </c>
      <c r="CH85" s="17">
        <f t="shared" si="238"/>
        <v>1.8445060005156</v>
      </c>
      <c r="CI85" s="17">
        <f t="shared" si="239"/>
        <v>-1.1169470837933737</v>
      </c>
      <c r="CK85" t="str">
        <f t="shared" si="252"/>
        <v>22 Health professionals</v>
      </c>
      <c r="CL85" s="17">
        <f t="shared" si="240"/>
        <v>4.8145398717493348</v>
      </c>
      <c r="CM85" s="17">
        <f t="shared" si="240"/>
        <v>-28.390944781705464</v>
      </c>
      <c r="CN85" s="17">
        <f t="shared" si="240"/>
        <v>6.0092920116837201</v>
      </c>
      <c r="CO85" s="17">
        <f t="shared" si="240"/>
        <v>0.62633516162586833</v>
      </c>
      <c r="CP85" s="17">
        <f t="shared" si="241"/>
        <v>0.12678253152991203</v>
      </c>
      <c r="CR85" s="17">
        <f t="shared" si="242"/>
        <v>2.3895769483582185</v>
      </c>
      <c r="CS85" s="17">
        <f t="shared" si="243"/>
        <v>2.6367901366437962</v>
      </c>
      <c r="CT85" s="17">
        <f t="shared" si="244"/>
        <v>4.3815317107895879</v>
      </c>
    </row>
    <row r="86" spans="1:98" x14ac:dyDescent="0.2">
      <c r="A86" t="str">
        <f t="shared" si="199"/>
        <v>23 Teaching and other educational professionals</v>
      </c>
      <c r="B86" s="17">
        <f t="shared" si="200"/>
        <v>3.1126811479496919</v>
      </c>
      <c r="C86" s="17">
        <f t="shared" si="200"/>
        <v>7.3324799524617568</v>
      </c>
      <c r="D86" s="17">
        <f t="shared" si="200"/>
        <v>2.9359300052359538</v>
      </c>
      <c r="E86" s="17">
        <f t="shared" si="200"/>
        <v>2.2963523660160412</v>
      </c>
      <c r="F86" s="17">
        <f t="shared" si="201"/>
        <v>2.8041094993319859</v>
      </c>
      <c r="H86" s="17">
        <f t="shared" si="202"/>
        <v>2.5091021415516446</v>
      </c>
      <c r="I86" s="17">
        <f t="shared" si="203"/>
        <v>3.2871054357975771</v>
      </c>
      <c r="J86" s="17">
        <f t="shared" si="204"/>
        <v>4.9854911602093432</v>
      </c>
      <c r="L86" t="str">
        <f t="shared" si="245"/>
        <v>23 Teaching and other educational professionals</v>
      </c>
      <c r="M86" s="17">
        <f t="shared" si="205"/>
        <v>3.264106358745944</v>
      </c>
      <c r="N86" s="17">
        <f t="shared" si="205"/>
        <v>7.4956193639099666</v>
      </c>
      <c r="O86" s="17">
        <f t="shared" si="205"/>
        <v>2.3452309042834463</v>
      </c>
      <c r="P86" s="17">
        <f t="shared" si="205"/>
        <v>1.7044084622689581</v>
      </c>
      <c r="Q86" s="17">
        <f t="shared" si="206"/>
        <v>2.2575568832301718</v>
      </c>
      <c r="S86" s="17">
        <f t="shared" si="207"/>
        <v>1.9175688718187089</v>
      </c>
      <c r="T86" s="17">
        <f t="shared" si="208"/>
        <v>3.2836150635922934</v>
      </c>
      <c r="U86" s="17">
        <f t="shared" si="209"/>
        <v>4.5642837167116257</v>
      </c>
      <c r="W86" t="str">
        <f t="shared" si="246"/>
        <v>23 Teaching and other educational professionals</v>
      </c>
      <c r="X86" s="17">
        <f t="shared" si="210"/>
        <v>-4.6975449717848727</v>
      </c>
      <c r="Y86" s="17">
        <f t="shared" si="210"/>
        <v>5.1793695501565651</v>
      </c>
      <c r="Z86" s="17">
        <f t="shared" si="210"/>
        <v>-5.897603491529968</v>
      </c>
      <c r="AA86" s="17">
        <f t="shared" si="210"/>
        <v>-4.7674135370737725</v>
      </c>
      <c r="AB86" s="17">
        <f t="shared" si="211"/>
        <v>-4.5311126261744494</v>
      </c>
      <c r="AD86" s="17">
        <f t="shared" si="212"/>
        <v>-5.1456437298780688</v>
      </c>
      <c r="AE86" s="17">
        <f t="shared" si="213"/>
        <v>1.9857404711377313</v>
      </c>
      <c r="AF86" s="17">
        <f t="shared" si="214"/>
        <v>-1.5111843489234222</v>
      </c>
      <c r="AH86" t="str">
        <f t="shared" si="247"/>
        <v>23 Teaching and other educational professionals</v>
      </c>
      <c r="AI86" s="17">
        <f t="shared" si="215"/>
        <v>-12.696016847425085</v>
      </c>
      <c r="AJ86" s="17">
        <f t="shared" si="215"/>
        <v>0.59248222426115937</v>
      </c>
      <c r="AK86" s="17">
        <f t="shared" si="215"/>
        <v>-5.6035078837417318</v>
      </c>
      <c r="AL86" s="17">
        <f t="shared" si="215"/>
        <v>-0.71260325114518297</v>
      </c>
      <c r="AM86" s="17">
        <f t="shared" si="216"/>
        <v>-2.1878336776237295</v>
      </c>
      <c r="AO86" s="17">
        <f t="shared" si="217"/>
        <v>-2.3704319454543543</v>
      </c>
      <c r="AP86" s="17">
        <f t="shared" si="218"/>
        <v>1.48716043511814</v>
      </c>
      <c r="AQ86" s="17">
        <f t="shared" si="219"/>
        <v>-0.37189302470566066</v>
      </c>
      <c r="AS86" t="str">
        <f t="shared" si="248"/>
        <v>23 Teaching and other educational professionals</v>
      </c>
      <c r="AT86" s="17">
        <f t="shared" si="220"/>
        <v>-0.10698279702217039</v>
      </c>
      <c r="AU86" s="17">
        <f t="shared" si="220"/>
        <v>16.37078266572891</v>
      </c>
      <c r="AV86" s="17">
        <f t="shared" si="220"/>
        <v>-1.4161668358206425</v>
      </c>
      <c r="AW86" s="17">
        <f t="shared" si="220"/>
        <v>-0.4799979590985326</v>
      </c>
      <c r="AX86" s="17">
        <f t="shared" si="221"/>
        <v>0.20133638820230004</v>
      </c>
      <c r="AZ86" s="17">
        <f t="shared" si="222"/>
        <v>-0.79303788524931473</v>
      </c>
      <c r="BA86" s="17">
        <f t="shared" si="223"/>
        <v>2.7871159161690029</v>
      </c>
      <c r="BB86" s="17">
        <f t="shared" si="224"/>
        <v>2.2577026053225424</v>
      </c>
      <c r="BD86" t="str">
        <f t="shared" si="249"/>
        <v>23 Teaching and other educational professionals</v>
      </c>
      <c r="BE86" s="17">
        <f t="shared" si="225"/>
        <v>-1.2538191899968409</v>
      </c>
      <c r="BF86" s="17">
        <f t="shared" si="225"/>
        <v>16.722147970152925</v>
      </c>
      <c r="BG86" s="17">
        <f t="shared" si="225"/>
        <v>-0.37854521428402066</v>
      </c>
      <c r="BH86" s="17">
        <f t="shared" si="225"/>
        <v>-1.4822243591760764</v>
      </c>
      <c r="BI86" s="17">
        <f t="shared" si="226"/>
        <v>-8.5394530669724578E-2</v>
      </c>
      <c r="BK86" s="17">
        <f t="shared" si="227"/>
        <v>-1.1156966398445434</v>
      </c>
      <c r="BL86" s="17">
        <f t="shared" si="228"/>
        <v>2.2255468814081913</v>
      </c>
      <c r="BM86" s="17">
        <f t="shared" si="229"/>
        <v>1.4242605596215263</v>
      </c>
      <c r="BO86" t="str">
        <f t="shared" si="250"/>
        <v>23 Teaching and other educational professionals</v>
      </c>
      <c r="BP86" s="17">
        <f t="shared" si="230"/>
        <v>1.3980142548825514</v>
      </c>
      <c r="BQ86" s="17">
        <f t="shared" si="230"/>
        <v>-9.8542594606951361</v>
      </c>
      <c r="BR86" s="17">
        <f t="shared" si="230"/>
        <v>1.202921409234059</v>
      </c>
      <c r="BS86" s="17">
        <f t="shared" si="230"/>
        <v>-0.43536226165993286</v>
      </c>
      <c r="BT86" s="17">
        <f t="shared" si="231"/>
        <v>-0.54592045665385891</v>
      </c>
      <c r="BV86" s="17">
        <f t="shared" si="232"/>
        <v>0.10776414630675468</v>
      </c>
      <c r="BW86" s="17">
        <f t="shared" si="233"/>
        <v>2.389296024546006</v>
      </c>
      <c r="BX86" s="17">
        <f t="shared" si="234"/>
        <v>2.4668999910925526</v>
      </c>
      <c r="BZ86" t="str">
        <f t="shared" si="251"/>
        <v>23 Teaching and other educational professionals</v>
      </c>
      <c r="CA86" s="17">
        <f t="shared" si="235"/>
        <v>-1.0459877326566391</v>
      </c>
      <c r="CB86" s="17">
        <f t="shared" si="235"/>
        <v>0.8725839091650478</v>
      </c>
      <c r="CC86" s="17">
        <f t="shared" si="235"/>
        <v>-0.98925517013700448</v>
      </c>
      <c r="CD86" s="17">
        <f t="shared" si="235"/>
        <v>-1.4885187031687175</v>
      </c>
      <c r="CE86" s="17">
        <f t="shared" si="236"/>
        <v>-1.1866029476471862</v>
      </c>
      <c r="CG86" s="17">
        <f t="shared" si="237"/>
        <v>-1.3223778815445786</v>
      </c>
      <c r="CH86" s="17">
        <f t="shared" si="238"/>
        <v>2.0028245994719418</v>
      </c>
      <c r="CI86" s="17">
        <f t="shared" si="239"/>
        <v>1.0257711388248492</v>
      </c>
      <c r="CK86" t="str">
        <f t="shared" si="252"/>
        <v>23 Teaching and other educational professionals</v>
      </c>
      <c r="CL86" s="17">
        <f t="shared" si="240"/>
        <v>1.6560007480026506</v>
      </c>
      <c r="CM86" s="17">
        <f t="shared" si="240"/>
        <v>-17.582029422311052</v>
      </c>
      <c r="CN86" s="17">
        <f t="shared" si="240"/>
        <v>1.6940316743984551</v>
      </c>
      <c r="CO86" s="17">
        <f t="shared" si="240"/>
        <v>-4.9339627929598677</v>
      </c>
      <c r="CP86" s="17">
        <f t="shared" si="241"/>
        <v>-3.7729721529999982</v>
      </c>
      <c r="CR86" s="17">
        <f t="shared" si="242"/>
        <v>-2.7740752945325076</v>
      </c>
      <c r="CS86" s="17">
        <f t="shared" si="243"/>
        <v>1.8307039403166137</v>
      </c>
      <c r="CT86" s="17">
        <f t="shared" si="244"/>
        <v>-0.2132417916258178</v>
      </c>
    </row>
    <row r="87" spans="1:98" x14ac:dyDescent="0.2">
      <c r="A87" t="str">
        <f t="shared" si="199"/>
        <v>24 Business, media and public service professionals</v>
      </c>
      <c r="B87" s="17">
        <f t="shared" si="200"/>
        <v>9.6873983039560407</v>
      </c>
      <c r="C87" s="17">
        <f t="shared" si="200"/>
        <v>8.7469225516810134</v>
      </c>
      <c r="D87" s="17">
        <f t="shared" si="200"/>
        <v>9.0759912206104687</v>
      </c>
      <c r="E87" s="17">
        <f t="shared" si="200"/>
        <v>4.7914751867792038</v>
      </c>
      <c r="F87" s="17">
        <f t="shared" si="201"/>
        <v>6.3579964026539315</v>
      </c>
      <c r="H87" s="17">
        <f t="shared" si="202"/>
        <v>6.2006134816688263</v>
      </c>
      <c r="I87" s="17">
        <f t="shared" si="203"/>
        <v>4.2357362693038025</v>
      </c>
      <c r="J87" s="17">
        <f t="shared" si="204"/>
        <v>8.3472666473918267</v>
      </c>
      <c r="L87" t="str">
        <f t="shared" si="245"/>
        <v>24 Business, media and public service professionals</v>
      </c>
      <c r="M87" s="17">
        <f t="shared" si="205"/>
        <v>9.2845398009120608</v>
      </c>
      <c r="N87" s="17">
        <f t="shared" si="205"/>
        <v>9.1691002820894596</v>
      </c>
      <c r="O87" s="17">
        <f t="shared" si="205"/>
        <v>7.2840241069627609</v>
      </c>
      <c r="P87" s="17">
        <f t="shared" si="205"/>
        <v>3.7462154374473311</v>
      </c>
      <c r="Q87" s="17">
        <f t="shared" si="206"/>
        <v>5.1734456398690787</v>
      </c>
      <c r="S87" s="17">
        <f t="shared" si="207"/>
        <v>4.9123287070458987</v>
      </c>
      <c r="T87" s="17">
        <f t="shared" si="208"/>
        <v>3.8671486373220487</v>
      </c>
      <c r="U87" s="17">
        <f t="shared" si="209"/>
        <v>7.1554817974483154</v>
      </c>
      <c r="W87" t="str">
        <f t="shared" si="246"/>
        <v>24 Business, media and public service professionals</v>
      </c>
      <c r="X87" s="17">
        <f t="shared" si="210"/>
        <v>2.7687265100272862</v>
      </c>
      <c r="Y87" s="17">
        <f t="shared" si="210"/>
        <v>3.9933889138666911</v>
      </c>
      <c r="Z87" s="17">
        <f t="shared" si="210"/>
        <v>-0.31886317305199752</v>
      </c>
      <c r="AA87" s="17">
        <f t="shared" si="210"/>
        <v>-2.0896773962889359</v>
      </c>
      <c r="AB87" s="17">
        <f t="shared" si="211"/>
        <v>-1.1680837166401004</v>
      </c>
      <c r="AD87" s="17">
        <f t="shared" si="212"/>
        <v>-1.5029292240783532</v>
      </c>
      <c r="AE87" s="17">
        <f t="shared" si="213"/>
        <v>2.6284346369997769</v>
      </c>
      <c r="AF87" s="17">
        <f t="shared" si="214"/>
        <v>1.6198513659938074</v>
      </c>
      <c r="AH87" t="str">
        <f t="shared" si="247"/>
        <v>24 Business, media and public service professionals</v>
      </c>
      <c r="AI87" s="17">
        <f t="shared" si="215"/>
        <v>-0.35968731411528676</v>
      </c>
      <c r="AJ87" s="17">
        <f t="shared" si="215"/>
        <v>13.328058257084209</v>
      </c>
      <c r="AK87" s="17">
        <f t="shared" si="215"/>
        <v>-1.3536077029016935</v>
      </c>
      <c r="AL87" s="17">
        <f t="shared" si="215"/>
        <v>-1.2439301367352384</v>
      </c>
      <c r="AM87" s="17">
        <f t="shared" si="216"/>
        <v>-0.42533785780755062</v>
      </c>
      <c r="AO87" s="17">
        <f t="shared" si="217"/>
        <v>-1.2805028679115593</v>
      </c>
      <c r="AP87" s="17">
        <f t="shared" si="218"/>
        <v>2.0697624629536282</v>
      </c>
      <c r="AQ87" s="17">
        <f t="shared" si="219"/>
        <v>1.1321472352090689</v>
      </c>
      <c r="AS87" t="str">
        <f t="shared" si="248"/>
        <v>24 Business, media and public service professionals</v>
      </c>
      <c r="AT87" s="17">
        <f t="shared" si="220"/>
        <v>2.7469345676340851</v>
      </c>
      <c r="AU87" s="17">
        <f t="shared" si="220"/>
        <v>8.1407912276728389</v>
      </c>
      <c r="AV87" s="17">
        <f t="shared" si="220"/>
        <v>-0.40481265887596374</v>
      </c>
      <c r="AW87" s="17">
        <f t="shared" si="220"/>
        <v>-1.7066158399743458</v>
      </c>
      <c r="AX87" s="17">
        <f t="shared" si="221"/>
        <v>-0.71091430078473739</v>
      </c>
      <c r="AZ87" s="17">
        <f t="shared" si="222"/>
        <v>-1.2745831582391842</v>
      </c>
      <c r="BA87" s="17">
        <f t="shared" si="223"/>
        <v>2.5927614045826886</v>
      </c>
      <c r="BB87" s="17">
        <f t="shared" si="224"/>
        <v>1.7281046035145353</v>
      </c>
      <c r="BD87" t="str">
        <f t="shared" si="249"/>
        <v>24 Business, media and public service professionals</v>
      </c>
      <c r="BE87" s="17">
        <f t="shared" si="225"/>
        <v>0.67308483773034222</v>
      </c>
      <c r="BF87" s="17">
        <f t="shared" si="225"/>
        <v>6.3374701907463971</v>
      </c>
      <c r="BG87" s="17">
        <f t="shared" si="225"/>
        <v>-3.2674824120541568</v>
      </c>
      <c r="BH87" s="17">
        <f t="shared" si="225"/>
        <v>-4.4529309736279004</v>
      </c>
      <c r="BI87" s="17">
        <f t="shared" si="226"/>
        <v>-3.4404674823006576</v>
      </c>
      <c r="BK87" s="17">
        <f t="shared" si="227"/>
        <v>-4.0594044825750579</v>
      </c>
      <c r="BL87" s="17">
        <f t="shared" si="228"/>
        <v>1.6611512495880332</v>
      </c>
      <c r="BM87" s="17">
        <f t="shared" si="229"/>
        <v>-1.3350506449771427</v>
      </c>
      <c r="BO87" t="str">
        <f t="shared" si="250"/>
        <v>24 Business, media and public service professionals</v>
      </c>
      <c r="BP87" s="17">
        <f t="shared" si="230"/>
        <v>3.5826575439976693</v>
      </c>
      <c r="BQ87" s="17">
        <f t="shared" si="230"/>
        <v>-16.912837284784775</v>
      </c>
      <c r="BR87" s="17">
        <f t="shared" si="230"/>
        <v>-1.7261709861750796</v>
      </c>
      <c r="BS87" s="17">
        <f t="shared" si="230"/>
        <v>-5.9814845633857416</v>
      </c>
      <c r="BT87" s="17">
        <f t="shared" si="231"/>
        <v>-5.4054586867392507</v>
      </c>
      <c r="BV87" s="17">
        <f t="shared" si="232"/>
        <v>-4.583924010282125</v>
      </c>
      <c r="BW87" s="17">
        <f t="shared" si="233"/>
        <v>1.6032129867693756</v>
      </c>
      <c r="BX87" s="17">
        <f t="shared" si="234"/>
        <v>-1.77757235887811</v>
      </c>
      <c r="BZ87" t="str">
        <f t="shared" si="251"/>
        <v>24 Business, media and public service professionals</v>
      </c>
      <c r="CA87" s="17">
        <f t="shared" si="235"/>
        <v>1.1048888115650746</v>
      </c>
      <c r="CB87" s="17">
        <f t="shared" si="235"/>
        <v>0.21171186542758846</v>
      </c>
      <c r="CC87" s="17">
        <f t="shared" si="235"/>
        <v>-3.0118767874905528</v>
      </c>
      <c r="CD87" s="17">
        <f t="shared" si="235"/>
        <v>-8.3468632648495245</v>
      </c>
      <c r="CE87" s="17">
        <f t="shared" si="236"/>
        <v>-6.1900214443202817</v>
      </c>
      <c r="CG87" s="17">
        <f t="shared" si="237"/>
        <v>-6.6019647449180985</v>
      </c>
      <c r="CH87" s="17">
        <f t="shared" si="238"/>
        <v>1.3240755390206305</v>
      </c>
      <c r="CI87" s="17">
        <f t="shared" si="239"/>
        <v>-3.5986340965342256</v>
      </c>
      <c r="CK87" t="str">
        <f t="shared" si="252"/>
        <v>24 Business, media and public service professionals</v>
      </c>
      <c r="CL87" s="17">
        <f t="shared" si="240"/>
        <v>2.4275525391478814</v>
      </c>
      <c r="CM87" s="17">
        <f t="shared" si="240"/>
        <v>-30.302382978310007</v>
      </c>
      <c r="CN87" s="17">
        <f t="shared" si="240"/>
        <v>-0.38215945328436973</v>
      </c>
      <c r="CO87" s="17">
        <f t="shared" si="240"/>
        <v>-5.3340262773694525</v>
      </c>
      <c r="CP87" s="17">
        <f t="shared" si="241"/>
        <v>-5.6367993467941861</v>
      </c>
      <c r="CR87" s="17">
        <f t="shared" si="242"/>
        <v>-3.7113764230247592</v>
      </c>
      <c r="CS87" s="17">
        <f t="shared" si="243"/>
        <v>1.5347081608370061</v>
      </c>
      <c r="CT87" s="17">
        <f t="shared" si="244"/>
        <v>-1.2845529223758589</v>
      </c>
    </row>
    <row r="88" spans="1:98" x14ac:dyDescent="0.2">
      <c r="A88" t="str">
        <f t="shared" si="199"/>
        <v>31 Science, engineering and technology associate professionals</v>
      </c>
      <c r="B88" s="17">
        <f t="shared" si="200"/>
        <v>10.447985569769425</v>
      </c>
      <c r="C88" s="17">
        <f t="shared" si="200"/>
        <v>8.1459290666654471</v>
      </c>
      <c r="D88" s="17">
        <f t="shared" si="200"/>
        <v>5.1364379193700627</v>
      </c>
      <c r="E88" s="17">
        <f t="shared" si="200"/>
        <v>5.1463922101150805</v>
      </c>
      <c r="F88" s="17">
        <f t="shared" si="201"/>
        <v>5.3282853228602489</v>
      </c>
      <c r="H88" s="17">
        <f t="shared" si="202"/>
        <v>5.1430740084856152</v>
      </c>
      <c r="I88" s="17">
        <f t="shared" si="203"/>
        <v>3.6349405076319785</v>
      </c>
      <c r="J88" s="17">
        <f t="shared" si="204"/>
        <v>7.1819272229161735</v>
      </c>
      <c r="L88" t="str">
        <f t="shared" si="245"/>
        <v>31 Science, engineering and technology associate professionals</v>
      </c>
      <c r="M88" s="17">
        <f t="shared" si="205"/>
        <v>9.702985181148339</v>
      </c>
      <c r="N88" s="17">
        <f t="shared" si="205"/>
        <v>12.743060364139458</v>
      </c>
      <c r="O88" s="17">
        <f t="shared" si="205"/>
        <v>3.2989869980831754</v>
      </c>
      <c r="P88" s="17">
        <f t="shared" si="205"/>
        <v>3.9790551676299746</v>
      </c>
      <c r="Q88" s="17">
        <f t="shared" si="206"/>
        <v>4.2921930868419</v>
      </c>
      <c r="S88" s="17">
        <f t="shared" si="207"/>
        <v>3.7518697584635552</v>
      </c>
      <c r="T88" s="17">
        <f t="shared" si="208"/>
        <v>3.0810394288182774</v>
      </c>
      <c r="U88" s="17">
        <f t="shared" si="209"/>
        <v>5.7525986946888263</v>
      </c>
      <c r="W88" t="str">
        <f t="shared" si="246"/>
        <v>31 Science, engineering and technology associate professionals</v>
      </c>
      <c r="X88" s="17">
        <f t="shared" si="210"/>
        <v>4.49665231277252</v>
      </c>
      <c r="Y88" s="17">
        <f t="shared" si="210"/>
        <v>5.6695567460601781</v>
      </c>
      <c r="Z88" s="17">
        <f t="shared" si="210"/>
        <v>-3.0266935188520527</v>
      </c>
      <c r="AA88" s="17">
        <f t="shared" si="210"/>
        <v>-0.73692070825230882</v>
      </c>
      <c r="AB88" s="17">
        <f t="shared" si="211"/>
        <v>-1.0722751376668227</v>
      </c>
      <c r="AD88" s="17">
        <f t="shared" si="212"/>
        <v>-1.5061235708917931</v>
      </c>
      <c r="AE88" s="17">
        <f t="shared" si="213"/>
        <v>2.2357217491153492</v>
      </c>
      <c r="AF88" s="17">
        <f t="shared" si="214"/>
        <v>1.1647294235066941</v>
      </c>
      <c r="AH88" t="str">
        <f t="shared" si="247"/>
        <v>31 Science, engineering and technology associate professionals</v>
      </c>
      <c r="AI88" s="17">
        <f t="shared" si="215"/>
        <v>6.2708111898828411</v>
      </c>
      <c r="AJ88" s="17">
        <f t="shared" si="215"/>
        <v>13.358817750070195</v>
      </c>
      <c r="AK88" s="17">
        <f t="shared" si="215"/>
        <v>-0.10230842399351348</v>
      </c>
      <c r="AL88" s="17">
        <f t="shared" si="215"/>
        <v>1.7752719897622615</v>
      </c>
      <c r="AM88" s="17">
        <f t="shared" si="216"/>
        <v>1.8687449387933208</v>
      </c>
      <c r="AO88" s="17">
        <f t="shared" si="217"/>
        <v>1.1455232301728957</v>
      </c>
      <c r="AP88" s="17">
        <f t="shared" si="218"/>
        <v>2.8897715564738302</v>
      </c>
      <c r="AQ88" s="17">
        <f t="shared" si="219"/>
        <v>3.67947565989728</v>
      </c>
      <c r="AS88" t="str">
        <f t="shared" si="248"/>
        <v>31 Science, engineering and technology associate professionals</v>
      </c>
      <c r="AT88" s="17">
        <f t="shared" si="220"/>
        <v>1.7182308117386302</v>
      </c>
      <c r="AU88" s="17">
        <f t="shared" si="220"/>
        <v>5.5182358829553468</v>
      </c>
      <c r="AV88" s="17">
        <f t="shared" si="220"/>
        <v>-4.551927629049568</v>
      </c>
      <c r="AW88" s="17">
        <f t="shared" si="220"/>
        <v>-1.2356274606763473</v>
      </c>
      <c r="AX88" s="17">
        <f t="shared" si="221"/>
        <v>-1.8793534323447436</v>
      </c>
      <c r="AZ88" s="17">
        <f t="shared" si="222"/>
        <v>-2.3536696631508369</v>
      </c>
      <c r="BA88" s="17">
        <f t="shared" si="223"/>
        <v>1.8541274014752585</v>
      </c>
      <c r="BB88" s="17">
        <f t="shared" si="224"/>
        <v>0.11156879046130275</v>
      </c>
      <c r="BD88" t="str">
        <f t="shared" si="249"/>
        <v>31 Science, engineering and technology associate professionals</v>
      </c>
      <c r="BE88" s="17">
        <f t="shared" si="225"/>
        <v>-1.2558287178370708</v>
      </c>
      <c r="BF88" s="17">
        <f t="shared" si="225"/>
        <v>15.202709037344997</v>
      </c>
      <c r="BG88" s="17">
        <f t="shared" si="225"/>
        <v>-9.1990118656692275</v>
      </c>
      <c r="BH88" s="17">
        <f t="shared" si="225"/>
        <v>-4.8848879760252428</v>
      </c>
      <c r="BI88" s="17">
        <f t="shared" si="226"/>
        <v>-5.1252433016473535</v>
      </c>
      <c r="BK88" s="17">
        <f t="shared" si="227"/>
        <v>-6.3452359469924229</v>
      </c>
      <c r="BL88" s="17">
        <f t="shared" si="228"/>
        <v>1.1814002984464889</v>
      </c>
      <c r="BM88" s="17">
        <f t="shared" si="229"/>
        <v>-3.7152937381141449</v>
      </c>
      <c r="BO88" t="str">
        <f t="shared" si="250"/>
        <v>31 Science, engineering and technology associate professionals</v>
      </c>
      <c r="BP88" s="17">
        <f t="shared" si="230"/>
        <v>6.175155469956306</v>
      </c>
      <c r="BQ88" s="17">
        <f t="shared" si="230"/>
        <v>-10.237127548160874</v>
      </c>
      <c r="BR88" s="17">
        <f t="shared" si="230"/>
        <v>-3.3469011221968437</v>
      </c>
      <c r="BS88" s="17">
        <f t="shared" si="230"/>
        <v>-2.4877473935632888</v>
      </c>
      <c r="BT88" s="17">
        <f t="shared" si="231"/>
        <v>-3.259022417984081</v>
      </c>
      <c r="BV88" s="17">
        <f t="shared" si="232"/>
        <v>-2.7749771964322156</v>
      </c>
      <c r="BW88" s="17">
        <f t="shared" si="233"/>
        <v>1.5911399304901597</v>
      </c>
      <c r="BX88" s="17">
        <f t="shared" si="234"/>
        <v>-0.53400151081351988</v>
      </c>
      <c r="BZ88" t="str">
        <f t="shared" si="251"/>
        <v>31 Science, engineering and technology associate professionals</v>
      </c>
      <c r="CA88" s="17">
        <f t="shared" si="235"/>
        <v>3.5087935240383894</v>
      </c>
      <c r="CB88" s="17">
        <f t="shared" si="235"/>
        <v>3.3084343023358054</v>
      </c>
      <c r="CC88" s="17">
        <f t="shared" si="235"/>
        <v>-5.35917090701028</v>
      </c>
      <c r="CD88" s="17">
        <f t="shared" si="235"/>
        <v>-6.076712777475457</v>
      </c>
      <c r="CE88" s="17">
        <f t="shared" si="236"/>
        <v>-5.29098249694131</v>
      </c>
      <c r="CG88" s="17">
        <f t="shared" si="237"/>
        <v>-5.838138668083892</v>
      </c>
      <c r="CH88" s="17">
        <f t="shared" si="238"/>
        <v>1.1927299762806598</v>
      </c>
      <c r="CI88" s="17">
        <f t="shared" si="239"/>
        <v>-3.3452383822406673</v>
      </c>
      <c r="CK88" t="str">
        <f t="shared" si="252"/>
        <v>31 Science, engineering and technology associate professionals</v>
      </c>
      <c r="CL88" s="17">
        <f t="shared" si="240"/>
        <v>7.9628120142997361</v>
      </c>
      <c r="CM88" s="17">
        <f t="shared" si="240"/>
        <v>-16.418081369815297</v>
      </c>
      <c r="CN88" s="17">
        <f t="shared" si="240"/>
        <v>2.4875423840318156</v>
      </c>
      <c r="CO88" s="17">
        <f t="shared" si="240"/>
        <v>2.780007527382522</v>
      </c>
      <c r="CP88" s="17">
        <f t="shared" si="241"/>
        <v>1.3700443332724133</v>
      </c>
      <c r="CR88" s="17">
        <f t="shared" si="242"/>
        <v>2.6824265306130579</v>
      </c>
      <c r="CS88" s="17">
        <f t="shared" si="243"/>
        <v>2.5277244171774349</v>
      </c>
      <c r="CT88" s="17">
        <f t="shared" si="244"/>
        <v>4.5228279801866833</v>
      </c>
    </row>
    <row r="89" spans="1:98" x14ac:dyDescent="0.2">
      <c r="A89" t="str">
        <f t="shared" si="199"/>
        <v>32 Health and social care associate professionals</v>
      </c>
      <c r="B89" s="17">
        <f t="shared" si="200"/>
        <v>8.7679984073037112</v>
      </c>
      <c r="C89" s="17">
        <f t="shared" si="200"/>
        <v>5.2168009551333716</v>
      </c>
      <c r="D89" s="17">
        <f t="shared" si="200"/>
        <v>7.9673793975040264</v>
      </c>
      <c r="E89" s="17">
        <f t="shared" si="200"/>
        <v>5.9595905357691104</v>
      </c>
      <c r="F89" s="17">
        <f t="shared" si="201"/>
        <v>6.5361290974350617</v>
      </c>
      <c r="H89" s="17">
        <f t="shared" si="202"/>
        <v>6.6246702301787419</v>
      </c>
      <c r="I89" s="17">
        <f t="shared" si="203"/>
        <v>5.0341457316135818</v>
      </c>
      <c r="J89" s="17">
        <f t="shared" si="204"/>
        <v>9.1266082482131416</v>
      </c>
      <c r="L89" t="str">
        <f t="shared" si="245"/>
        <v>32 Health and social care associate professionals</v>
      </c>
      <c r="M89" s="17">
        <f t="shared" si="205"/>
        <v>8.4139030745490562</v>
      </c>
      <c r="N89" s="17">
        <f t="shared" si="205"/>
        <v>11.86142260020231</v>
      </c>
      <c r="O89" s="17">
        <f t="shared" si="205"/>
        <v>5.9266178651188994</v>
      </c>
      <c r="P89" s="17">
        <f t="shared" si="205"/>
        <v>4.9408242454409113</v>
      </c>
      <c r="Q89" s="17">
        <f t="shared" si="206"/>
        <v>5.6688329927911063</v>
      </c>
      <c r="S89" s="17">
        <f t="shared" si="207"/>
        <v>5.2683985269243117</v>
      </c>
      <c r="T89" s="17">
        <f t="shared" si="208"/>
        <v>4.4310388345715435</v>
      </c>
      <c r="U89" s="17">
        <f t="shared" si="209"/>
        <v>7.7792622776180043</v>
      </c>
      <c r="W89" t="str">
        <f t="shared" si="246"/>
        <v>32 Health and social care associate professionals</v>
      </c>
      <c r="X89" s="17">
        <f t="shared" si="210"/>
        <v>3.7867830043471606</v>
      </c>
      <c r="Y89" s="17">
        <f t="shared" si="210"/>
        <v>3.8888599751046193</v>
      </c>
      <c r="Z89" s="17">
        <f t="shared" si="210"/>
        <v>-0.43941387964792078</v>
      </c>
      <c r="AA89" s="17">
        <f t="shared" si="210"/>
        <v>-0.67160469050913107</v>
      </c>
      <c r="AB89" s="17">
        <f t="shared" si="211"/>
        <v>-0.31982888992523328</v>
      </c>
      <c r="AD89" s="17">
        <f t="shared" si="212"/>
        <v>-0.59426798324624386</v>
      </c>
      <c r="AE89" s="17">
        <f t="shared" si="213"/>
        <v>3.2089509166897345</v>
      </c>
      <c r="AF89" s="17">
        <f t="shared" si="214"/>
        <v>2.8331135720700118</v>
      </c>
      <c r="AH89" t="str">
        <f t="shared" si="247"/>
        <v>32 Health and social care associate professionals</v>
      </c>
      <c r="AI89" s="17">
        <f t="shared" si="215"/>
        <v>-3.655400370205053</v>
      </c>
      <c r="AJ89" s="17">
        <f t="shared" si="215"/>
        <v>-1.0874983955706852</v>
      </c>
      <c r="AK89" s="17">
        <f t="shared" si="215"/>
        <v>-7.0583821537559821</v>
      </c>
      <c r="AL89" s="17">
        <f t="shared" si="215"/>
        <v>-6.4217208018224508</v>
      </c>
      <c r="AM89" s="17">
        <f t="shared" si="216"/>
        <v>-6.2970411944986759</v>
      </c>
      <c r="AO89" s="17">
        <f t="shared" si="217"/>
        <v>-6.6344243616431768</v>
      </c>
      <c r="AP89" s="17">
        <f t="shared" si="218"/>
        <v>1.5992013726554122</v>
      </c>
      <c r="AQ89" s="17">
        <f t="shared" si="219"/>
        <v>-3.0765475072335291</v>
      </c>
      <c r="AS89" t="str">
        <f t="shared" si="248"/>
        <v>32 Health and social care associate professionals</v>
      </c>
      <c r="AT89" s="17">
        <f t="shared" si="220"/>
        <v>2.4751196021454591</v>
      </c>
      <c r="AU89" s="17">
        <f t="shared" si="220"/>
        <v>13.620859518657568</v>
      </c>
      <c r="AV89" s="17">
        <f t="shared" si="220"/>
        <v>-2.8161568079195565</v>
      </c>
      <c r="AW89" s="17">
        <f t="shared" si="220"/>
        <v>-1.0445989947502787</v>
      </c>
      <c r="AX89" s="17">
        <f t="shared" si="221"/>
        <v>-0.74806886803040484</v>
      </c>
      <c r="AZ89" s="17">
        <f t="shared" si="222"/>
        <v>-1.6386776795375257</v>
      </c>
      <c r="BA89" s="17">
        <f t="shared" si="223"/>
        <v>2.7263426119628731</v>
      </c>
      <c r="BB89" s="17">
        <f t="shared" si="224"/>
        <v>1.6461321318131938</v>
      </c>
      <c r="BD89" t="str">
        <f t="shared" si="249"/>
        <v>32 Health and social care associate professionals</v>
      </c>
      <c r="BE89" s="17">
        <f t="shared" si="225"/>
        <v>5.0561731232233953</v>
      </c>
      <c r="BF89" s="17">
        <f t="shared" si="225"/>
        <v>-7.5568762703366099</v>
      </c>
      <c r="BG89" s="17">
        <f t="shared" si="225"/>
        <v>0.25699536070535878</v>
      </c>
      <c r="BH89" s="17">
        <f t="shared" si="225"/>
        <v>-1.0676250768037132</v>
      </c>
      <c r="BI89" s="17">
        <f t="shared" si="226"/>
        <v>-1.0759190926969309</v>
      </c>
      <c r="BK89" s="17">
        <f t="shared" si="227"/>
        <v>-0.62804101806754886</v>
      </c>
      <c r="BL89" s="17">
        <f t="shared" si="228"/>
        <v>2.8542975545813309</v>
      </c>
      <c r="BM89" s="17">
        <f t="shared" si="229"/>
        <v>2.4372688896751704</v>
      </c>
      <c r="BO89" t="str">
        <f t="shared" si="250"/>
        <v>32 Health and social care associate professionals</v>
      </c>
      <c r="BP89" s="17">
        <f t="shared" si="230"/>
        <v>3.7705084711747272</v>
      </c>
      <c r="BQ89" s="17">
        <f t="shared" si="230"/>
        <v>-14.743628813090703</v>
      </c>
      <c r="BR89" s="17">
        <f t="shared" si="230"/>
        <v>-1.3661258266472243</v>
      </c>
      <c r="BS89" s="17">
        <f t="shared" si="230"/>
        <v>-4.2490269123089508</v>
      </c>
      <c r="BT89" s="17">
        <f t="shared" si="231"/>
        <v>-4.055942912163502</v>
      </c>
      <c r="BV89" s="17">
        <f t="shared" si="232"/>
        <v>-3.2975461001843009</v>
      </c>
      <c r="BW89" s="17">
        <f t="shared" si="233"/>
        <v>2.1523524157720075</v>
      </c>
      <c r="BX89" s="17">
        <f t="shared" si="234"/>
        <v>-0.12732325344769757</v>
      </c>
      <c r="BZ89" t="str">
        <f t="shared" si="251"/>
        <v>32 Health and social care associate professionals</v>
      </c>
      <c r="CA89" s="17">
        <f t="shared" si="235"/>
        <v>-0.88837234373515539</v>
      </c>
      <c r="CB89" s="17">
        <f t="shared" si="235"/>
        <v>-4.6371579983352511</v>
      </c>
      <c r="CC89" s="17">
        <f t="shared" si="235"/>
        <v>-2.4806331372113077</v>
      </c>
      <c r="CD89" s="17">
        <f t="shared" si="235"/>
        <v>-5.1592633588784187</v>
      </c>
      <c r="CE89" s="17">
        <f t="shared" si="236"/>
        <v>-4.2973593738748317</v>
      </c>
      <c r="CG89" s="17">
        <f t="shared" si="237"/>
        <v>-4.2746631300478182</v>
      </c>
      <c r="CH89" s="17">
        <f t="shared" si="238"/>
        <v>1.7295666849810098</v>
      </c>
      <c r="CI89" s="17">
        <f t="shared" si="239"/>
        <v>-1.3738510746792554</v>
      </c>
      <c r="CK89" t="str">
        <f t="shared" si="252"/>
        <v>32 Health and social care associate professionals</v>
      </c>
      <c r="CL89" s="17">
        <f t="shared" si="240"/>
        <v>2.3036494780039218</v>
      </c>
      <c r="CM89" s="17">
        <f t="shared" si="240"/>
        <v>-25.684583055177047</v>
      </c>
      <c r="CN89" s="17">
        <f t="shared" si="240"/>
        <v>2.647208831754555</v>
      </c>
      <c r="CO89" s="17">
        <f t="shared" si="240"/>
        <v>0.23283301775276488</v>
      </c>
      <c r="CP89" s="17">
        <f t="shared" si="241"/>
        <v>-0.88949965843511114</v>
      </c>
      <c r="CR89" s="17">
        <f t="shared" si="242"/>
        <v>1.0312482087238672</v>
      </c>
      <c r="CS89" s="17">
        <f t="shared" si="243"/>
        <v>2.4212661909287281</v>
      </c>
      <c r="CT89" s="17">
        <f t="shared" si="244"/>
        <v>3.1746563137986072</v>
      </c>
    </row>
    <row r="90" spans="1:98" x14ac:dyDescent="0.2">
      <c r="A90" t="str">
        <f t="shared" si="199"/>
        <v>33 Protective service occupations</v>
      </c>
      <c r="B90" s="17">
        <f t="shared" si="200"/>
        <v>3.6103962453001959</v>
      </c>
      <c r="C90" s="17">
        <f t="shared" si="200"/>
        <v>11.745846485595068</v>
      </c>
      <c r="D90" s="17">
        <f t="shared" si="200"/>
        <v>13.000557618552788</v>
      </c>
      <c r="E90" s="17">
        <f t="shared" si="200"/>
        <v>6.465191947839255</v>
      </c>
      <c r="F90" s="17">
        <f t="shared" si="201"/>
        <v>8.7944951080886966</v>
      </c>
      <c r="H90" s="17">
        <f t="shared" si="202"/>
        <v>8.6005329373770358</v>
      </c>
      <c r="I90" s="17">
        <f t="shared" si="203"/>
        <v>3.8689543587061337</v>
      </c>
      <c r="J90" s="17">
        <f t="shared" si="204"/>
        <v>10.065135137687054</v>
      </c>
      <c r="L90" t="str">
        <f t="shared" si="245"/>
        <v>33 Protective service occupations</v>
      </c>
      <c r="M90" s="17">
        <f t="shared" si="205"/>
        <v>7.6341478428439746</v>
      </c>
      <c r="N90" s="17">
        <f t="shared" si="205"/>
        <v>16.867322016344755</v>
      </c>
      <c r="O90" s="17">
        <f t="shared" si="205"/>
        <v>12.167422346221525</v>
      </c>
      <c r="P90" s="17">
        <f t="shared" si="205"/>
        <v>6.867977900676081</v>
      </c>
      <c r="Q90" s="17">
        <f t="shared" si="206"/>
        <v>9.1048155486796354</v>
      </c>
      <c r="S90" s="17">
        <f t="shared" si="207"/>
        <v>8.6060389613233923</v>
      </c>
      <c r="T90" s="17">
        <f t="shared" si="208"/>
        <v>3.6923058364523698</v>
      </c>
      <c r="U90" s="17">
        <f t="shared" si="209"/>
        <v>9.9917977818020365</v>
      </c>
      <c r="W90" t="str">
        <f t="shared" si="246"/>
        <v>33 Protective service occupations</v>
      </c>
      <c r="X90" s="17">
        <f t="shared" si="210"/>
        <v>3.2542585771498045</v>
      </c>
      <c r="Y90" s="17">
        <f t="shared" si="210"/>
        <v>12.455458282232467</v>
      </c>
      <c r="Z90" s="17">
        <f t="shared" si="210"/>
        <v>4.2114230412528597</v>
      </c>
      <c r="AA90" s="17">
        <f t="shared" si="210"/>
        <v>1.6688154123877919</v>
      </c>
      <c r="AB90" s="17">
        <f t="shared" si="211"/>
        <v>3.1043943240802729</v>
      </c>
      <c r="AD90" s="17">
        <f t="shared" si="212"/>
        <v>2.5093825800305058</v>
      </c>
      <c r="AE90" s="17">
        <f t="shared" si="213"/>
        <v>2.9192456928204713</v>
      </c>
      <c r="AF90" s="17">
        <f t="shared" si="214"/>
        <v>4.6945380885134558</v>
      </c>
      <c r="AH90" t="str">
        <f t="shared" si="247"/>
        <v>33 Protective service occupations</v>
      </c>
      <c r="AI90" s="17">
        <f t="shared" si="215"/>
        <v>2.5790250030080619</v>
      </c>
      <c r="AJ90" s="17">
        <f t="shared" si="215"/>
        <v>15.324648016943044</v>
      </c>
      <c r="AK90" s="17">
        <f t="shared" si="215"/>
        <v>4.1818788976663912</v>
      </c>
      <c r="AL90" s="17">
        <f t="shared" si="215"/>
        <v>1.9979952741153273</v>
      </c>
      <c r="AM90" s="17">
        <f t="shared" si="216"/>
        <v>3.4665490287721035</v>
      </c>
      <c r="AO90" s="17">
        <f t="shared" si="217"/>
        <v>2.7208219437379277</v>
      </c>
      <c r="AP90" s="17">
        <f t="shared" si="218"/>
        <v>2.7146721035466115</v>
      </c>
      <c r="AQ90" s="17">
        <f t="shared" si="219"/>
        <v>4.6954138062973216</v>
      </c>
      <c r="AS90" t="str">
        <f t="shared" si="248"/>
        <v>33 Protective service occupations</v>
      </c>
      <c r="AT90" s="17">
        <f t="shared" si="220"/>
        <v>-1.9535263858135643</v>
      </c>
      <c r="AU90" s="17">
        <f t="shared" si="220"/>
        <v>9.692586398709647</v>
      </c>
      <c r="AV90" s="17">
        <f t="shared" si="220"/>
        <v>-1.5831356576956335E-2</v>
      </c>
      <c r="AW90" s="17">
        <f t="shared" si="220"/>
        <v>-0.94939811552300357</v>
      </c>
      <c r="AX90" s="17">
        <f t="shared" si="221"/>
        <v>-2.2956083864100751E-2</v>
      </c>
      <c r="AZ90" s="17">
        <f t="shared" si="222"/>
        <v>-0.63918177595658765</v>
      </c>
      <c r="BA90" s="17">
        <f t="shared" si="223"/>
        <v>2.0374226634287895</v>
      </c>
      <c r="BB90" s="17">
        <f t="shared" si="224"/>
        <v>1.5612144331580202</v>
      </c>
      <c r="BD90" t="str">
        <f t="shared" si="249"/>
        <v>33 Protective service occupations</v>
      </c>
      <c r="BE90" s="17">
        <f t="shared" si="225"/>
        <v>-4.0226732042265345</v>
      </c>
      <c r="BF90" s="17">
        <f t="shared" si="225"/>
        <v>19.954618173952809</v>
      </c>
      <c r="BG90" s="17">
        <f t="shared" si="225"/>
        <v>-2.8450540257340839</v>
      </c>
      <c r="BH90" s="17">
        <f t="shared" si="225"/>
        <v>-4.2526122935860329</v>
      </c>
      <c r="BI90" s="17">
        <f t="shared" si="226"/>
        <v>-2.4503579171253898</v>
      </c>
      <c r="BK90" s="17">
        <f t="shared" si="227"/>
        <v>-3.7857067380929199</v>
      </c>
      <c r="BL90" s="17">
        <f t="shared" si="228"/>
        <v>1.1682280965259917</v>
      </c>
      <c r="BM90" s="17">
        <f t="shared" si="229"/>
        <v>-1.8922913334108227</v>
      </c>
      <c r="BO90" t="str">
        <f t="shared" si="250"/>
        <v>33 Protective service occupations</v>
      </c>
      <c r="BP90" s="17">
        <f t="shared" si="230"/>
        <v>2.7399358549927255</v>
      </c>
      <c r="BQ90" s="17">
        <f t="shared" si="230"/>
        <v>-15.562882805800115</v>
      </c>
      <c r="BR90" s="17">
        <f t="shared" si="230"/>
        <v>0.15012792028235022</v>
      </c>
      <c r="BS90" s="17">
        <f t="shared" si="230"/>
        <v>-7.8043818259911806</v>
      </c>
      <c r="BT90" s="17">
        <f t="shared" si="231"/>
        <v>-5.9073155454458792</v>
      </c>
      <c r="BV90" s="17">
        <f t="shared" si="232"/>
        <v>-5.2256772091286763</v>
      </c>
      <c r="BW90" s="17">
        <f t="shared" si="233"/>
        <v>1.1992627037028303</v>
      </c>
      <c r="BX90" s="17">
        <f t="shared" si="234"/>
        <v>-2.9025745128091418</v>
      </c>
      <c r="BZ90" t="str">
        <f t="shared" si="251"/>
        <v>33 Protective service occupations</v>
      </c>
      <c r="CA90" s="17">
        <f t="shared" si="235"/>
        <v>-2.6079701526171561E-2</v>
      </c>
      <c r="CB90" s="17">
        <f t="shared" si="235"/>
        <v>2.4141372108447801</v>
      </c>
      <c r="CC90" s="17">
        <f t="shared" si="235"/>
        <v>0.55277656012304721</v>
      </c>
      <c r="CD90" s="17">
        <f t="shared" si="235"/>
        <v>-0.86391584471072758</v>
      </c>
      <c r="CE90" s="17">
        <f t="shared" si="236"/>
        <v>-0.22069130164220629</v>
      </c>
      <c r="CG90" s="17">
        <f t="shared" si="237"/>
        <v>-0.3939168055209552</v>
      </c>
      <c r="CH90" s="17">
        <f t="shared" si="238"/>
        <v>2.0063574587254829</v>
      </c>
      <c r="CI90" s="17">
        <f t="shared" si="239"/>
        <v>1.7102212166691055</v>
      </c>
      <c r="CK90" t="str">
        <f t="shared" si="252"/>
        <v>33 Protective service occupations</v>
      </c>
      <c r="CL90" s="17">
        <f t="shared" si="240"/>
        <v>-5.9825091052100881</v>
      </c>
      <c r="CM90" s="17">
        <f t="shared" si="240"/>
        <v>-30.622381276976551</v>
      </c>
      <c r="CN90" s="17">
        <f t="shared" si="240"/>
        <v>-6.7716235089295473</v>
      </c>
      <c r="CO90" s="17">
        <f t="shared" si="240"/>
        <v>-2.8230929968368179</v>
      </c>
      <c r="CP90" s="17">
        <f t="shared" si="241"/>
        <v>-6.0737637878893196</v>
      </c>
      <c r="CR90" s="17">
        <f t="shared" si="242"/>
        <v>-4.1575099495152141</v>
      </c>
      <c r="CS90" s="17">
        <f t="shared" si="243"/>
        <v>0.91000683139308425</v>
      </c>
      <c r="CT90" s="17">
        <f t="shared" si="244"/>
        <v>-2.5915853705363423</v>
      </c>
    </row>
    <row r="91" spans="1:98" x14ac:dyDescent="0.2">
      <c r="A91" t="str">
        <f t="shared" si="199"/>
        <v>34 Culture, media and sports occupations</v>
      </c>
      <c r="B91" s="17">
        <f t="shared" si="200"/>
        <v>6.7252761456189081</v>
      </c>
      <c r="C91" s="17">
        <f t="shared" si="200"/>
        <v>10.300777472670353</v>
      </c>
      <c r="D91" s="17">
        <f t="shared" si="200"/>
        <v>4.7967917594536003</v>
      </c>
      <c r="E91" s="17">
        <f t="shared" si="200"/>
        <v>3.9852181466671688</v>
      </c>
      <c r="F91" s="17">
        <f t="shared" si="201"/>
        <v>4.6229981800737896</v>
      </c>
      <c r="H91" s="17">
        <f t="shared" si="202"/>
        <v>4.2550419322842981</v>
      </c>
      <c r="I91" s="17">
        <f t="shared" si="203"/>
        <v>3.8358467525059226</v>
      </c>
      <c r="J91" s="17">
        <f t="shared" si="204"/>
        <v>6.6510775767221197</v>
      </c>
      <c r="L91" t="str">
        <f t="shared" si="245"/>
        <v>34 Culture, media and sports occupations</v>
      </c>
      <c r="M91" s="17">
        <f t="shared" si="205"/>
        <v>3.8660163643626788</v>
      </c>
      <c r="N91" s="17">
        <f t="shared" si="205"/>
        <v>28.195611966496493</v>
      </c>
      <c r="O91" s="17">
        <f t="shared" si="205"/>
        <v>5.9983793604938995</v>
      </c>
      <c r="P91" s="17">
        <f t="shared" si="205"/>
        <v>4.0917883830070334</v>
      </c>
      <c r="Q91" s="17">
        <f t="shared" si="206"/>
        <v>6.0555435734843455</v>
      </c>
      <c r="S91" s="17">
        <f t="shared" si="207"/>
        <v>4.7234774997430007</v>
      </c>
      <c r="T91" s="17">
        <f t="shared" si="208"/>
        <v>3.8214078519994699</v>
      </c>
      <c r="U91" s="17">
        <f t="shared" si="209"/>
        <v>6.9854469796046592</v>
      </c>
      <c r="W91" t="str">
        <f t="shared" si="246"/>
        <v>34 Culture, media and sports occupations</v>
      </c>
      <c r="X91" s="17">
        <f t="shared" si="210"/>
        <v>-2.523185032395947</v>
      </c>
      <c r="Y91" s="17">
        <f t="shared" si="210"/>
        <v>14.50721213006252</v>
      </c>
      <c r="Z91" s="17">
        <f t="shared" si="210"/>
        <v>-0.92519322651356539</v>
      </c>
      <c r="AA91" s="17">
        <f t="shared" si="210"/>
        <v>-1.0103683860311574</v>
      </c>
      <c r="AB91" s="17">
        <f t="shared" si="211"/>
        <v>-7.8457257055197793E-2</v>
      </c>
      <c r="AD91" s="17">
        <f t="shared" si="212"/>
        <v>-0.98198480547515565</v>
      </c>
      <c r="AE91" s="17">
        <f t="shared" si="213"/>
        <v>2.4677630605833833</v>
      </c>
      <c r="AF91" s="17">
        <f t="shared" si="214"/>
        <v>1.7847518642776894</v>
      </c>
      <c r="AH91" t="str">
        <f t="shared" si="247"/>
        <v>34 Culture, media and sports occupations</v>
      </c>
      <c r="AI91" s="17">
        <f t="shared" si="215"/>
        <v>-7.7845689590816392E-2</v>
      </c>
      <c r="AJ91" s="17">
        <f t="shared" si="215"/>
        <v>15.653586577608136</v>
      </c>
      <c r="AK91" s="17">
        <f t="shared" si="215"/>
        <v>-0.30521278196469215</v>
      </c>
      <c r="AL91" s="17">
        <f t="shared" si="215"/>
        <v>1.0811239689585639</v>
      </c>
      <c r="AM91" s="17">
        <f t="shared" si="216"/>
        <v>1.4965718955730845</v>
      </c>
      <c r="AO91" s="17">
        <f t="shared" si="217"/>
        <v>0.61688283565133339</v>
      </c>
      <c r="AP91" s="17">
        <f t="shared" si="218"/>
        <v>2.7772189017988946</v>
      </c>
      <c r="AQ91" s="17">
        <f t="shared" si="219"/>
        <v>3.2036406504612591</v>
      </c>
      <c r="AS91" t="str">
        <f t="shared" si="248"/>
        <v>34 Culture, media and sports occupations</v>
      </c>
      <c r="AT91" s="17">
        <f t="shared" si="220"/>
        <v>-3.6698140448805816</v>
      </c>
      <c r="AU91" s="17">
        <f t="shared" si="220"/>
        <v>12.356997992695407</v>
      </c>
      <c r="AV91" s="17">
        <f t="shared" si="220"/>
        <v>-2.8313242948704631</v>
      </c>
      <c r="AW91" s="17">
        <f t="shared" si="220"/>
        <v>-1.5219291053084061</v>
      </c>
      <c r="AX91" s="17">
        <f t="shared" si="221"/>
        <v>-1.1215432626133448</v>
      </c>
      <c r="AZ91" s="17">
        <f t="shared" si="222"/>
        <v>-1.9603430445480519</v>
      </c>
      <c r="BA91" s="17">
        <f t="shared" si="223"/>
        <v>2.2129387400236178</v>
      </c>
      <c r="BB91" s="17">
        <f t="shared" si="224"/>
        <v>0.82821677532052274</v>
      </c>
      <c r="BD91" t="str">
        <f t="shared" si="249"/>
        <v>34 Culture, media and sports occupations</v>
      </c>
      <c r="BE91" s="17">
        <f t="shared" si="225"/>
        <v>-5.2788720422112245</v>
      </c>
      <c r="BF91" s="17">
        <f t="shared" si="225"/>
        <v>14.058957931634763</v>
      </c>
      <c r="BG91" s="17">
        <f t="shared" si="225"/>
        <v>-4.6067457075446017</v>
      </c>
      <c r="BH91" s="17">
        <f t="shared" si="225"/>
        <v>-3.6772591227664297</v>
      </c>
      <c r="BI91" s="17">
        <f t="shared" si="226"/>
        <v>-2.9489188695236535</v>
      </c>
      <c r="BK91" s="17">
        <f t="shared" si="227"/>
        <v>-3.9880899479191267</v>
      </c>
      <c r="BL91" s="17">
        <f t="shared" si="228"/>
        <v>1.5145461749805245</v>
      </c>
      <c r="BM91" s="17">
        <f t="shared" si="229"/>
        <v>-1.5093793318866511</v>
      </c>
      <c r="BO91" t="str">
        <f t="shared" si="250"/>
        <v>34 Culture, media and sports occupations</v>
      </c>
      <c r="BP91" s="17">
        <f t="shared" si="230"/>
        <v>-2.8011668753919472</v>
      </c>
      <c r="BQ91" s="17">
        <f t="shared" si="230"/>
        <v>-13.331780921856517</v>
      </c>
      <c r="BR91" s="17">
        <f t="shared" si="230"/>
        <v>-6.2745226842243929</v>
      </c>
      <c r="BS91" s="17">
        <f t="shared" si="230"/>
        <v>-8.5449368109128958</v>
      </c>
      <c r="BT91" s="17">
        <f t="shared" si="231"/>
        <v>-8.1505399942565901</v>
      </c>
      <c r="BV91" s="17">
        <f t="shared" si="232"/>
        <v>-7.7943098069940486</v>
      </c>
      <c r="BW91" s="17">
        <f t="shared" si="233"/>
        <v>1.1357737720025352</v>
      </c>
      <c r="BX91" s="17">
        <f t="shared" si="234"/>
        <v>-4.766734378970372</v>
      </c>
      <c r="BZ91" t="str">
        <f t="shared" si="251"/>
        <v>34 Culture, media and sports occupations</v>
      </c>
      <c r="CA91" s="17">
        <f t="shared" si="235"/>
        <v>-4.3797275391249668</v>
      </c>
      <c r="CB91" s="17">
        <f t="shared" si="235"/>
        <v>0.85791907363095277</v>
      </c>
      <c r="CC91" s="17">
        <f t="shared" si="235"/>
        <v>-4.0741352771401118</v>
      </c>
      <c r="CD91" s="17">
        <f t="shared" si="235"/>
        <v>-4.8324432478395352</v>
      </c>
      <c r="CE91" s="17">
        <f t="shared" si="236"/>
        <v>-4.2492105264837265</v>
      </c>
      <c r="CG91" s="17">
        <f t="shared" si="237"/>
        <v>-4.5803423347269057</v>
      </c>
      <c r="CH91" s="17">
        <f t="shared" si="238"/>
        <v>1.3197700469451901</v>
      </c>
      <c r="CI91" s="17">
        <f t="shared" si="239"/>
        <v>-2.2363197601946716</v>
      </c>
      <c r="CK91" t="str">
        <f t="shared" si="252"/>
        <v>34 Culture, media and sports occupations</v>
      </c>
      <c r="CL91" s="17">
        <f t="shared" si="240"/>
        <v>-0.64599564775658092</v>
      </c>
      <c r="CM91" s="17">
        <f t="shared" si="240"/>
        <v>-31.239905701149684</v>
      </c>
      <c r="CN91" s="17">
        <f t="shared" si="240"/>
        <v>-2.359556870335755</v>
      </c>
      <c r="CO91" s="17">
        <f t="shared" si="240"/>
        <v>-5.0514395659937428</v>
      </c>
      <c r="CP91" s="17">
        <f t="shared" si="241"/>
        <v>-6.1308114538696445</v>
      </c>
      <c r="CR91" s="17">
        <f t="shared" si="242"/>
        <v>-4.1624939642394327</v>
      </c>
      <c r="CS91" s="17">
        <f t="shared" si="243"/>
        <v>1.3286905504218405</v>
      </c>
      <c r="CT91" s="17">
        <f t="shared" si="244"/>
        <v>-1.9219961640953742</v>
      </c>
    </row>
    <row r="92" spans="1:98" x14ac:dyDescent="0.2">
      <c r="A92" t="str">
        <f t="shared" si="199"/>
        <v>35 Business and public service associate professionals</v>
      </c>
      <c r="B92" s="17">
        <f t="shared" si="200"/>
        <v>8.1588608406344854</v>
      </c>
      <c r="C92" s="17">
        <f t="shared" si="200"/>
        <v>7.7530927209390477</v>
      </c>
      <c r="D92" s="17">
        <f t="shared" si="200"/>
        <v>7.07035491485275</v>
      </c>
      <c r="E92" s="17">
        <f t="shared" si="200"/>
        <v>5.1112073708958539</v>
      </c>
      <c r="F92" s="17">
        <f t="shared" si="201"/>
        <v>5.8837070125187907</v>
      </c>
      <c r="H92" s="17">
        <f t="shared" si="202"/>
        <v>5.7602406980212573</v>
      </c>
      <c r="I92" s="17">
        <f t="shared" si="203"/>
        <v>3.92661868476607</v>
      </c>
      <c r="J92" s="17">
        <f t="shared" si="204"/>
        <v>7.8309472720819784</v>
      </c>
      <c r="L92" t="str">
        <f t="shared" si="245"/>
        <v>35 Business and public service associate professionals</v>
      </c>
      <c r="M92" s="17">
        <f t="shared" si="205"/>
        <v>7.3670760722355011</v>
      </c>
      <c r="N92" s="17">
        <f t="shared" si="205"/>
        <v>7.8476969114823936</v>
      </c>
      <c r="O92" s="17">
        <f t="shared" si="205"/>
        <v>5.3878464592202135</v>
      </c>
      <c r="P92" s="17">
        <f t="shared" si="205"/>
        <v>3.8945993290774972</v>
      </c>
      <c r="Q92" s="17">
        <f t="shared" si="206"/>
        <v>4.6028044161060322</v>
      </c>
      <c r="S92" s="17">
        <f t="shared" si="207"/>
        <v>4.3899825652579993</v>
      </c>
      <c r="T92" s="17">
        <f t="shared" si="208"/>
        <v>3.6432777816939543</v>
      </c>
      <c r="U92" s="17">
        <f t="shared" si="209"/>
        <v>6.6193691449873082</v>
      </c>
      <c r="W92" t="str">
        <f t="shared" si="246"/>
        <v>35 Business and public service associate professionals</v>
      </c>
      <c r="X92" s="17">
        <f t="shared" si="210"/>
        <v>0.90273666285223264</v>
      </c>
      <c r="Y92" s="17">
        <f t="shared" si="210"/>
        <v>1.026780493542212</v>
      </c>
      <c r="Z92" s="17">
        <f t="shared" si="210"/>
        <v>-2.4136328881483871</v>
      </c>
      <c r="AA92" s="17">
        <f t="shared" si="210"/>
        <v>-1.8489210328049288</v>
      </c>
      <c r="AB92" s="17">
        <f t="shared" si="211"/>
        <v>-1.8487543903975223</v>
      </c>
      <c r="AD92" s="17">
        <f t="shared" si="212"/>
        <v>-2.0375204837824512</v>
      </c>
      <c r="AE92" s="17">
        <f t="shared" si="213"/>
        <v>2.3997961759574471</v>
      </c>
      <c r="AF92" s="17">
        <f t="shared" si="214"/>
        <v>1.0033342284856195</v>
      </c>
      <c r="AH92" t="str">
        <f t="shared" si="247"/>
        <v>35 Business and public service associate professionals</v>
      </c>
      <c r="AI92" s="17">
        <f t="shared" si="215"/>
        <v>0.80009533958649293</v>
      </c>
      <c r="AJ92" s="17">
        <f t="shared" si="215"/>
        <v>12.473875306670523</v>
      </c>
      <c r="AK92" s="17">
        <f t="shared" si="215"/>
        <v>-2.0647251813443068</v>
      </c>
      <c r="AL92" s="17">
        <f t="shared" si="215"/>
        <v>-0.90769914286882303</v>
      </c>
      <c r="AM92" s="17">
        <f t="shared" si="216"/>
        <v>-0.48600594256794638</v>
      </c>
      <c r="AO92" s="17">
        <f t="shared" si="217"/>
        <v>-1.2948853827056128</v>
      </c>
      <c r="AP92" s="17">
        <f t="shared" si="218"/>
        <v>2.4365457516404065</v>
      </c>
      <c r="AQ92" s="17">
        <f t="shared" si="219"/>
        <v>1.5383131780825288</v>
      </c>
      <c r="AS92" t="str">
        <f t="shared" si="248"/>
        <v>35 Business and public service associate professionals</v>
      </c>
      <c r="AT92" s="17">
        <f t="shared" si="220"/>
        <v>0.70775965718570255</v>
      </c>
      <c r="AU92" s="17">
        <f t="shared" si="220"/>
        <v>6.9917745151863331</v>
      </c>
      <c r="AV92" s="17">
        <f t="shared" si="220"/>
        <v>-2.5373515726680673</v>
      </c>
      <c r="AW92" s="17">
        <f t="shared" si="220"/>
        <v>-1.1834026290018396</v>
      </c>
      <c r="AX92" s="17">
        <f t="shared" si="221"/>
        <v>-1.1185049321937424</v>
      </c>
      <c r="AZ92" s="17">
        <f t="shared" si="222"/>
        <v>-1.636796035793131</v>
      </c>
      <c r="BA92" s="17">
        <f t="shared" si="223"/>
        <v>2.3471606003558465</v>
      </c>
      <c r="BB92" s="17">
        <f t="shared" si="224"/>
        <v>1.2057267941519623</v>
      </c>
      <c r="BD92" t="str">
        <f t="shared" si="249"/>
        <v>35 Business and public service associate professionals</v>
      </c>
      <c r="BE92" s="17">
        <f t="shared" si="225"/>
        <v>-0.92002202391167076</v>
      </c>
      <c r="BF92" s="17">
        <f t="shared" si="225"/>
        <v>-0.37489243959369922</v>
      </c>
      <c r="BG92" s="17">
        <f t="shared" si="225"/>
        <v>-5.1496619007506901</v>
      </c>
      <c r="BH92" s="17">
        <f t="shared" si="225"/>
        <v>-3.4258494521421268</v>
      </c>
      <c r="BI92" s="17">
        <f t="shared" si="226"/>
        <v>-3.781017109167284</v>
      </c>
      <c r="BK92" s="17">
        <f t="shared" si="227"/>
        <v>-4.0039067360999265</v>
      </c>
      <c r="BL92" s="17">
        <f t="shared" si="228"/>
        <v>1.6684111593226136</v>
      </c>
      <c r="BM92" s="17">
        <f t="shared" si="229"/>
        <v>-1.2865243243368574</v>
      </c>
      <c r="BO92" t="str">
        <f t="shared" si="250"/>
        <v>35 Business and public service associate professionals</v>
      </c>
      <c r="BP92" s="17">
        <f t="shared" si="230"/>
        <v>1.2863934727158188</v>
      </c>
      <c r="BQ92" s="17">
        <f t="shared" si="230"/>
        <v>-17.990247848532135</v>
      </c>
      <c r="BR92" s="17">
        <f t="shared" si="230"/>
        <v>-4.5646535536798201</v>
      </c>
      <c r="BS92" s="17">
        <f t="shared" si="230"/>
        <v>-5.3067560751030367</v>
      </c>
      <c r="BT92" s="17">
        <f t="shared" si="231"/>
        <v>-5.9248093142051044</v>
      </c>
      <c r="BV92" s="17">
        <f t="shared" si="232"/>
        <v>-5.0600319681731403</v>
      </c>
      <c r="BW92" s="17">
        <f t="shared" si="233"/>
        <v>1.4157081785250103</v>
      </c>
      <c r="BX92" s="17">
        <f t="shared" si="234"/>
        <v>-2.4089284196233685</v>
      </c>
      <c r="BZ92" t="str">
        <f t="shared" si="251"/>
        <v>35 Business and public service associate professionals</v>
      </c>
      <c r="CA92" s="17">
        <f t="shared" si="235"/>
        <v>-1.7410955989384802</v>
      </c>
      <c r="CB92" s="17">
        <f t="shared" si="235"/>
        <v>-4.5568166868673483</v>
      </c>
      <c r="CC92" s="17">
        <f t="shared" si="235"/>
        <v>-5.1173795612659889</v>
      </c>
      <c r="CD92" s="17">
        <f t="shared" si="235"/>
        <v>-7.2664099554491273</v>
      </c>
      <c r="CE92" s="17">
        <f t="shared" si="236"/>
        <v>-6.4318457657566386</v>
      </c>
      <c r="CG92" s="17">
        <f t="shared" si="237"/>
        <v>-6.5555299022024727</v>
      </c>
      <c r="CH92" s="17">
        <f t="shared" si="238"/>
        <v>1.2142013212349978</v>
      </c>
      <c r="CI92" s="17">
        <f t="shared" si="239"/>
        <v>-3.7903481021081764</v>
      </c>
      <c r="CK92" t="str">
        <f t="shared" si="252"/>
        <v>35 Business and public service associate professionals</v>
      </c>
      <c r="CL92" s="17">
        <f t="shared" si="240"/>
        <v>-1.092160072600723</v>
      </c>
      <c r="CM92" s="17">
        <f t="shared" si="240"/>
        <v>-30.774068187658255</v>
      </c>
      <c r="CN92" s="17">
        <f t="shared" si="240"/>
        <v>-3.6858314355519894</v>
      </c>
      <c r="CO92" s="17">
        <f t="shared" si="240"/>
        <v>-2.3422000800097931</v>
      </c>
      <c r="CP92" s="17">
        <f t="shared" si="241"/>
        <v>-4.8329040469315636</v>
      </c>
      <c r="CR92" s="17">
        <f t="shared" si="242"/>
        <v>-2.7921470935031834</v>
      </c>
      <c r="CS92" s="17">
        <f t="shared" si="243"/>
        <v>1.4157598011038219</v>
      </c>
      <c r="CT92" s="17">
        <f t="shared" si="244"/>
        <v>-0.78376626453778853</v>
      </c>
    </row>
    <row r="93" spans="1:98" x14ac:dyDescent="0.2">
      <c r="A93" t="str">
        <f t="shared" si="199"/>
        <v>41 Administrative occupations</v>
      </c>
      <c r="B93" s="17">
        <f t="shared" si="200"/>
        <v>7.0173857380502636</v>
      </c>
      <c r="C93" s="17">
        <f t="shared" si="200"/>
        <v>17.125932851685132</v>
      </c>
      <c r="D93" s="17">
        <f t="shared" si="200"/>
        <v>7.2793454615371234</v>
      </c>
      <c r="E93" s="17">
        <f t="shared" si="200"/>
        <v>5.8057214287767334</v>
      </c>
      <c r="F93" s="17">
        <f t="shared" si="201"/>
        <v>6.9412664368353028</v>
      </c>
      <c r="H93" s="17">
        <f t="shared" si="202"/>
        <v>6.2946664665547658</v>
      </c>
      <c r="I93" s="17">
        <f t="shared" si="203"/>
        <v>4.4386355703917912</v>
      </c>
      <c r="J93" s="17">
        <f t="shared" si="204"/>
        <v>8.5361301916491819</v>
      </c>
      <c r="L93" t="str">
        <f t="shared" si="245"/>
        <v>41 Administrative occupations</v>
      </c>
      <c r="M93" s="17">
        <f t="shared" si="205"/>
        <v>5.5947299134278428</v>
      </c>
      <c r="N93" s="17">
        <f t="shared" si="205"/>
        <v>17.96552652282195</v>
      </c>
      <c r="O93" s="17">
        <f t="shared" si="205"/>
        <v>6.1537345923168063</v>
      </c>
      <c r="P93" s="17">
        <f t="shared" si="205"/>
        <v>4.8132189240038592</v>
      </c>
      <c r="Q93" s="17">
        <f t="shared" si="206"/>
        <v>6.0106519693545968</v>
      </c>
      <c r="S93" s="17">
        <f t="shared" si="207"/>
        <v>5.2581659439012496</v>
      </c>
      <c r="T93" s="17">
        <f t="shared" si="208"/>
        <v>4.2021275591171081</v>
      </c>
      <c r="U93" s="17">
        <f t="shared" si="209"/>
        <v>7.6254611024932917</v>
      </c>
      <c r="W93" t="str">
        <f t="shared" si="246"/>
        <v>41 Administrative occupations</v>
      </c>
      <c r="X93" s="17">
        <f t="shared" si="210"/>
        <v>0.25229816634981805</v>
      </c>
      <c r="Y93" s="17">
        <f t="shared" si="210"/>
        <v>11.069242471914809</v>
      </c>
      <c r="Z93" s="17">
        <f t="shared" si="210"/>
        <v>-0.86652501998556453</v>
      </c>
      <c r="AA93" s="17">
        <f t="shared" si="210"/>
        <v>-0.60629729538627108</v>
      </c>
      <c r="AB93" s="17">
        <f t="shared" si="211"/>
        <v>4.0894207330888221E-3</v>
      </c>
      <c r="AD93" s="17">
        <f t="shared" si="212"/>
        <v>-0.69311568227599096</v>
      </c>
      <c r="AE93" s="17">
        <f t="shared" si="213"/>
        <v>2.8892308645257048</v>
      </c>
      <c r="AF93" s="17">
        <f t="shared" si="214"/>
        <v>2.4319974614624984</v>
      </c>
      <c r="AH93" t="str">
        <f t="shared" si="247"/>
        <v>41 Administrative occupations</v>
      </c>
      <c r="AI93" s="17">
        <f t="shared" si="215"/>
        <v>3.3984261017705464E-2</v>
      </c>
      <c r="AJ93" s="17">
        <f t="shared" si="215"/>
        <v>13.903993763299205</v>
      </c>
      <c r="AK93" s="17">
        <f t="shared" si="215"/>
        <v>-1.5944514418022471</v>
      </c>
      <c r="AL93" s="17">
        <f t="shared" si="215"/>
        <v>-0.81951194676781469</v>
      </c>
      <c r="AM93" s="17">
        <f t="shared" si="216"/>
        <v>-0.20271969302766424</v>
      </c>
      <c r="AO93" s="17">
        <f t="shared" si="217"/>
        <v>-1.0785008177811473</v>
      </c>
      <c r="AP93" s="17">
        <f t="shared" si="218"/>
        <v>2.889243937534669</v>
      </c>
      <c r="AQ93" s="17">
        <f t="shared" si="219"/>
        <v>2.1847997417971499</v>
      </c>
      <c r="AS93" t="str">
        <f t="shared" si="248"/>
        <v>41 Administrative occupations</v>
      </c>
      <c r="AT93" s="17">
        <f t="shared" si="220"/>
        <v>-0.26620292228610731</v>
      </c>
      <c r="AU93" s="17">
        <f t="shared" si="220"/>
        <v>11.031375168562608</v>
      </c>
      <c r="AV93" s="17">
        <f t="shared" si="220"/>
        <v>-2.2311442821788985</v>
      </c>
      <c r="AW93" s="17">
        <f t="shared" si="220"/>
        <v>-0.86508183242921532</v>
      </c>
      <c r="AX93" s="17">
        <f t="shared" si="221"/>
        <v>-0.59237876349246266</v>
      </c>
      <c r="AZ93" s="17">
        <f t="shared" si="222"/>
        <v>-1.3225437106515137</v>
      </c>
      <c r="BA93" s="17">
        <f t="shared" si="223"/>
        <v>2.7208003911067813</v>
      </c>
      <c r="BB93" s="17">
        <f t="shared" si="224"/>
        <v>1.8412098497259777</v>
      </c>
      <c r="BD93" t="str">
        <f t="shared" si="249"/>
        <v>41 Administrative occupations</v>
      </c>
      <c r="BE93" s="17">
        <f t="shared" si="225"/>
        <v>-0.91675884982037603</v>
      </c>
      <c r="BF93" s="17">
        <f t="shared" si="225"/>
        <v>-4.8362176034907778</v>
      </c>
      <c r="BG93" s="17">
        <f t="shared" si="225"/>
        <v>-3.8625333221912084</v>
      </c>
      <c r="BH93" s="17">
        <f t="shared" si="225"/>
        <v>-5.7414140362475274</v>
      </c>
      <c r="BI93" s="17">
        <f t="shared" si="226"/>
        <v>-5.1015723566608884</v>
      </c>
      <c r="BK93" s="17">
        <f t="shared" si="227"/>
        <v>-5.1192363425837879</v>
      </c>
      <c r="BL93" s="17">
        <f t="shared" si="228"/>
        <v>1.8281273191904646</v>
      </c>
      <c r="BM93" s="17">
        <f t="shared" si="229"/>
        <v>-1.7538123154277718</v>
      </c>
      <c r="BO93" t="str">
        <f t="shared" si="250"/>
        <v>41 Administrative occupations</v>
      </c>
      <c r="BP93" s="17">
        <f t="shared" si="230"/>
        <v>-1.6169094933856654</v>
      </c>
      <c r="BQ93" s="17">
        <f t="shared" si="230"/>
        <v>-13.007348051132405</v>
      </c>
      <c r="BR93" s="17">
        <f t="shared" si="230"/>
        <v>-5.4481991941622621</v>
      </c>
      <c r="BS93" s="17">
        <f t="shared" si="230"/>
        <v>-8.3925976703504759</v>
      </c>
      <c r="BT93" s="17">
        <f t="shared" si="231"/>
        <v>-7.7808574692468486</v>
      </c>
      <c r="BV93" s="17">
        <f t="shared" si="232"/>
        <v>-7.4214629397304277</v>
      </c>
      <c r="BW93" s="17">
        <f t="shared" si="233"/>
        <v>1.3622747582145323</v>
      </c>
      <c r="BX93" s="17">
        <f t="shared" si="234"/>
        <v>-4.030005525644798</v>
      </c>
      <c r="BZ93" t="str">
        <f t="shared" si="251"/>
        <v>41 Administrative occupations</v>
      </c>
      <c r="CA93" s="17">
        <f t="shared" si="235"/>
        <v>-4.9138808459251893</v>
      </c>
      <c r="CB93" s="17">
        <f t="shared" si="235"/>
        <v>-1.1519249152814548</v>
      </c>
      <c r="CC93" s="17">
        <f t="shared" si="235"/>
        <v>-12.725114712437025</v>
      </c>
      <c r="CD93" s="17">
        <f t="shared" si="235"/>
        <v>-13.393536307500542</v>
      </c>
      <c r="CE93" s="17">
        <f t="shared" si="236"/>
        <v>-12.464874891185495</v>
      </c>
      <c r="CG93" s="17">
        <f t="shared" si="237"/>
        <v>-13.17129986655231</v>
      </c>
      <c r="CH93" s="17">
        <f t="shared" si="238"/>
        <v>0.89729844945194426</v>
      </c>
      <c r="CI93" s="17">
        <f t="shared" si="239"/>
        <v>-8.5052342771536171</v>
      </c>
      <c r="CK93" t="str">
        <f t="shared" si="252"/>
        <v>41 Administrative occupations</v>
      </c>
      <c r="CL93" s="17">
        <f t="shared" si="240"/>
        <v>-4.999557796501386</v>
      </c>
      <c r="CM93" s="17">
        <f t="shared" si="240"/>
        <v>-29.88514560886939</v>
      </c>
      <c r="CN93" s="17">
        <f t="shared" si="240"/>
        <v>-6.1831987872733363</v>
      </c>
      <c r="CO93" s="17">
        <f t="shared" si="240"/>
        <v>-5.3913458275040576</v>
      </c>
      <c r="CP93" s="17">
        <f t="shared" si="241"/>
        <v>-7.3900580979000203</v>
      </c>
      <c r="CR93" s="17">
        <f t="shared" si="242"/>
        <v>-5.6560366607814387</v>
      </c>
      <c r="CS93" s="17">
        <f t="shared" si="243"/>
        <v>1.1572367669746342</v>
      </c>
      <c r="CT93" s="17">
        <f t="shared" si="244"/>
        <v>-3.2847734787849525</v>
      </c>
    </row>
    <row r="94" spans="1:98" x14ac:dyDescent="0.2">
      <c r="A94" t="str">
        <f t="shared" si="199"/>
        <v>42 Secretarial and related occupations</v>
      </c>
      <c r="B94" s="17">
        <f t="shared" si="200"/>
        <v>9.4509941050056945</v>
      </c>
      <c r="C94" s="17">
        <f t="shared" si="200"/>
        <v>1.446158086916105</v>
      </c>
      <c r="D94" s="17">
        <f t="shared" si="200"/>
        <v>12.469816309342562</v>
      </c>
      <c r="E94" s="17">
        <f t="shared" si="200"/>
        <v>8.0634613429108946</v>
      </c>
      <c r="F94" s="17">
        <f t="shared" si="201"/>
        <v>8.9902797216618868</v>
      </c>
      <c r="H94" s="17">
        <f t="shared" si="202"/>
        <v>9.5127230900994739</v>
      </c>
      <c r="I94" s="17">
        <f t="shared" si="203"/>
        <v>6.8110445983757151</v>
      </c>
      <c r="J94" s="17">
        <f t="shared" si="204"/>
        <v>12.163922574601216</v>
      </c>
      <c r="L94" t="str">
        <f t="shared" si="245"/>
        <v>42 Secretarial and related occupations</v>
      </c>
      <c r="M94" s="17">
        <f t="shared" si="205"/>
        <v>5.2380792337625159</v>
      </c>
      <c r="N94" s="17">
        <f t="shared" si="205"/>
        <v>9.1669376139807301</v>
      </c>
      <c r="O94" s="17">
        <f t="shared" si="205"/>
        <v>11.494651482077888</v>
      </c>
      <c r="P94" s="17">
        <f t="shared" si="205"/>
        <v>4.1950664719571984</v>
      </c>
      <c r="Q94" s="17">
        <f t="shared" si="206"/>
        <v>6.7338201568407197</v>
      </c>
      <c r="S94" s="17">
        <f t="shared" si="207"/>
        <v>6.5735539996924386</v>
      </c>
      <c r="T94" s="17">
        <f t="shared" si="208"/>
        <v>5.2118567855069076</v>
      </c>
      <c r="U94" s="17">
        <f t="shared" si="209"/>
        <v>9.1947978816967044</v>
      </c>
      <c r="W94" t="str">
        <f t="shared" si="246"/>
        <v>42 Secretarial and related occupations</v>
      </c>
      <c r="X94" s="17">
        <f t="shared" si="210"/>
        <v>4.2137251137019938E-2</v>
      </c>
      <c r="Y94" s="17">
        <f t="shared" si="210"/>
        <v>6.0040828951978265</v>
      </c>
      <c r="Z94" s="17">
        <f t="shared" si="210"/>
        <v>6.4329484466123965</v>
      </c>
      <c r="AA94" s="17">
        <f t="shared" si="210"/>
        <v>1.9975893088265639</v>
      </c>
      <c r="AB94" s="17">
        <f t="shared" si="211"/>
        <v>3.612614689115401</v>
      </c>
      <c r="AD94" s="17">
        <f t="shared" si="212"/>
        <v>3.4551153773590082</v>
      </c>
      <c r="AE94" s="17">
        <f t="shared" si="213"/>
        <v>4.3644374925832841</v>
      </c>
      <c r="AF94" s="17">
        <f t="shared" si="214"/>
        <v>6.4740247946301066</v>
      </c>
      <c r="AH94" t="str">
        <f t="shared" si="247"/>
        <v>42 Secretarial and related occupations</v>
      </c>
      <c r="AI94" s="17">
        <f t="shared" si="215"/>
        <v>-0.26248762716358787</v>
      </c>
      <c r="AJ94" s="17">
        <f t="shared" si="215"/>
        <v>13.190359574092669</v>
      </c>
      <c r="AK94" s="17">
        <f t="shared" si="215"/>
        <v>4.8141331453835923</v>
      </c>
      <c r="AL94" s="17">
        <f t="shared" si="215"/>
        <v>0.6828321675152571</v>
      </c>
      <c r="AM94" s="17">
        <f t="shared" si="216"/>
        <v>2.704963330279897</v>
      </c>
      <c r="AO94" s="17">
        <f t="shared" si="217"/>
        <v>2.0415150246701819</v>
      </c>
      <c r="AP94" s="17">
        <f t="shared" si="218"/>
        <v>3.9138946323774571</v>
      </c>
      <c r="AQ94" s="17">
        <f t="shared" si="219"/>
        <v>5.1792851922174643</v>
      </c>
      <c r="AS94" t="str">
        <f t="shared" si="248"/>
        <v>42 Secretarial and related occupations</v>
      </c>
      <c r="AT94" s="17">
        <f t="shared" si="220"/>
        <v>-2.4481117916386075</v>
      </c>
      <c r="AU94" s="17">
        <f t="shared" si="220"/>
        <v>5.5752927306815359</v>
      </c>
      <c r="AV94" s="17">
        <f t="shared" si="220"/>
        <v>2.9886721336546795</v>
      </c>
      <c r="AW94" s="17">
        <f t="shared" si="220"/>
        <v>-2.6784956682723737</v>
      </c>
      <c r="AX94" s="17">
        <f t="shared" si="221"/>
        <v>-0.43656822091215908</v>
      </c>
      <c r="AZ94" s="17">
        <f t="shared" si="222"/>
        <v>-0.82496514170184998</v>
      </c>
      <c r="BA94" s="17">
        <f t="shared" si="223"/>
        <v>3.2847387555308138</v>
      </c>
      <c r="BB94" s="17">
        <f t="shared" si="224"/>
        <v>2.7718080233118947</v>
      </c>
      <c r="BD94" t="str">
        <f t="shared" si="249"/>
        <v>42 Secretarial and related occupations</v>
      </c>
      <c r="BE94" s="17">
        <f t="shared" si="225"/>
        <v>-2.2937508275267748</v>
      </c>
      <c r="BF94" s="17">
        <f t="shared" si="225"/>
        <v>-18.030425076930147</v>
      </c>
      <c r="BG94" s="17">
        <f t="shared" si="225"/>
        <v>-3.348868677208483</v>
      </c>
      <c r="BH94" s="17">
        <f t="shared" si="225"/>
        <v>-18.205272121046168</v>
      </c>
      <c r="BI94" s="17">
        <f t="shared" si="226"/>
        <v>-13.814584050554423</v>
      </c>
      <c r="BK94" s="17">
        <f t="shared" si="227"/>
        <v>-13.52593891676711</v>
      </c>
      <c r="BL94" s="17">
        <f t="shared" si="228"/>
        <v>1.4902727065867039</v>
      </c>
      <c r="BM94" s="17">
        <f t="shared" si="229"/>
        <v>-6.5585016089735877</v>
      </c>
      <c r="BO94" t="str">
        <f t="shared" si="250"/>
        <v>42 Secretarial and related occupations</v>
      </c>
      <c r="BP94" s="17">
        <f t="shared" si="230"/>
        <v>-5.3448953445627829</v>
      </c>
      <c r="BQ94" s="17">
        <f t="shared" si="230"/>
        <v>-19.885642284525783</v>
      </c>
      <c r="BR94" s="17">
        <f t="shared" si="230"/>
        <v>-9.5689588636206793</v>
      </c>
      <c r="BS94" s="17">
        <f t="shared" si="230"/>
        <v>-21.720506319138067</v>
      </c>
      <c r="BT94" s="17">
        <f t="shared" si="231"/>
        <v>-17.991072824880284</v>
      </c>
      <c r="BV94" s="17">
        <f t="shared" si="232"/>
        <v>-17.863186773463202</v>
      </c>
      <c r="BW94" s="17">
        <f t="shared" si="233"/>
        <v>1.0370913776516</v>
      </c>
      <c r="BX94" s="17">
        <f t="shared" si="234"/>
        <v>-9.6116240762025402</v>
      </c>
      <c r="BZ94" t="str">
        <f t="shared" si="251"/>
        <v>42 Secretarial and related occupations</v>
      </c>
      <c r="CA94" s="17">
        <f t="shared" si="235"/>
        <v>-4.94293963086937</v>
      </c>
      <c r="CB94" s="17">
        <f t="shared" si="235"/>
        <v>-3.5322065269046021</v>
      </c>
      <c r="CC94" s="17">
        <f t="shared" si="235"/>
        <v>-18.082246955623592</v>
      </c>
      <c r="CD94" s="17">
        <f t="shared" si="235"/>
        <v>-18.977577954483714</v>
      </c>
      <c r="CE94" s="17">
        <f t="shared" si="236"/>
        <v>-17.807385584947934</v>
      </c>
      <c r="CG94" s="17">
        <f t="shared" si="237"/>
        <v>-18.680226897044506</v>
      </c>
      <c r="CH94" s="17">
        <f t="shared" si="238"/>
        <v>0.89733513519516528</v>
      </c>
      <c r="CI94" s="17">
        <f t="shared" si="239"/>
        <v>-10.532222901480036</v>
      </c>
      <c r="CK94" t="str">
        <f t="shared" si="252"/>
        <v>42 Secretarial and related occupations</v>
      </c>
      <c r="CL94" s="17">
        <f t="shared" si="240"/>
        <v>-1.5159505479601987</v>
      </c>
      <c r="CM94" s="17">
        <f t="shared" si="240"/>
        <v>-26.560543776624979</v>
      </c>
      <c r="CN94" s="17">
        <f t="shared" si="240"/>
        <v>1.4773939885746934</v>
      </c>
      <c r="CO94" s="17">
        <f t="shared" si="240"/>
        <v>-5.52739844570117</v>
      </c>
      <c r="CP94" s="17">
        <f t="shared" si="241"/>
        <v>-4.9007327483233993</v>
      </c>
      <c r="CR94" s="17">
        <f t="shared" si="242"/>
        <v>-3.2479107495304582</v>
      </c>
      <c r="CS94" s="17">
        <f t="shared" si="243"/>
        <v>2.0221450905668625</v>
      </c>
      <c r="CT94" s="17">
        <f t="shared" si="244"/>
        <v>-0.27411807568963331</v>
      </c>
    </row>
    <row r="95" spans="1:98" x14ac:dyDescent="0.2">
      <c r="A95" t="str">
        <f t="shared" si="199"/>
        <v>51 Skilled agricultural and related trades</v>
      </c>
      <c r="B95" s="17">
        <f t="shared" si="200"/>
        <v>9.1648223188146574</v>
      </c>
      <c r="C95" s="17">
        <f t="shared" si="200"/>
        <v>-14.310996467738024</v>
      </c>
      <c r="D95" s="17">
        <f t="shared" si="200"/>
        <v>7.0879427697939201</v>
      </c>
      <c r="E95" s="17">
        <f t="shared" si="200"/>
        <v>6.0682716855998464</v>
      </c>
      <c r="F95" s="17">
        <f t="shared" si="201"/>
        <v>4.9766430772130832</v>
      </c>
      <c r="H95" s="17">
        <f t="shared" si="202"/>
        <v>6.4070786656046375</v>
      </c>
      <c r="I95" s="17">
        <f t="shared" si="203"/>
        <v>5.8088220310365202</v>
      </c>
      <c r="J95" s="17">
        <f t="shared" si="204"/>
        <v>9.4429088325655783</v>
      </c>
      <c r="L95" t="str">
        <f t="shared" si="245"/>
        <v>51 Skilled agricultural and related trades</v>
      </c>
      <c r="M95" s="17">
        <f t="shared" si="205"/>
        <v>8.2566505668316701</v>
      </c>
      <c r="N95" s="17">
        <f t="shared" si="205"/>
        <v>-11.601595165653622</v>
      </c>
      <c r="O95" s="17">
        <f t="shared" si="205"/>
        <v>7.6411807148095257</v>
      </c>
      <c r="P95" s="17">
        <f t="shared" si="205"/>
        <v>6.1498418407815336</v>
      </c>
      <c r="Q95" s="17">
        <f t="shared" si="206"/>
        <v>5.4012200339514482</v>
      </c>
      <c r="S95" s="17">
        <f t="shared" si="207"/>
        <v>6.6446447591574254</v>
      </c>
      <c r="T95" s="17">
        <f t="shared" si="208"/>
        <v>5.8100537258571228</v>
      </c>
      <c r="U95" s="17">
        <f t="shared" si="209"/>
        <v>9.6047494573501027</v>
      </c>
      <c r="W95" t="str">
        <f t="shared" si="246"/>
        <v>51 Skilled agricultural and related trades</v>
      </c>
      <c r="X95" s="17">
        <f t="shared" si="210"/>
        <v>0.5302335098453792</v>
      </c>
      <c r="Y95" s="17">
        <f t="shared" si="210"/>
        <v>35.943965831291116</v>
      </c>
      <c r="Z95" s="17">
        <f t="shared" si="210"/>
        <v>2.854949715553956</v>
      </c>
      <c r="AA95" s="17">
        <f t="shared" si="210"/>
        <v>3.4523170053048835</v>
      </c>
      <c r="AB95" s="17">
        <f t="shared" si="211"/>
        <v>5.0432157202595196</v>
      </c>
      <c r="AD95" s="17">
        <f t="shared" si="212"/>
        <v>3.2528100752656108</v>
      </c>
      <c r="AE95" s="17">
        <f t="shared" si="213"/>
        <v>4.7683566847910752</v>
      </c>
      <c r="AF95" s="17">
        <f t="shared" si="214"/>
        <v>6.6521470846010455</v>
      </c>
      <c r="AH95" t="str">
        <f t="shared" si="247"/>
        <v>51 Skilled agricultural and related trades</v>
      </c>
      <c r="AI95" s="17">
        <f t="shared" si="215"/>
        <v>2.3064547292935833</v>
      </c>
      <c r="AJ95" s="17">
        <f t="shared" si="215"/>
        <v>1.9184308259738714</v>
      </c>
      <c r="AK95" s="17">
        <f t="shared" si="215"/>
        <v>3.1963599112538654</v>
      </c>
      <c r="AL95" s="17">
        <f t="shared" si="215"/>
        <v>2.2360283419416094</v>
      </c>
      <c r="AM95" s="17">
        <f t="shared" si="216"/>
        <v>2.515231056179057</v>
      </c>
      <c r="AO95" s="17">
        <f t="shared" si="217"/>
        <v>2.5551417671341614</v>
      </c>
      <c r="AP95" s="17">
        <f t="shared" si="218"/>
        <v>4.8390269566387367</v>
      </c>
      <c r="AQ95" s="17">
        <f t="shared" si="219"/>
        <v>6.2753597182634291</v>
      </c>
      <c r="AS95" t="str">
        <f t="shared" si="248"/>
        <v>51 Skilled agricultural and related trades</v>
      </c>
      <c r="AT95" s="17">
        <f t="shared" si="220"/>
        <v>1.199772369533858</v>
      </c>
      <c r="AU95" s="17">
        <f t="shared" si="220"/>
        <v>2.6856020305254358</v>
      </c>
      <c r="AV95" s="17">
        <f t="shared" si="220"/>
        <v>2.4651462487249809</v>
      </c>
      <c r="AW95" s="17">
        <f t="shared" si="220"/>
        <v>3.1521841008467</v>
      </c>
      <c r="AX95" s="17">
        <f t="shared" si="221"/>
        <v>2.9078289374901534</v>
      </c>
      <c r="AZ95" s="17">
        <f t="shared" si="222"/>
        <v>2.9226611529266311</v>
      </c>
      <c r="BA95" s="17">
        <f t="shared" si="223"/>
        <v>4.5428046214056828</v>
      </c>
      <c r="BB95" s="17">
        <f t="shared" si="224"/>
        <v>6.2641468478080053</v>
      </c>
      <c r="BD95" t="str">
        <f t="shared" si="249"/>
        <v>51 Skilled agricultural and related trades</v>
      </c>
      <c r="BE95" s="17">
        <f t="shared" si="225"/>
        <v>-2.1367679521790639</v>
      </c>
      <c r="BF95" s="17">
        <f t="shared" si="225"/>
        <v>-2.3367328259894848</v>
      </c>
      <c r="BG95" s="17">
        <f t="shared" si="225"/>
        <v>-4.9635318252830967</v>
      </c>
      <c r="BH95" s="17">
        <f t="shared" si="225"/>
        <v>-2.5855585326802211</v>
      </c>
      <c r="BI95" s="17">
        <f t="shared" si="226"/>
        <v>-3.3195843958023108</v>
      </c>
      <c r="BK95" s="17">
        <f t="shared" si="227"/>
        <v>-3.3847550437287044</v>
      </c>
      <c r="BL95" s="17">
        <f t="shared" si="228"/>
        <v>2.2701206979178545</v>
      </c>
      <c r="BM95" s="17">
        <f t="shared" si="229"/>
        <v>-2.0456522143852407E-2</v>
      </c>
      <c r="BO95" t="str">
        <f t="shared" si="250"/>
        <v>51 Skilled agricultural and related trades</v>
      </c>
      <c r="BP95" s="17">
        <f t="shared" si="230"/>
        <v>3.3078008531153946</v>
      </c>
      <c r="BQ95" s="17">
        <f t="shared" si="230"/>
        <v>-20.953214697870138</v>
      </c>
      <c r="BR95" s="17">
        <f t="shared" si="230"/>
        <v>1.6741206085509885</v>
      </c>
      <c r="BS95" s="17">
        <f t="shared" si="230"/>
        <v>-0.76987188770344384</v>
      </c>
      <c r="BT95" s="17">
        <f t="shared" si="231"/>
        <v>-1.4235347738291049</v>
      </c>
      <c r="BV95" s="17">
        <f t="shared" si="232"/>
        <v>3.8194049655237983E-2</v>
      </c>
      <c r="BW95" s="17">
        <f t="shared" si="233"/>
        <v>3.0311152981005396</v>
      </c>
      <c r="BX95" s="17">
        <f t="shared" si="234"/>
        <v>3.056283767653234</v>
      </c>
      <c r="BZ95" t="str">
        <f t="shared" si="251"/>
        <v>51 Skilled agricultural and related trades</v>
      </c>
      <c r="CA95" s="17">
        <f t="shared" si="235"/>
        <v>-1.1638119900883592</v>
      </c>
      <c r="CB95" s="17">
        <f t="shared" si="235"/>
        <v>-7.7352923158552356</v>
      </c>
      <c r="CC95" s="17">
        <f t="shared" si="235"/>
        <v>0.71361916478660525</v>
      </c>
      <c r="CD95" s="17">
        <f t="shared" si="235"/>
        <v>2.349279064543941</v>
      </c>
      <c r="CE95" s="17">
        <f t="shared" si="236"/>
        <v>1.1772291061840967</v>
      </c>
      <c r="CG95" s="17">
        <f t="shared" si="237"/>
        <v>1.8011286180449337</v>
      </c>
      <c r="CH95" s="17">
        <f t="shared" si="238"/>
        <v>2.7918515853687431</v>
      </c>
      <c r="CI95" s="17">
        <f t="shared" si="239"/>
        <v>4.0670674555473907</v>
      </c>
      <c r="CK95" t="str">
        <f t="shared" si="252"/>
        <v>51 Skilled agricultural and related trades</v>
      </c>
      <c r="CL95" s="17">
        <f t="shared" si="240"/>
        <v>-6.3733289608184247</v>
      </c>
      <c r="CM95" s="17">
        <f t="shared" si="240"/>
        <v>-37.400119964458732</v>
      </c>
      <c r="CN95" s="17">
        <f t="shared" si="240"/>
        <v>-1.8379422681801372</v>
      </c>
      <c r="CO95" s="17">
        <f t="shared" si="240"/>
        <v>-9.5450861037248202</v>
      </c>
      <c r="CP95" s="17">
        <f t="shared" si="241"/>
        <v>-9.3143983908531069</v>
      </c>
      <c r="CR95" s="17">
        <f t="shared" si="242"/>
        <v>-7.0457336249637343</v>
      </c>
      <c r="CS95" s="17">
        <f t="shared" si="243"/>
        <v>1.5909435946736661</v>
      </c>
      <c r="CT95" s="17">
        <f t="shared" si="244"/>
        <v>-3.3335083854714842</v>
      </c>
    </row>
    <row r="96" spans="1:98" x14ac:dyDescent="0.2">
      <c r="A96" t="str">
        <f t="shared" si="199"/>
        <v>52 Skilled metal, electrical and electronic trades</v>
      </c>
      <c r="B96" s="17">
        <f t="shared" si="200"/>
        <v>9.8137549244299969</v>
      </c>
      <c r="C96" s="17">
        <f t="shared" si="200"/>
        <v>11.540442711489707</v>
      </c>
      <c r="D96" s="17">
        <f t="shared" si="200"/>
        <v>8.050831711334272</v>
      </c>
      <c r="E96" s="17">
        <f t="shared" si="200"/>
        <v>6.453089519635169</v>
      </c>
      <c r="F96" s="17">
        <f t="shared" si="201"/>
        <v>7.2623301569359811</v>
      </c>
      <c r="H96" s="17">
        <f t="shared" si="202"/>
        <v>6.9830277664761464</v>
      </c>
      <c r="I96" s="17">
        <f t="shared" si="203"/>
        <v>4.2276101901163043</v>
      </c>
      <c r="J96" s="17">
        <f t="shared" si="204"/>
        <v>8.9418729826139511</v>
      </c>
      <c r="L96" t="str">
        <f t="shared" si="245"/>
        <v>52 Skilled metal, electrical and electronic trades</v>
      </c>
      <c r="M96" s="17">
        <f t="shared" si="205"/>
        <v>8.860670980286578</v>
      </c>
      <c r="N96" s="17">
        <f t="shared" si="205"/>
        <v>-2.9900727444952424</v>
      </c>
      <c r="O96" s="17">
        <f t="shared" si="205"/>
        <v>12.867681164716792</v>
      </c>
      <c r="P96" s="17">
        <f t="shared" si="205"/>
        <v>6.5371692654797808</v>
      </c>
      <c r="Q96" s="17">
        <f t="shared" si="206"/>
        <v>7.8430675742772182</v>
      </c>
      <c r="S96" s="17">
        <f t="shared" si="207"/>
        <v>8.6068713340224043</v>
      </c>
      <c r="T96" s="17">
        <f t="shared" si="208"/>
        <v>5.0626834206465743</v>
      </c>
      <c r="U96" s="17">
        <f t="shared" si="209"/>
        <v>10.625268980947688</v>
      </c>
      <c r="W96" t="str">
        <f t="shared" si="246"/>
        <v>52 Skilled metal, electrical and electronic trades</v>
      </c>
      <c r="X96" s="17">
        <f t="shared" si="210"/>
        <v>1.9975899851575774</v>
      </c>
      <c r="Y96" s="17">
        <f t="shared" si="210"/>
        <v>-12.982282718712524</v>
      </c>
      <c r="Z96" s="17">
        <f t="shared" si="210"/>
        <v>3.7243342618869635</v>
      </c>
      <c r="AA96" s="17">
        <f t="shared" si="210"/>
        <v>1.8819487703313431</v>
      </c>
      <c r="AB96" s="17">
        <f t="shared" si="211"/>
        <v>1.4492784661491509</v>
      </c>
      <c r="AD96" s="17">
        <f t="shared" si="212"/>
        <v>2.4924121447239544</v>
      </c>
      <c r="AE96" s="17">
        <f t="shared" si="213"/>
        <v>3.3633367259435332</v>
      </c>
      <c r="AF96" s="17">
        <f t="shared" si="214"/>
        <v>5.0343801090021678</v>
      </c>
      <c r="AH96" t="str">
        <f t="shared" si="247"/>
        <v>52 Skilled metal, electrical and electronic trades</v>
      </c>
      <c r="AI96" s="17">
        <f t="shared" si="215"/>
        <v>3.3965949830621955</v>
      </c>
      <c r="AJ96" s="17">
        <f t="shared" si="215"/>
        <v>-3.6764639682924538</v>
      </c>
      <c r="AK96" s="17">
        <f t="shared" si="215"/>
        <v>2.5300191640587499</v>
      </c>
      <c r="AL96" s="17">
        <f t="shared" si="215"/>
        <v>3.1542298930482104</v>
      </c>
      <c r="AM96" s="17">
        <f t="shared" si="216"/>
        <v>2.5188265052215497</v>
      </c>
      <c r="AO96" s="17">
        <f t="shared" si="217"/>
        <v>2.9457385392651636</v>
      </c>
      <c r="AP96" s="17">
        <f t="shared" si="218"/>
        <v>3.2478989442040085</v>
      </c>
      <c r="AQ96" s="17">
        <f t="shared" si="219"/>
        <v>5.2709640124264823</v>
      </c>
      <c r="AS96" t="str">
        <f t="shared" si="248"/>
        <v>52 Skilled metal, electrical and electronic trades</v>
      </c>
      <c r="AT96" s="17">
        <f t="shared" si="220"/>
        <v>1.8611132310507372</v>
      </c>
      <c r="AU96" s="17">
        <f t="shared" si="220"/>
        <v>-8.2348698044963484</v>
      </c>
      <c r="AV96" s="17">
        <f t="shared" si="220"/>
        <v>2.4929994152277812</v>
      </c>
      <c r="AW96" s="17">
        <f t="shared" si="220"/>
        <v>2.7289315744125409</v>
      </c>
      <c r="AX96" s="17">
        <f t="shared" si="221"/>
        <v>1.9335796340854028</v>
      </c>
      <c r="AZ96" s="17">
        <f t="shared" si="222"/>
        <v>2.6502272385223291</v>
      </c>
      <c r="BA96" s="17">
        <f t="shared" si="223"/>
        <v>3.1125074458310253</v>
      </c>
      <c r="BB96" s="17">
        <f t="shared" si="224"/>
        <v>4.950098503363809</v>
      </c>
      <c r="BD96" t="str">
        <f t="shared" si="249"/>
        <v>52 Skilled metal, electrical and electronic trades</v>
      </c>
      <c r="BE96" s="17">
        <f t="shared" si="225"/>
        <v>-2.0995980737158915</v>
      </c>
      <c r="BF96" s="17">
        <f t="shared" si="225"/>
        <v>5.1161087686447226</v>
      </c>
      <c r="BG96" s="17">
        <f t="shared" si="225"/>
        <v>-3.2584989208029436</v>
      </c>
      <c r="BH96" s="17">
        <f t="shared" si="225"/>
        <v>-2.5743037874038421</v>
      </c>
      <c r="BI96" s="17">
        <f t="shared" si="226"/>
        <v>-2.3259298928400618</v>
      </c>
      <c r="BK96" s="17">
        <f t="shared" si="227"/>
        <v>-2.8029048049651895</v>
      </c>
      <c r="BL96" s="17">
        <f t="shared" si="228"/>
        <v>1.5736944558532695</v>
      </c>
      <c r="BM96" s="17">
        <f t="shared" si="229"/>
        <v>-0.57782089872874254</v>
      </c>
      <c r="BO96" t="str">
        <f t="shared" si="250"/>
        <v>52 Skilled metal, electrical and electronic trades</v>
      </c>
      <c r="BP96" s="17">
        <f t="shared" si="230"/>
        <v>4.093669238736819</v>
      </c>
      <c r="BQ96" s="17">
        <f t="shared" si="230"/>
        <v>-27.208744029259748</v>
      </c>
      <c r="BR96" s="17">
        <f t="shared" si="230"/>
        <v>-0.1342238887674152</v>
      </c>
      <c r="BS96" s="17">
        <f t="shared" si="230"/>
        <v>-4.3382616877516211</v>
      </c>
      <c r="BT96" s="17">
        <f t="shared" si="231"/>
        <v>-4.6854764049637616</v>
      </c>
      <c r="BV96" s="17">
        <f t="shared" si="232"/>
        <v>-2.9569570588900085</v>
      </c>
      <c r="BW96" s="17">
        <f t="shared" si="233"/>
        <v>1.6637422091101861</v>
      </c>
      <c r="BX96" s="17">
        <f t="shared" si="234"/>
        <v>-0.56653160643571621</v>
      </c>
      <c r="BZ96" t="str">
        <f t="shared" si="251"/>
        <v>52 Skilled metal, electrical and electronic trades</v>
      </c>
      <c r="CA96" s="17">
        <f t="shared" si="235"/>
        <v>0.56612574517840297</v>
      </c>
      <c r="CB96" s="17">
        <f t="shared" si="235"/>
        <v>-19.033025805035152</v>
      </c>
      <c r="CC96" s="17">
        <f t="shared" si="235"/>
        <v>0.52169964020907234</v>
      </c>
      <c r="CD96" s="17">
        <f t="shared" si="235"/>
        <v>-7.3748468625763453</v>
      </c>
      <c r="CE96" s="17">
        <f t="shared" si="236"/>
        <v>-5.7717715998142456</v>
      </c>
      <c r="CG96" s="17">
        <f t="shared" si="237"/>
        <v>-4.8141117364791208</v>
      </c>
      <c r="CH96" s="17">
        <f t="shared" si="238"/>
        <v>1.5385705858732779</v>
      </c>
      <c r="CI96" s="17">
        <f t="shared" si="239"/>
        <v>-2.036492344683094</v>
      </c>
      <c r="CK96" t="str">
        <f t="shared" si="252"/>
        <v>52 Skilled metal, electrical and electronic trades</v>
      </c>
      <c r="CL96" s="17">
        <f t="shared" si="240"/>
        <v>1.1035434971655711</v>
      </c>
      <c r="CM96" s="17">
        <f t="shared" si="240"/>
        <v>-41.029276598006788</v>
      </c>
      <c r="CN96" s="17">
        <f t="shared" si="240"/>
        <v>-4.9229140453876941E-2</v>
      </c>
      <c r="CO96" s="17">
        <f t="shared" si="240"/>
        <v>-8.4172402686855445</v>
      </c>
      <c r="CP96" s="17">
        <f t="shared" si="241"/>
        <v>-8.4345722368667886</v>
      </c>
      <c r="CR96" s="17">
        <f t="shared" si="242"/>
        <v>-5.7087918926185477</v>
      </c>
      <c r="CS96" s="17">
        <f t="shared" si="243"/>
        <v>1.5407939927357894</v>
      </c>
      <c r="CT96" s="17">
        <f t="shared" si="244"/>
        <v>-2.6165762841127482</v>
      </c>
    </row>
    <row r="97" spans="1:98" x14ac:dyDescent="0.2">
      <c r="A97" t="str">
        <f t="shared" si="199"/>
        <v>53 Skilled construction and building trades</v>
      </c>
      <c r="B97" s="17">
        <f t="shared" si="200"/>
        <v>-3.6297858976314656</v>
      </c>
      <c r="C97" s="17">
        <f t="shared" si="200"/>
        <v>-26.975934985553817</v>
      </c>
      <c r="D97" s="17">
        <f t="shared" si="200"/>
        <v>16.203870205823947</v>
      </c>
      <c r="E97" s="17">
        <f t="shared" si="200"/>
        <v>5.1028702870305809</v>
      </c>
      <c r="F97" s="17">
        <f t="shared" si="201"/>
        <v>6.0125230884122915</v>
      </c>
      <c r="H97" s="17">
        <f t="shared" si="202"/>
        <v>8.6800714296606962</v>
      </c>
      <c r="I97" s="17">
        <f t="shared" si="203"/>
        <v>5.1272520858114179</v>
      </c>
      <c r="J97" s="17">
        <f t="shared" si="204"/>
        <v>10.713105105627353</v>
      </c>
      <c r="L97" t="str">
        <f t="shared" si="245"/>
        <v>53 Skilled construction and building trades</v>
      </c>
      <c r="M97" s="17">
        <f t="shared" si="205"/>
        <v>5.6336423068795272</v>
      </c>
      <c r="N97" s="17">
        <f t="shared" si="205"/>
        <v>-17.365857922157769</v>
      </c>
      <c r="O97" s="17">
        <f t="shared" si="205"/>
        <v>12.212221706557113</v>
      </c>
      <c r="P97" s="17">
        <f t="shared" si="205"/>
        <v>7.4651172983469793</v>
      </c>
      <c r="Q97" s="17">
        <f t="shared" si="206"/>
        <v>7.1524779292163831</v>
      </c>
      <c r="S97" s="17">
        <f t="shared" si="207"/>
        <v>9.0247413624319641</v>
      </c>
      <c r="T97" s="17">
        <f t="shared" si="208"/>
        <v>5.4355347162373002</v>
      </c>
      <c r="U97" s="17">
        <f t="shared" si="209"/>
        <v>11.126454049930089</v>
      </c>
      <c r="W97" t="str">
        <f t="shared" si="246"/>
        <v>53 Skilled construction and building trades</v>
      </c>
      <c r="X97" s="17">
        <f t="shared" si="210"/>
        <v>-1.1291812172900206</v>
      </c>
      <c r="Y97" s="17">
        <f t="shared" si="210"/>
        <v>-12.216895394580064</v>
      </c>
      <c r="Z97" s="17">
        <f t="shared" si="210"/>
        <v>4.1897070556758509</v>
      </c>
      <c r="AA97" s="17">
        <f t="shared" si="210"/>
        <v>1.6409404826477791</v>
      </c>
      <c r="AB97" s="17">
        <f t="shared" si="211"/>
        <v>1.4965687853238263</v>
      </c>
      <c r="AD97" s="17">
        <f t="shared" si="212"/>
        <v>2.483525167305789</v>
      </c>
      <c r="AE97" s="17">
        <f t="shared" si="213"/>
        <v>3.8217503529064389</v>
      </c>
      <c r="AF97" s="17">
        <f t="shared" si="214"/>
        <v>5.396997559746386</v>
      </c>
      <c r="AH97" t="str">
        <f t="shared" si="247"/>
        <v>53 Skilled construction and building trades</v>
      </c>
      <c r="AI97" s="17">
        <f t="shared" si="215"/>
        <v>0.55244798193361255</v>
      </c>
      <c r="AJ97" s="17">
        <f t="shared" si="215"/>
        <v>-17.51985153247163</v>
      </c>
      <c r="AK97" s="17">
        <f t="shared" si="215"/>
        <v>4.1817113071662471</v>
      </c>
      <c r="AL97" s="17">
        <f t="shared" si="215"/>
        <v>2.1224000218803996</v>
      </c>
      <c r="AM97" s="17">
        <f t="shared" si="216"/>
        <v>1.3986825381213652</v>
      </c>
      <c r="AO97" s="17">
        <f t="shared" si="217"/>
        <v>2.8042740918202691</v>
      </c>
      <c r="AP97" s="17">
        <f t="shared" si="218"/>
        <v>4.0423960585940888</v>
      </c>
      <c r="AQ97" s="17">
        <f t="shared" si="219"/>
        <v>5.7894355294168864</v>
      </c>
      <c r="AS97" t="str">
        <f t="shared" si="248"/>
        <v>53 Skilled construction and building trades</v>
      </c>
      <c r="AT97" s="17">
        <f t="shared" si="220"/>
        <v>-3.3616320389756704</v>
      </c>
      <c r="AU97" s="17">
        <f t="shared" si="220"/>
        <v>-9.5192315657226736</v>
      </c>
      <c r="AV97" s="17">
        <f t="shared" si="220"/>
        <v>5.7381839770059617</v>
      </c>
      <c r="AW97" s="17">
        <f t="shared" si="220"/>
        <v>2.1762818994555788</v>
      </c>
      <c r="AX97" s="17">
        <f t="shared" si="221"/>
        <v>2.4946104576706762</v>
      </c>
      <c r="AZ97" s="17">
        <f t="shared" si="222"/>
        <v>3.3500471563586931</v>
      </c>
      <c r="BA97" s="17">
        <f t="shared" si="223"/>
        <v>4.2872855136450561</v>
      </c>
      <c r="BB97" s="17">
        <f t="shared" si="224"/>
        <v>6.3451964014563877</v>
      </c>
      <c r="BD97" t="str">
        <f t="shared" si="249"/>
        <v>53 Skilled construction and building trades</v>
      </c>
      <c r="BE97" s="17">
        <f t="shared" si="225"/>
        <v>-7.6228471499280914</v>
      </c>
      <c r="BF97" s="17">
        <f t="shared" si="225"/>
        <v>-2.7577378801562857</v>
      </c>
      <c r="BG97" s="17">
        <f t="shared" si="225"/>
        <v>-2.1998177137376618</v>
      </c>
      <c r="BH97" s="17">
        <f t="shared" si="225"/>
        <v>-2.4110343770446852</v>
      </c>
      <c r="BI97" s="17">
        <f t="shared" si="226"/>
        <v>-2.3667980250039466</v>
      </c>
      <c r="BK97" s="17">
        <f t="shared" si="227"/>
        <v>-2.3406795557051274</v>
      </c>
      <c r="BL97" s="17">
        <f t="shared" si="228"/>
        <v>1.8556555882036863</v>
      </c>
      <c r="BM97" s="17">
        <f t="shared" si="229"/>
        <v>0.12267723883132575</v>
      </c>
      <c r="BO97" t="str">
        <f t="shared" si="250"/>
        <v>53 Skilled construction and building trades</v>
      </c>
      <c r="BP97" s="17">
        <f t="shared" si="230"/>
        <v>1.145614357712188</v>
      </c>
      <c r="BQ97" s="17">
        <f t="shared" si="230"/>
        <v>-31.028313574998467</v>
      </c>
      <c r="BR97" s="17">
        <f t="shared" si="230"/>
        <v>5.3604970603759572</v>
      </c>
      <c r="BS97" s="17">
        <f t="shared" si="230"/>
        <v>1.0062173117697748</v>
      </c>
      <c r="BT97" s="17">
        <f t="shared" si="231"/>
        <v>-6.4150017677133686E-2</v>
      </c>
      <c r="BV97" s="17">
        <f t="shared" si="232"/>
        <v>2.4372729517294633</v>
      </c>
      <c r="BW97" s="17">
        <f t="shared" si="233"/>
        <v>2.8745459456389399</v>
      </c>
      <c r="BX97" s="17">
        <f t="shared" si="234"/>
        <v>4.6055265195613426</v>
      </c>
      <c r="BZ97" t="str">
        <f t="shared" si="251"/>
        <v>53 Skilled construction and building trades</v>
      </c>
      <c r="CA97" s="17">
        <f t="shared" si="235"/>
        <v>-2.9591598352928461</v>
      </c>
      <c r="CB97" s="17">
        <f t="shared" si="235"/>
        <v>-24.022156694471263</v>
      </c>
      <c r="CC97" s="17">
        <f t="shared" si="235"/>
        <v>4.5540764426047486</v>
      </c>
      <c r="CD97" s="17">
        <f t="shared" si="235"/>
        <v>1.5907289008668668</v>
      </c>
      <c r="CE97" s="17">
        <f t="shared" si="236"/>
        <v>0.66321247802405559</v>
      </c>
      <c r="CG97" s="17">
        <f t="shared" si="237"/>
        <v>2.5690597290888073</v>
      </c>
      <c r="CH97" s="17">
        <f t="shared" si="238"/>
        <v>2.5420167921040404</v>
      </c>
      <c r="CI97" s="17">
        <f t="shared" si="239"/>
        <v>4.4456285793299521</v>
      </c>
      <c r="CK97" t="str">
        <f t="shared" si="252"/>
        <v>53 Skilled construction and building trades</v>
      </c>
      <c r="CL97" s="17">
        <f t="shared" si="240"/>
        <v>-8.5118751038839591</v>
      </c>
      <c r="CM97" s="17">
        <f t="shared" si="240"/>
        <v>-48.689171447924394</v>
      </c>
      <c r="CN97" s="17">
        <f t="shared" si="240"/>
        <v>-4.2932145524746339</v>
      </c>
      <c r="CO97" s="17">
        <f t="shared" si="240"/>
        <v>-17.471269582484005</v>
      </c>
      <c r="CP97" s="17">
        <f t="shared" si="241"/>
        <v>-16.090546058233059</v>
      </c>
      <c r="CR97" s="17">
        <f t="shared" si="242"/>
        <v>-13.293627075716309</v>
      </c>
      <c r="CS97" s="17">
        <f t="shared" si="243"/>
        <v>0.9709260576909573</v>
      </c>
      <c r="CT97" s="17">
        <f t="shared" si="244"/>
        <v>-8.2764029116844444</v>
      </c>
    </row>
    <row r="98" spans="1:98" x14ac:dyDescent="0.2">
      <c r="A98" t="str">
        <f t="shared" si="199"/>
        <v>54 Textiles, printing and other skilled trades</v>
      </c>
      <c r="B98" s="17">
        <f t="shared" si="200"/>
        <v>6.6647486430842395</v>
      </c>
      <c r="C98" s="17">
        <f t="shared" si="200"/>
        <v>10.757294472008727</v>
      </c>
      <c r="D98" s="17">
        <f t="shared" si="200"/>
        <v>8.5478635396892599</v>
      </c>
      <c r="E98" s="17">
        <f t="shared" si="200"/>
        <v>5.5054211071196235</v>
      </c>
      <c r="F98" s="17">
        <f t="shared" si="201"/>
        <v>6.770593219814125</v>
      </c>
      <c r="H98" s="17">
        <f t="shared" si="202"/>
        <v>6.5099735483174603</v>
      </c>
      <c r="I98" s="17">
        <f t="shared" si="203"/>
        <v>4.4615917025728757</v>
      </c>
      <c r="J98" s="17">
        <f t="shared" si="204"/>
        <v>8.7106270497412819</v>
      </c>
      <c r="L98" t="str">
        <f t="shared" si="245"/>
        <v>54 Textiles, printing and other skilled trades</v>
      </c>
      <c r="M98" s="17">
        <f t="shared" si="205"/>
        <v>6.5557414047834772</v>
      </c>
      <c r="N98" s="17">
        <f t="shared" si="205"/>
        <v>9.7206990909647573</v>
      </c>
      <c r="O98" s="17">
        <f t="shared" si="205"/>
        <v>10.906020208981303</v>
      </c>
      <c r="P98" s="17">
        <f t="shared" si="205"/>
        <v>7.9540015117950613</v>
      </c>
      <c r="Q98" s="17">
        <f t="shared" si="206"/>
        <v>8.9784750085004195</v>
      </c>
      <c r="S98" s="17">
        <f t="shared" si="207"/>
        <v>8.92917230081094</v>
      </c>
      <c r="T98" s="17">
        <f t="shared" si="208"/>
        <v>5.1906204841578596</v>
      </c>
      <c r="U98" s="17">
        <f t="shared" si="209"/>
        <v>10.936047160320129</v>
      </c>
      <c r="W98" t="str">
        <f t="shared" si="246"/>
        <v>54 Textiles, printing and other skilled trades</v>
      </c>
      <c r="X98" s="17">
        <f t="shared" si="210"/>
        <v>2.0638370412267903</v>
      </c>
      <c r="Y98" s="17">
        <f t="shared" si="210"/>
        <v>-3.6531138622908021</v>
      </c>
      <c r="Z98" s="17">
        <f t="shared" si="210"/>
        <v>4.314915876603953</v>
      </c>
      <c r="AA98" s="17">
        <f t="shared" si="210"/>
        <v>2.728897987249379</v>
      </c>
      <c r="AB98" s="17">
        <f t="shared" si="211"/>
        <v>2.8089686147950044</v>
      </c>
      <c r="AD98" s="17">
        <f t="shared" si="212"/>
        <v>3.254873013099302</v>
      </c>
      <c r="AE98" s="17">
        <f t="shared" si="213"/>
        <v>3.7522234754728823</v>
      </c>
      <c r="AF98" s="17">
        <f t="shared" si="214"/>
        <v>5.8748165019884002</v>
      </c>
      <c r="AH98" t="str">
        <f t="shared" si="247"/>
        <v>54 Textiles, printing and other skilled trades</v>
      </c>
      <c r="AI98" s="17">
        <f t="shared" si="215"/>
        <v>1.8975256402866458</v>
      </c>
      <c r="AJ98" s="17">
        <f t="shared" si="215"/>
        <v>-0.83288755379720136</v>
      </c>
      <c r="AK98" s="17">
        <f t="shared" si="215"/>
        <v>0.71687801635129667</v>
      </c>
      <c r="AL98" s="17">
        <f t="shared" si="215"/>
        <v>1.2639099042540902</v>
      </c>
      <c r="AM98" s="17">
        <f t="shared" si="216"/>
        <v>0.96052876085279681</v>
      </c>
      <c r="AO98" s="17">
        <f t="shared" si="217"/>
        <v>1.0812366094103965</v>
      </c>
      <c r="AP98" s="17">
        <f t="shared" si="218"/>
        <v>3.1437647710337746</v>
      </c>
      <c r="AQ98" s="17">
        <f t="shared" si="219"/>
        <v>3.8640892692916928</v>
      </c>
      <c r="AS98" t="str">
        <f t="shared" si="248"/>
        <v>54 Textiles, printing and other skilled trades</v>
      </c>
      <c r="AT98" s="17">
        <f t="shared" si="220"/>
        <v>0.44099430224500136</v>
      </c>
      <c r="AU98" s="17">
        <f t="shared" si="220"/>
        <v>0.85562918394410659</v>
      </c>
      <c r="AV98" s="17">
        <f t="shared" si="220"/>
        <v>3.0560842252636888</v>
      </c>
      <c r="AW98" s="17">
        <f t="shared" si="220"/>
        <v>2.1792419118672024</v>
      </c>
      <c r="AX98" s="17">
        <f t="shared" si="221"/>
        <v>2.368995806685148</v>
      </c>
      <c r="AZ98" s="17">
        <f t="shared" si="222"/>
        <v>2.4706905855117034</v>
      </c>
      <c r="BA98" s="17">
        <f t="shared" si="223"/>
        <v>3.4490494061307331</v>
      </c>
      <c r="BB98" s="17">
        <f t="shared" si="224"/>
        <v>5.0876730699181305</v>
      </c>
      <c r="BD98" t="str">
        <f t="shared" si="249"/>
        <v>54 Textiles, printing and other skilled trades</v>
      </c>
      <c r="BE98" s="17">
        <f t="shared" si="225"/>
        <v>-0.48332372202070095</v>
      </c>
      <c r="BF98" s="17">
        <f t="shared" si="225"/>
        <v>-3.8556700514190134</v>
      </c>
      <c r="BG98" s="17">
        <f t="shared" si="225"/>
        <v>0.25984973550514656</v>
      </c>
      <c r="BH98" s="17">
        <f t="shared" si="225"/>
        <v>-0.84353540295344365</v>
      </c>
      <c r="BI98" s="17">
        <f t="shared" si="226"/>
        <v>-0.6916928467278316</v>
      </c>
      <c r="BK98" s="17">
        <f t="shared" si="227"/>
        <v>-0.47709622484637393</v>
      </c>
      <c r="BL98" s="17">
        <f t="shared" si="228"/>
        <v>2.1834772022214954</v>
      </c>
      <c r="BM98" s="17">
        <f t="shared" si="229"/>
        <v>1.8341819879681198</v>
      </c>
      <c r="BO98" t="str">
        <f t="shared" si="250"/>
        <v>54 Textiles, printing and other skilled trades</v>
      </c>
      <c r="BP98" s="17">
        <f t="shared" si="230"/>
        <v>-1.1177478335069546</v>
      </c>
      <c r="BQ98" s="17">
        <f t="shared" si="230"/>
        <v>-23.161955605192119</v>
      </c>
      <c r="BR98" s="17">
        <f t="shared" si="230"/>
        <v>-6.1115300021720724</v>
      </c>
      <c r="BS98" s="17">
        <f t="shared" si="230"/>
        <v>-2.8528229931590432</v>
      </c>
      <c r="BT98" s="17">
        <f t="shared" si="231"/>
        <v>-5.2817388985513913</v>
      </c>
      <c r="BV98" s="17">
        <f t="shared" si="232"/>
        <v>-3.9514357627880026</v>
      </c>
      <c r="BW98" s="17">
        <f t="shared" si="233"/>
        <v>1.5053143611938102</v>
      </c>
      <c r="BX98" s="17">
        <f t="shared" si="234"/>
        <v>-1.4977556933932434</v>
      </c>
      <c r="BZ98" t="str">
        <f t="shared" si="251"/>
        <v>54 Textiles, printing and other skilled trades</v>
      </c>
      <c r="CA98" s="17">
        <f t="shared" si="235"/>
        <v>0.26083974617188144</v>
      </c>
      <c r="CB98" s="17">
        <f t="shared" si="235"/>
        <v>-14.403562163600458</v>
      </c>
      <c r="CC98" s="17">
        <f t="shared" si="235"/>
        <v>1.2701706529469226</v>
      </c>
      <c r="CD98" s="17">
        <f t="shared" si="235"/>
        <v>-1.909724253681</v>
      </c>
      <c r="CE98" s="17">
        <f t="shared" si="236"/>
        <v>-1.7669372951151896</v>
      </c>
      <c r="CG98" s="17">
        <f t="shared" si="237"/>
        <v>-0.86101135004054141</v>
      </c>
      <c r="CH98" s="17">
        <f t="shared" si="238"/>
        <v>1.8231868290133013</v>
      </c>
      <c r="CI98" s="17">
        <f t="shared" si="239"/>
        <v>1.1644208256322619</v>
      </c>
      <c r="CK98" t="str">
        <f t="shared" si="252"/>
        <v>54 Textiles, printing and other skilled trades</v>
      </c>
      <c r="CL98" s="17">
        <f t="shared" si="240"/>
        <v>-3.5166364786800131</v>
      </c>
      <c r="CM98" s="17">
        <f t="shared" si="240"/>
        <v>-39.451675752717897</v>
      </c>
      <c r="CN98" s="17">
        <f t="shared" si="240"/>
        <v>-7.281544079272539</v>
      </c>
      <c r="CO98" s="17">
        <f t="shared" si="240"/>
        <v>-7.7870710164852142</v>
      </c>
      <c r="CP98" s="17">
        <f t="shared" si="241"/>
        <v>-10.026274584711492</v>
      </c>
      <c r="CR98" s="17">
        <f t="shared" si="242"/>
        <v>-7.6188690345900696</v>
      </c>
      <c r="CS98" s="17">
        <f t="shared" si="243"/>
        <v>0.99466573999826835</v>
      </c>
      <c r="CT98" s="17">
        <f t="shared" si="244"/>
        <v>-4.9812728257842886</v>
      </c>
    </row>
    <row r="99" spans="1:98" x14ac:dyDescent="0.2">
      <c r="A99" t="str">
        <f t="shared" si="199"/>
        <v>61 Caring personal service occupations</v>
      </c>
      <c r="B99" s="17">
        <f t="shared" si="200"/>
        <v>5.0287918850665525</v>
      </c>
      <c r="C99" s="17">
        <f t="shared" si="200"/>
        <v>9.285423397035153</v>
      </c>
      <c r="D99" s="17">
        <f t="shared" si="200"/>
        <v>12.210500493904242</v>
      </c>
      <c r="E99" s="17">
        <f t="shared" si="200"/>
        <v>6.9864640207689455</v>
      </c>
      <c r="F99" s="17">
        <f t="shared" si="201"/>
        <v>8.7366952741629191</v>
      </c>
      <c r="H99" s="17">
        <f t="shared" si="202"/>
        <v>8.7002115151615591</v>
      </c>
      <c r="I99" s="17">
        <f t="shared" si="203"/>
        <v>5.41271760754507</v>
      </c>
      <c r="J99" s="17">
        <f t="shared" si="204"/>
        <v>10.868081527526229</v>
      </c>
      <c r="L99" t="str">
        <f t="shared" si="245"/>
        <v>61 Caring personal service occupations</v>
      </c>
      <c r="M99" s="17">
        <f t="shared" si="205"/>
        <v>9.5701906864082744</v>
      </c>
      <c r="N99" s="17">
        <f t="shared" si="205"/>
        <v>6.6847603362331975</v>
      </c>
      <c r="O99" s="17">
        <f t="shared" si="205"/>
        <v>9.7354191436241919</v>
      </c>
      <c r="P99" s="17">
        <f t="shared" si="205"/>
        <v>6.3993033848837477</v>
      </c>
      <c r="Q99" s="17">
        <f t="shared" si="206"/>
        <v>7.4487884323368725</v>
      </c>
      <c r="S99" s="17">
        <f t="shared" si="207"/>
        <v>7.4999177534240014</v>
      </c>
      <c r="T99" s="17">
        <f t="shared" si="208"/>
        <v>5.3053816919843788</v>
      </c>
      <c r="U99" s="17">
        <f t="shared" si="209"/>
        <v>9.9172102484814886</v>
      </c>
      <c r="W99" t="str">
        <f t="shared" si="246"/>
        <v>61 Caring personal service occupations</v>
      </c>
      <c r="X99" s="17">
        <f t="shared" si="210"/>
        <v>2.0824441677977257</v>
      </c>
      <c r="Y99" s="17">
        <f t="shared" si="210"/>
        <v>7.3209571533540796</v>
      </c>
      <c r="Z99" s="17">
        <f t="shared" si="210"/>
        <v>1.4409077134516668</v>
      </c>
      <c r="AA99" s="17">
        <f t="shared" si="210"/>
        <v>0.75263012397299711</v>
      </c>
      <c r="AB99" s="17">
        <f t="shared" si="211"/>
        <v>1.3665418713896482</v>
      </c>
      <c r="AD99" s="17">
        <f t="shared" si="212"/>
        <v>0.98153553057644949</v>
      </c>
      <c r="AE99" s="17">
        <f t="shared" si="213"/>
        <v>3.6576879435625376</v>
      </c>
      <c r="AF99" s="17">
        <f t="shared" si="214"/>
        <v>4.2680362938102068</v>
      </c>
      <c r="AH99" t="str">
        <f t="shared" si="247"/>
        <v>61 Caring personal service occupations</v>
      </c>
      <c r="AI99" s="17">
        <f t="shared" si="215"/>
        <v>-0.40474457069996639</v>
      </c>
      <c r="AJ99" s="17">
        <f t="shared" si="215"/>
        <v>5.8537868542750449</v>
      </c>
      <c r="AK99" s="17">
        <f t="shared" si="215"/>
        <v>-0.82096154385641329</v>
      </c>
      <c r="AL99" s="17">
        <f t="shared" si="215"/>
        <v>-0.90759067797799853</v>
      </c>
      <c r="AM99" s="17">
        <f t="shared" si="216"/>
        <v>-0.47077803891493186</v>
      </c>
      <c r="AO99" s="17">
        <f t="shared" si="217"/>
        <v>-0.87872271067718222</v>
      </c>
      <c r="AP99" s="17">
        <f t="shared" si="218"/>
        <v>3.0445651872449853</v>
      </c>
      <c r="AQ99" s="17">
        <f t="shared" si="219"/>
        <v>2.4802027862452114</v>
      </c>
      <c r="AS99" t="str">
        <f t="shared" si="248"/>
        <v>61 Caring personal service occupations</v>
      </c>
      <c r="AT99" s="17">
        <f t="shared" si="220"/>
        <v>2.1585993967565331</v>
      </c>
      <c r="AU99" s="17">
        <f t="shared" si="220"/>
        <v>6.3582996998961416</v>
      </c>
      <c r="AV99" s="17">
        <f t="shared" si="220"/>
        <v>-0.36254270995255133</v>
      </c>
      <c r="AW99" s="17">
        <f t="shared" si="220"/>
        <v>-7.4886107599569929E-2</v>
      </c>
      <c r="AX99" s="17">
        <f t="shared" si="221"/>
        <v>0.22520259736524828</v>
      </c>
      <c r="AZ99" s="17">
        <f t="shared" si="222"/>
        <v>-0.17086379840839383</v>
      </c>
      <c r="BA99" s="17">
        <f t="shared" si="223"/>
        <v>3.1818670765601409</v>
      </c>
      <c r="BB99" s="17">
        <f t="shared" si="224"/>
        <v>3.0721573129724788</v>
      </c>
      <c r="BD99" t="str">
        <f t="shared" si="249"/>
        <v>61 Caring personal service occupations</v>
      </c>
      <c r="BE99" s="17">
        <f t="shared" si="225"/>
        <v>2.6940356148316358</v>
      </c>
      <c r="BF99" s="17">
        <f t="shared" si="225"/>
        <v>-10.822313553232089</v>
      </c>
      <c r="BG99" s="17">
        <f t="shared" si="225"/>
        <v>1.7432201279273807</v>
      </c>
      <c r="BH99" s="17">
        <f t="shared" si="225"/>
        <v>-0.36510153949228519</v>
      </c>
      <c r="BI99" s="17">
        <f t="shared" si="226"/>
        <v>-0.40359758748658159</v>
      </c>
      <c r="BK99" s="17">
        <f t="shared" si="227"/>
        <v>0.33277280432673084</v>
      </c>
      <c r="BL99" s="17">
        <f t="shared" si="228"/>
        <v>2.911145709009122</v>
      </c>
      <c r="BM99" s="17">
        <f t="shared" si="229"/>
        <v>3.1356244469832983</v>
      </c>
      <c r="BO99" t="str">
        <f t="shared" si="250"/>
        <v>61 Caring personal service occupations</v>
      </c>
      <c r="BP99" s="17">
        <f t="shared" si="230"/>
        <v>0.44591818075012668</v>
      </c>
      <c r="BQ99" s="17">
        <f t="shared" si="230"/>
        <v>-17.351682326654483</v>
      </c>
      <c r="BR99" s="17">
        <f t="shared" si="230"/>
        <v>0.36577111245277294</v>
      </c>
      <c r="BS99" s="17">
        <f t="shared" si="230"/>
        <v>-4.050500332991458</v>
      </c>
      <c r="BT99" s="17">
        <f t="shared" si="231"/>
        <v>-3.5950506827210682</v>
      </c>
      <c r="BV99" s="17">
        <f t="shared" si="232"/>
        <v>-2.6004347973814679</v>
      </c>
      <c r="BW99" s="17">
        <f t="shared" si="233"/>
        <v>2.1571328132401035</v>
      </c>
      <c r="BX99" s="17">
        <f t="shared" si="234"/>
        <v>0.33110388485464437</v>
      </c>
      <c r="BZ99" t="str">
        <f t="shared" si="251"/>
        <v>61 Caring personal service occupations</v>
      </c>
      <c r="CA99" s="17">
        <f t="shared" si="235"/>
        <v>-10.903493936139208</v>
      </c>
      <c r="CB99" s="17">
        <f t="shared" si="235"/>
        <v>-11.46101326471295</v>
      </c>
      <c r="CC99" s="17">
        <f t="shared" si="235"/>
        <v>-4.1137229990739321</v>
      </c>
      <c r="CD99" s="17">
        <f t="shared" si="235"/>
        <v>-0.45036963682221209</v>
      </c>
      <c r="CE99" s="17">
        <f t="shared" si="236"/>
        <v>-2.3281116579060734</v>
      </c>
      <c r="CG99" s="17">
        <f t="shared" si="237"/>
        <v>-1.6867801178245823</v>
      </c>
      <c r="CH99" s="17">
        <f t="shared" si="238"/>
        <v>1.3836895019240014</v>
      </c>
      <c r="CI99" s="17">
        <f t="shared" si="239"/>
        <v>2.4586882791410858E-2</v>
      </c>
      <c r="CK99" t="str">
        <f t="shared" si="252"/>
        <v>61 Caring personal service occupations</v>
      </c>
      <c r="CL99" s="17">
        <f t="shared" si="240"/>
        <v>-4.1196127186277405</v>
      </c>
      <c r="CM99" s="17">
        <f t="shared" si="240"/>
        <v>-33.910071221549487</v>
      </c>
      <c r="CN99" s="17">
        <f t="shared" si="240"/>
        <v>-7.2416117889606557E-2</v>
      </c>
      <c r="CO99" s="17">
        <f t="shared" si="240"/>
        <v>-5.4353517965075149</v>
      </c>
      <c r="CP99" s="17">
        <f t="shared" si="241"/>
        <v>-5.9214433901553338</v>
      </c>
      <c r="CR99" s="17">
        <f t="shared" si="242"/>
        <v>-3.6804740553001314</v>
      </c>
      <c r="CS99" s="17">
        <f t="shared" si="243"/>
        <v>1.3469816239216614</v>
      </c>
      <c r="CT99" s="17">
        <f t="shared" si="244"/>
        <v>-1.5422178988556468</v>
      </c>
    </row>
    <row r="100" spans="1:98" x14ac:dyDescent="0.2">
      <c r="A100" t="str">
        <f t="shared" si="199"/>
        <v>62 Leisure, travel and related personal service occupations</v>
      </c>
      <c r="B100" s="17">
        <f t="shared" si="200"/>
        <v>6.3050802720807209</v>
      </c>
      <c r="C100" s="17">
        <f t="shared" si="200"/>
        <v>23.363329589660786</v>
      </c>
      <c r="D100" s="17">
        <f t="shared" si="200"/>
        <v>9.9087617752953392</v>
      </c>
      <c r="E100" s="17">
        <f t="shared" si="200"/>
        <v>7.1457060219607849</v>
      </c>
      <c r="F100" s="17">
        <f t="shared" si="201"/>
        <v>8.9572066046250463</v>
      </c>
      <c r="H100" s="17">
        <f t="shared" si="202"/>
        <v>8.0589190914408313</v>
      </c>
      <c r="I100" s="17">
        <f t="shared" si="203"/>
        <v>5.0312264678346263</v>
      </c>
      <c r="J100" s="17">
        <f t="shared" si="204"/>
        <v>10.189405598662571</v>
      </c>
      <c r="L100" t="str">
        <f t="shared" si="245"/>
        <v>62 Leisure, travel and related personal service occupations</v>
      </c>
      <c r="M100" s="17">
        <f t="shared" si="205"/>
        <v>7.5519264661631613</v>
      </c>
      <c r="N100" s="17">
        <f t="shared" si="205"/>
        <v>-3.5151523410665741</v>
      </c>
      <c r="O100" s="17">
        <f t="shared" si="205"/>
        <v>8.6194294775606473</v>
      </c>
      <c r="P100" s="17">
        <f t="shared" si="205"/>
        <v>6.6706733843100441</v>
      </c>
      <c r="Q100" s="17">
        <f t="shared" si="206"/>
        <v>6.6050901640217985</v>
      </c>
      <c r="S100" s="17">
        <f t="shared" si="207"/>
        <v>7.316342677377019</v>
      </c>
      <c r="T100" s="17">
        <f t="shared" si="208"/>
        <v>5.0858432829386624</v>
      </c>
      <c r="U100" s="17">
        <f t="shared" si="209"/>
        <v>9.6614851413552536</v>
      </c>
      <c r="W100" t="str">
        <f t="shared" si="246"/>
        <v>62 Leisure, travel and related personal service occupations</v>
      </c>
      <c r="X100" s="17">
        <f t="shared" si="210"/>
        <v>3.0918455356616192</v>
      </c>
      <c r="Y100" s="17">
        <f t="shared" si="210"/>
        <v>-5.0524019164319256</v>
      </c>
      <c r="Z100" s="17">
        <f t="shared" si="210"/>
        <v>3.011275671070579</v>
      </c>
      <c r="AA100" s="17">
        <f t="shared" si="210"/>
        <v>2.5953081589243476</v>
      </c>
      <c r="AB100" s="17">
        <f t="shared" si="211"/>
        <v>2.2289560345667203</v>
      </c>
      <c r="AD100" s="17">
        <f t="shared" si="212"/>
        <v>2.7337770262244598</v>
      </c>
      <c r="AE100" s="17">
        <f t="shared" si="213"/>
        <v>3.836949533048073</v>
      </c>
      <c r="AF100" s="17">
        <f t="shared" si="214"/>
        <v>5.5790428115561674</v>
      </c>
      <c r="AH100" t="str">
        <f t="shared" si="247"/>
        <v>62 Leisure, travel and related personal service occupations</v>
      </c>
      <c r="AI100" s="17">
        <f t="shared" si="215"/>
        <v>5.3798085439139998</v>
      </c>
      <c r="AJ100" s="17">
        <f t="shared" si="215"/>
        <v>3.4906028502195818</v>
      </c>
      <c r="AK100" s="17">
        <f t="shared" si="215"/>
        <v>2.3138022728617536</v>
      </c>
      <c r="AL100" s="17">
        <f t="shared" si="215"/>
        <v>2.4471832143325933</v>
      </c>
      <c r="AM100" s="17">
        <f t="shared" si="216"/>
        <v>2.4703610001937104</v>
      </c>
      <c r="AO100" s="17">
        <f t="shared" si="217"/>
        <v>2.4027035915298978</v>
      </c>
      <c r="AP100" s="17">
        <f t="shared" si="218"/>
        <v>3.8954830428285403</v>
      </c>
      <c r="AQ100" s="17">
        <f t="shared" si="219"/>
        <v>5.4027240407092947</v>
      </c>
      <c r="AS100" t="str">
        <f t="shared" si="248"/>
        <v>62 Leisure, travel and related personal service occupations</v>
      </c>
      <c r="AT100" s="17">
        <f t="shared" si="220"/>
        <v>5.1594735930109437</v>
      </c>
      <c r="AU100" s="17">
        <f t="shared" si="220"/>
        <v>10.449540911408173</v>
      </c>
      <c r="AV100" s="17">
        <f t="shared" si="220"/>
        <v>3.1023305333649054</v>
      </c>
      <c r="AW100" s="17">
        <f t="shared" si="220"/>
        <v>3.2092766395249273</v>
      </c>
      <c r="AX100" s="17">
        <f t="shared" si="221"/>
        <v>3.6139795756621407</v>
      </c>
      <c r="AZ100" s="17">
        <f t="shared" si="222"/>
        <v>3.173615617241432</v>
      </c>
      <c r="BA100" s="17">
        <f t="shared" si="223"/>
        <v>4.0870622850304628</v>
      </c>
      <c r="BB100" s="17">
        <f t="shared" si="224"/>
        <v>6.073243150714136</v>
      </c>
      <c r="BD100" t="str">
        <f t="shared" si="249"/>
        <v>62 Leisure, travel and related personal service occupations</v>
      </c>
      <c r="BE100" s="17">
        <f t="shared" si="225"/>
        <v>1.1322880582512518</v>
      </c>
      <c r="BF100" s="17">
        <f t="shared" si="225"/>
        <v>-13.360176295537784</v>
      </c>
      <c r="BG100" s="17">
        <f t="shared" si="225"/>
        <v>0.12064535888884897</v>
      </c>
      <c r="BH100" s="17">
        <f t="shared" si="225"/>
        <v>-1.7215973648390226</v>
      </c>
      <c r="BI100" s="17">
        <f t="shared" si="226"/>
        <v>-1.9252317049003209</v>
      </c>
      <c r="BK100" s="17">
        <f t="shared" si="227"/>
        <v>-1.1113140025030388</v>
      </c>
      <c r="BL100" s="17">
        <f t="shared" si="228"/>
        <v>2.3389289442638406</v>
      </c>
      <c r="BM100" s="17">
        <f t="shared" si="229"/>
        <v>1.553745715638577</v>
      </c>
      <c r="BO100" t="str">
        <f t="shared" si="250"/>
        <v>62 Leisure, travel and related personal service occupations</v>
      </c>
      <c r="BP100" s="17">
        <f t="shared" si="230"/>
        <v>2.0401011802183122</v>
      </c>
      <c r="BQ100" s="17">
        <f t="shared" si="230"/>
        <v>-20.105323909182083</v>
      </c>
      <c r="BR100" s="17">
        <f t="shared" si="230"/>
        <v>-1.0864101966228779</v>
      </c>
      <c r="BS100" s="17">
        <f t="shared" si="230"/>
        <v>-3.826158588548112</v>
      </c>
      <c r="BT100" s="17">
        <f t="shared" si="231"/>
        <v>-4.0962794827986482</v>
      </c>
      <c r="BV100" s="17">
        <f t="shared" si="232"/>
        <v>-2.9214464830790599</v>
      </c>
      <c r="BW100" s="17">
        <f t="shared" si="233"/>
        <v>2.0004797565949417</v>
      </c>
      <c r="BX100" s="17">
        <f t="shared" si="234"/>
        <v>-8.7530058202767158E-2</v>
      </c>
      <c r="BZ100" t="str">
        <f t="shared" si="251"/>
        <v>62 Leisure, travel and related personal service occupations</v>
      </c>
      <c r="CA100" s="17">
        <f t="shared" si="235"/>
        <v>0.93723702741523862</v>
      </c>
      <c r="CB100" s="17">
        <f t="shared" si="235"/>
        <v>-8.4948598790707486</v>
      </c>
      <c r="CC100" s="17">
        <f t="shared" si="235"/>
        <v>-0.45536200475612132</v>
      </c>
      <c r="CD100" s="17">
        <f t="shared" si="235"/>
        <v>-1.9525916909637453</v>
      </c>
      <c r="CE100" s="17">
        <f t="shared" si="236"/>
        <v>-1.9114076650706413</v>
      </c>
      <c r="CG100" s="17">
        <f t="shared" si="237"/>
        <v>-1.4560341716861935</v>
      </c>
      <c r="CH100" s="17">
        <f t="shared" si="238"/>
        <v>1.9920710344079717</v>
      </c>
      <c r="CI100" s="17">
        <f t="shared" si="239"/>
        <v>0.9174107266583853</v>
      </c>
      <c r="CK100" t="str">
        <f t="shared" si="252"/>
        <v>62 Leisure, travel and related personal service occupations</v>
      </c>
      <c r="CL100" s="17">
        <f t="shared" si="240"/>
        <v>-1.7268650314639533</v>
      </c>
      <c r="CM100" s="17">
        <f t="shared" si="240"/>
        <v>-32.199223985535298</v>
      </c>
      <c r="CN100" s="17">
        <f t="shared" si="240"/>
        <v>-3.6564715509072254</v>
      </c>
      <c r="CO100" s="17">
        <f t="shared" si="240"/>
        <v>-5.5352859704707713</v>
      </c>
      <c r="CP100" s="17">
        <f t="shared" si="241"/>
        <v>-6.902027800402422</v>
      </c>
      <c r="CR100" s="17">
        <f t="shared" si="242"/>
        <v>-4.9131212033513894</v>
      </c>
      <c r="CS100" s="17">
        <f t="shared" si="243"/>
        <v>1.3235375964060436</v>
      </c>
      <c r="CT100" s="17">
        <f t="shared" si="244"/>
        <v>-2.4650348576108705</v>
      </c>
    </row>
    <row r="101" spans="1:98" x14ac:dyDescent="0.2">
      <c r="A101" t="str">
        <f t="shared" si="199"/>
        <v>63 Community and civil enforcement occupations</v>
      </c>
      <c r="B101" s="17">
        <f t="shared" si="200"/>
        <v>-0.63547770752988564</v>
      </c>
      <c r="C101" s="17">
        <f t="shared" si="200"/>
        <v>37.987039189748948</v>
      </c>
      <c r="D101" s="17">
        <f t="shared" si="200"/>
        <v>5.1656392784678484</v>
      </c>
      <c r="E101" s="17">
        <f t="shared" si="200"/>
        <v>6.7556643618625234</v>
      </c>
      <c r="F101" s="17">
        <f t="shared" si="201"/>
        <v>7.9741531235717256</v>
      </c>
      <c r="H101" s="17">
        <f t="shared" si="202"/>
        <v>6.2230026841782138</v>
      </c>
      <c r="I101" s="17">
        <f t="shared" si="203"/>
        <v>4.5645328192867041</v>
      </c>
      <c r="J101" s="17">
        <f t="shared" si="204"/>
        <v>8.5569258823208436</v>
      </c>
      <c r="L101" t="str">
        <f t="shared" si="245"/>
        <v>63 Community and civil enforcement occupations</v>
      </c>
      <c r="M101" s="17">
        <f t="shared" si="205"/>
        <v>1.980820500550684</v>
      </c>
      <c r="N101" s="17">
        <f t="shared" si="205"/>
        <v>51.412335166695719</v>
      </c>
      <c r="O101" s="17">
        <f t="shared" si="205"/>
        <v>2.9328027842897342</v>
      </c>
      <c r="P101" s="17">
        <f t="shared" si="205"/>
        <v>6.8695093745527513</v>
      </c>
      <c r="Q101" s="17">
        <f t="shared" si="206"/>
        <v>7.9485406124262026</v>
      </c>
      <c r="S101" s="17">
        <f t="shared" si="207"/>
        <v>5.540823024076813</v>
      </c>
      <c r="T101" s="17">
        <f t="shared" si="208"/>
        <v>4.1052092665990969</v>
      </c>
      <c r="U101" s="17">
        <f t="shared" si="209"/>
        <v>7.7737474305579646</v>
      </c>
      <c r="W101" t="str">
        <f t="shared" si="246"/>
        <v>63 Community and civil enforcement occupations</v>
      </c>
      <c r="X101" s="17">
        <f t="shared" si="210"/>
        <v>1.3731342869738095</v>
      </c>
      <c r="Y101" s="17">
        <f t="shared" si="210"/>
        <v>16.80404074239641</v>
      </c>
      <c r="Z101" s="17">
        <f t="shared" si="210"/>
        <v>0.46672188944081316</v>
      </c>
      <c r="AA101" s="17">
        <f t="shared" si="210"/>
        <v>0.93780958736138231</v>
      </c>
      <c r="AB101" s="17">
        <f t="shared" si="211"/>
        <v>1.7142349126959111</v>
      </c>
      <c r="AD101" s="17">
        <f t="shared" si="212"/>
        <v>0.78053542852078994</v>
      </c>
      <c r="AE101" s="17">
        <f t="shared" si="213"/>
        <v>3.6878708903963275</v>
      </c>
      <c r="AF101" s="17">
        <f t="shared" si="214"/>
        <v>4.1686360400457811</v>
      </c>
      <c r="AH101" t="str">
        <f t="shared" si="247"/>
        <v>63 Community and civil enforcement occupations</v>
      </c>
      <c r="AI101" s="17">
        <f t="shared" si="215"/>
        <v>-0.80924912180022623</v>
      </c>
      <c r="AJ101" s="17">
        <f t="shared" si="215"/>
        <v>39.476094828182482</v>
      </c>
      <c r="AK101" s="17">
        <f t="shared" si="215"/>
        <v>-3.5880770737423462</v>
      </c>
      <c r="AL101" s="17">
        <f t="shared" si="215"/>
        <v>0.7881267387354951</v>
      </c>
      <c r="AM101" s="17">
        <f t="shared" si="216"/>
        <v>1.4385312563574448</v>
      </c>
      <c r="AO101" s="17">
        <f t="shared" si="217"/>
        <v>-0.69224504770064588</v>
      </c>
      <c r="AP101" s="17">
        <f t="shared" si="218"/>
        <v>2.9975718360030656</v>
      </c>
      <c r="AQ101" s="17">
        <f t="shared" si="219"/>
        <v>2.5478060294265692</v>
      </c>
      <c r="AS101" t="str">
        <f t="shared" si="248"/>
        <v>63 Community and civil enforcement occupations</v>
      </c>
      <c r="AT101" s="17">
        <f t="shared" si="220"/>
        <v>-3.3211116603439783</v>
      </c>
      <c r="AU101" s="17">
        <f t="shared" si="220"/>
        <v>31.600035485804433</v>
      </c>
      <c r="AV101" s="17">
        <f t="shared" si="220"/>
        <v>-5.7087677772484806</v>
      </c>
      <c r="AW101" s="17">
        <f t="shared" si="220"/>
        <v>-0.67067335673051121</v>
      </c>
      <c r="AX101" s="17">
        <f t="shared" si="221"/>
        <v>-0.53982540235969489</v>
      </c>
      <c r="AZ101" s="17">
        <f t="shared" si="222"/>
        <v>-2.3792594230437558</v>
      </c>
      <c r="BA101" s="17">
        <f t="shared" si="223"/>
        <v>2.6241128013314352</v>
      </c>
      <c r="BB101" s="17">
        <f t="shared" si="224"/>
        <v>1.0617690153075232</v>
      </c>
      <c r="BD101" t="str">
        <f t="shared" si="249"/>
        <v>63 Community and civil enforcement occupations</v>
      </c>
      <c r="BE101" s="17">
        <f t="shared" si="225"/>
        <v>-9.778047268373701</v>
      </c>
      <c r="BF101" s="17">
        <f t="shared" si="225"/>
        <v>58.071686035866101</v>
      </c>
      <c r="BG101" s="17">
        <f t="shared" si="225"/>
        <v>-11.193079285207141</v>
      </c>
      <c r="BH101" s="17">
        <f t="shared" si="225"/>
        <v>-3.2968401274622083</v>
      </c>
      <c r="BI101" s="17">
        <f t="shared" si="226"/>
        <v>-2.9001800044391568</v>
      </c>
      <c r="BK101" s="17">
        <f t="shared" si="227"/>
        <v>-6.0039982326439034</v>
      </c>
      <c r="BL101" s="17">
        <f t="shared" si="228"/>
        <v>1.2195530499953255</v>
      </c>
      <c r="BM101" s="17">
        <f t="shared" si="229"/>
        <v>-3.4080768652893778</v>
      </c>
      <c r="BO101" t="str">
        <f t="shared" si="250"/>
        <v>63 Community and civil enforcement occupations</v>
      </c>
      <c r="BP101" s="17">
        <f t="shared" si="230"/>
        <v>-1.5923598653050375</v>
      </c>
      <c r="BQ101" s="17">
        <f t="shared" si="230"/>
        <v>11.241996393097864</v>
      </c>
      <c r="BR101" s="17">
        <f t="shared" si="230"/>
        <v>-6.2508248432616487</v>
      </c>
      <c r="BS101" s="17">
        <f t="shared" si="230"/>
        <v>-2.6748995652628782</v>
      </c>
      <c r="BT101" s="17">
        <f t="shared" si="231"/>
        <v>-2.9999035651619543</v>
      </c>
      <c r="BV101" s="17">
        <f t="shared" si="232"/>
        <v>-3.8817786913502905</v>
      </c>
      <c r="BW101" s="17">
        <f t="shared" si="233"/>
        <v>1.5277571343840668</v>
      </c>
      <c r="BX101" s="17">
        <f t="shared" si="234"/>
        <v>-1.4148398023489106</v>
      </c>
      <c r="BZ101" t="str">
        <f t="shared" si="251"/>
        <v>63 Community and civil enforcement occupations</v>
      </c>
      <c r="CA101" s="17">
        <f t="shared" si="235"/>
        <v>-2.631257175530044</v>
      </c>
      <c r="CB101" s="17">
        <f t="shared" si="235"/>
        <v>24.209018866273134</v>
      </c>
      <c r="CC101" s="17">
        <f t="shared" si="235"/>
        <v>-3.6577540174408174</v>
      </c>
      <c r="CD101" s="17">
        <f t="shared" si="235"/>
        <v>-1.1678919939092425</v>
      </c>
      <c r="CE101" s="17">
        <f t="shared" si="236"/>
        <v>-0.54225760571217085</v>
      </c>
      <c r="CG101" s="17">
        <f t="shared" si="237"/>
        <v>-2.0049148524849514</v>
      </c>
      <c r="CH101" s="17">
        <f t="shared" si="238"/>
        <v>1.8003356095885215</v>
      </c>
      <c r="CI101" s="17">
        <f t="shared" si="239"/>
        <v>0.29324353052668783</v>
      </c>
      <c r="CK101" t="str">
        <f t="shared" si="252"/>
        <v>63 Community and civil enforcement occupations</v>
      </c>
      <c r="CL101" s="17">
        <f t="shared" si="240"/>
        <v>-10.89590328623753</v>
      </c>
      <c r="CM101" s="17">
        <f t="shared" si="240"/>
        <v>3.3729968276641209E-2</v>
      </c>
      <c r="CN101" s="17">
        <f t="shared" si="240"/>
        <v>-13.546043424477094</v>
      </c>
      <c r="CO101" s="17">
        <f t="shared" si="240"/>
        <v>-8.1536552514701484</v>
      </c>
      <c r="CP101" s="17">
        <f t="shared" si="241"/>
        <v>-9.3916753949450982</v>
      </c>
      <c r="CR101" s="17">
        <f t="shared" si="242"/>
        <v>-9.9874892119878105</v>
      </c>
      <c r="CS101" s="17">
        <f t="shared" si="243"/>
        <v>0.65979934953332986</v>
      </c>
      <c r="CT101" s="17">
        <f t="shared" si="244"/>
        <v>-7.5109493270489551</v>
      </c>
    </row>
    <row r="102" spans="1:98" x14ac:dyDescent="0.2">
      <c r="A102" t="str">
        <f t="shared" si="199"/>
        <v>71 Sales occupations</v>
      </c>
      <c r="B102" s="17">
        <f t="shared" si="200"/>
        <v>4.4519004396892159</v>
      </c>
      <c r="C102" s="17">
        <f t="shared" si="200"/>
        <v>-4.0319658115145707</v>
      </c>
      <c r="D102" s="17">
        <f t="shared" si="200"/>
        <v>7.0236080447330762</v>
      </c>
      <c r="E102" s="17">
        <f t="shared" si="200"/>
        <v>5.716884419015078</v>
      </c>
      <c r="F102" s="17">
        <f t="shared" si="201"/>
        <v>5.4837366765233764</v>
      </c>
      <c r="H102" s="17">
        <f t="shared" si="202"/>
        <v>6.1506765306138078</v>
      </c>
      <c r="I102" s="17">
        <f t="shared" si="203"/>
        <v>3.9179967471632215</v>
      </c>
      <c r="J102" s="17">
        <f t="shared" si="204"/>
        <v>8.1255356354749111</v>
      </c>
      <c r="L102" t="str">
        <f t="shared" si="245"/>
        <v>71 Sales occupations</v>
      </c>
      <c r="M102" s="17">
        <f t="shared" si="205"/>
        <v>5.4855699979262429</v>
      </c>
      <c r="N102" s="17">
        <f t="shared" si="205"/>
        <v>11.767124455337541</v>
      </c>
      <c r="O102" s="17">
        <f t="shared" si="205"/>
        <v>7.7305583333417305</v>
      </c>
      <c r="P102" s="17">
        <f t="shared" si="205"/>
        <v>7.1593982335678374</v>
      </c>
      <c r="Q102" s="17">
        <f t="shared" si="206"/>
        <v>7.6203637863803353</v>
      </c>
      <c r="S102" s="17">
        <f t="shared" si="207"/>
        <v>7.3494476775519457</v>
      </c>
      <c r="T102" s="17">
        <f t="shared" si="208"/>
        <v>4.3204170947508169</v>
      </c>
      <c r="U102" s="17">
        <f t="shared" si="209"/>
        <v>9.2760138945123582</v>
      </c>
      <c r="W102" t="str">
        <f t="shared" si="246"/>
        <v>71 Sales occupations</v>
      </c>
      <c r="X102" s="17">
        <f t="shared" si="210"/>
        <v>-0.55572888420948319</v>
      </c>
      <c r="Y102" s="17">
        <f t="shared" si="210"/>
        <v>7.9486801119960981</v>
      </c>
      <c r="Z102" s="17">
        <f t="shared" si="210"/>
        <v>0.21779449450478605</v>
      </c>
      <c r="AA102" s="17">
        <f t="shared" si="210"/>
        <v>1.0458241644595079</v>
      </c>
      <c r="AB102" s="17">
        <f t="shared" si="211"/>
        <v>1.2034523647090012</v>
      </c>
      <c r="AD102" s="17">
        <f t="shared" si="212"/>
        <v>0.76905689349122675</v>
      </c>
      <c r="AE102" s="17">
        <f t="shared" si="213"/>
        <v>3.0859593164774823</v>
      </c>
      <c r="AF102" s="17">
        <f t="shared" si="214"/>
        <v>3.5982580834715838</v>
      </c>
      <c r="AH102" t="str">
        <f t="shared" si="247"/>
        <v>71 Sales occupations</v>
      </c>
      <c r="AI102" s="17">
        <f t="shared" si="215"/>
        <v>-1.5019413475660381</v>
      </c>
      <c r="AJ102" s="17">
        <f t="shared" si="215"/>
        <v>12.354903231815673</v>
      </c>
      <c r="AK102" s="17">
        <f t="shared" si="215"/>
        <v>-1.167401330166673</v>
      </c>
      <c r="AL102" s="17">
        <f t="shared" si="215"/>
        <v>0.72303174104524359</v>
      </c>
      <c r="AM102" s="17">
        <f t="shared" si="216"/>
        <v>0.81468845894261399</v>
      </c>
      <c r="AO102" s="17">
        <f t="shared" si="217"/>
        <v>8.890344095038305E-2</v>
      </c>
      <c r="AP102" s="17">
        <f t="shared" si="218"/>
        <v>2.9084667812868226</v>
      </c>
      <c r="AQ102" s="17">
        <f t="shared" si="219"/>
        <v>2.9681077997306016</v>
      </c>
      <c r="AS102" t="str">
        <f t="shared" si="248"/>
        <v>71 Sales occupations</v>
      </c>
      <c r="AT102" s="17">
        <f t="shared" si="220"/>
        <v>-2.9801748576225306</v>
      </c>
      <c r="AU102" s="17">
        <f t="shared" si="220"/>
        <v>6.362474573756205</v>
      </c>
      <c r="AV102" s="17">
        <f t="shared" si="220"/>
        <v>-1.4319162154366127</v>
      </c>
      <c r="AW102" s="17">
        <f t="shared" si="220"/>
        <v>0.68201515549684011</v>
      </c>
      <c r="AX102" s="17">
        <f t="shared" si="221"/>
        <v>0.36026796167094588</v>
      </c>
      <c r="AZ102" s="17">
        <f t="shared" si="222"/>
        <v>-2.7618571734855379E-2</v>
      </c>
      <c r="BA102" s="17">
        <f t="shared" si="223"/>
        <v>2.5451266106413017</v>
      </c>
      <c r="BB102" s="17">
        <f t="shared" si="224"/>
        <v>2.525712079690634</v>
      </c>
      <c r="BD102" t="str">
        <f t="shared" si="249"/>
        <v>71 Sales occupations</v>
      </c>
      <c r="BE102" s="17">
        <f t="shared" si="225"/>
        <v>-3.3758397203659141</v>
      </c>
      <c r="BF102" s="17">
        <f t="shared" si="225"/>
        <v>2.9426473261185082</v>
      </c>
      <c r="BG102" s="17">
        <f t="shared" si="225"/>
        <v>-2.8825802286113755</v>
      </c>
      <c r="BH102" s="17">
        <f t="shared" si="225"/>
        <v>-2.2584308761730454</v>
      </c>
      <c r="BI102" s="17">
        <f t="shared" si="226"/>
        <v>-2.1373143625611268</v>
      </c>
      <c r="BK102" s="17">
        <f t="shared" si="227"/>
        <v>-2.4669250866511949</v>
      </c>
      <c r="BL102" s="17">
        <f t="shared" si="228"/>
        <v>2.0253730688003957</v>
      </c>
      <c r="BM102" s="17">
        <f t="shared" si="229"/>
        <v>0.25157788592502506</v>
      </c>
      <c r="BO102" t="str">
        <f t="shared" si="250"/>
        <v>71 Sales occupations</v>
      </c>
      <c r="BP102" s="17">
        <f t="shared" si="230"/>
        <v>-3.505203671761703</v>
      </c>
      <c r="BQ102" s="17">
        <f t="shared" si="230"/>
        <v>-15.336018575750732</v>
      </c>
      <c r="BR102" s="17">
        <f t="shared" si="230"/>
        <v>-3.8555639187712543</v>
      </c>
      <c r="BS102" s="17">
        <f t="shared" si="230"/>
        <v>-4.0191821193128145</v>
      </c>
      <c r="BT102" s="17">
        <f t="shared" si="231"/>
        <v>-4.7181357351790076</v>
      </c>
      <c r="BV102" s="17">
        <f t="shared" si="232"/>
        <v>-3.9646736808638172</v>
      </c>
      <c r="BW102" s="17">
        <f t="shared" si="233"/>
        <v>1.7509386963104001</v>
      </c>
      <c r="BX102" s="17">
        <f t="shared" si="234"/>
        <v>-1.1360914368301667</v>
      </c>
      <c r="BZ102" t="str">
        <f t="shared" si="251"/>
        <v>71 Sales occupations</v>
      </c>
      <c r="CA102" s="17">
        <f t="shared" si="235"/>
        <v>-4.4036127032492489</v>
      </c>
      <c r="CB102" s="17">
        <f t="shared" si="235"/>
        <v>-3.4805007447015646</v>
      </c>
      <c r="CC102" s="17">
        <f t="shared" si="235"/>
        <v>-5.1467852679454973</v>
      </c>
      <c r="CD102" s="17">
        <f t="shared" si="235"/>
        <v>-12.092547454096426</v>
      </c>
      <c r="CE102" s="17">
        <f t="shared" si="236"/>
        <v>-9.4510814935275018</v>
      </c>
      <c r="CG102" s="17">
        <f t="shared" si="237"/>
        <v>-9.8357278071997243</v>
      </c>
      <c r="CH102" s="17">
        <f t="shared" si="238"/>
        <v>1.1800297972937024</v>
      </c>
      <c r="CI102" s="17">
        <f t="shared" si="239"/>
        <v>-5.8633309118556021</v>
      </c>
      <c r="CK102" t="str">
        <f t="shared" si="252"/>
        <v>71 Sales occupations</v>
      </c>
      <c r="CL102" s="17">
        <f t="shared" si="240"/>
        <v>-7.8117335341613581</v>
      </c>
      <c r="CM102" s="17">
        <f t="shared" si="240"/>
        <v>-36.717056054087848</v>
      </c>
      <c r="CN102" s="17">
        <f t="shared" si="240"/>
        <v>-8.253847627618871</v>
      </c>
      <c r="CO102" s="17">
        <f t="shared" si="240"/>
        <v>-12.796644211772247</v>
      </c>
      <c r="CP102" s="17">
        <f t="shared" si="241"/>
        <v>-13.1594886471753</v>
      </c>
      <c r="CR102" s="17">
        <f t="shared" si="242"/>
        <v>-11.307937996700456</v>
      </c>
      <c r="CS102" s="17">
        <f t="shared" si="243"/>
        <v>0.75769955673188338</v>
      </c>
      <c r="CT102" s="17">
        <f t="shared" si="244"/>
        <v>-8.0238748156418733</v>
      </c>
    </row>
    <row r="103" spans="1:98" x14ac:dyDescent="0.2">
      <c r="A103" t="str">
        <f t="shared" si="199"/>
        <v>72 Customer service occupations</v>
      </c>
      <c r="B103" s="17">
        <f t="shared" si="200"/>
        <v>6.5315681712106111</v>
      </c>
      <c r="C103" s="17">
        <f t="shared" si="200"/>
        <v>21.458966039587303</v>
      </c>
      <c r="D103" s="17">
        <f t="shared" si="200"/>
        <v>13.098233280627248</v>
      </c>
      <c r="E103" s="17">
        <f t="shared" si="200"/>
        <v>6.7658593567546887</v>
      </c>
      <c r="F103" s="17">
        <f t="shared" si="201"/>
        <v>9.5852348668886922</v>
      </c>
      <c r="H103" s="17">
        <f t="shared" si="202"/>
        <v>8.8362426667095928</v>
      </c>
      <c r="I103" s="17">
        <f t="shared" si="203"/>
        <v>5.1926839081622767</v>
      </c>
      <c r="J103" s="17">
        <f t="shared" si="204"/>
        <v>10.865168784314537</v>
      </c>
      <c r="L103" t="str">
        <f t="shared" si="245"/>
        <v>72 Customer service occupations</v>
      </c>
      <c r="M103" s="17">
        <f t="shared" si="205"/>
        <v>7.9794308161341032</v>
      </c>
      <c r="N103" s="17">
        <f t="shared" si="205"/>
        <v>14.244407014427374</v>
      </c>
      <c r="O103" s="17">
        <f t="shared" si="205"/>
        <v>12.373296626019382</v>
      </c>
      <c r="P103" s="17">
        <f t="shared" si="205"/>
        <v>5.9366453842820244</v>
      </c>
      <c r="Q103" s="17">
        <f t="shared" si="206"/>
        <v>8.4178510741122601</v>
      </c>
      <c r="S103" s="17">
        <f t="shared" si="207"/>
        <v>8.0401515696336254</v>
      </c>
      <c r="T103" s="17">
        <f t="shared" si="208"/>
        <v>5.0642340175313993</v>
      </c>
      <c r="U103" s="17">
        <f t="shared" si="209"/>
        <v>10.192050605370738</v>
      </c>
      <c r="W103" t="str">
        <f t="shared" si="246"/>
        <v>72 Customer service occupations</v>
      </c>
      <c r="X103" s="17">
        <f t="shared" si="210"/>
        <v>2.1161625228430569</v>
      </c>
      <c r="Y103" s="17">
        <f t="shared" si="210"/>
        <v>11.850792106376918</v>
      </c>
      <c r="Z103" s="17">
        <f t="shared" si="210"/>
        <v>4.57808296001041</v>
      </c>
      <c r="AA103" s="17">
        <f t="shared" si="210"/>
        <v>1.4699217381652696</v>
      </c>
      <c r="AB103" s="17">
        <f t="shared" si="211"/>
        <v>3.0566405705681365</v>
      </c>
      <c r="AD103" s="17">
        <f t="shared" si="212"/>
        <v>2.4955733266093016</v>
      </c>
      <c r="AE103" s="17">
        <f t="shared" si="213"/>
        <v>3.4939831321810777</v>
      </c>
      <c r="AF103" s="17">
        <f t="shared" si="214"/>
        <v>5.1411621666355822</v>
      </c>
      <c r="AH103" t="str">
        <f t="shared" si="247"/>
        <v>72 Customer service occupations</v>
      </c>
      <c r="AI103" s="17">
        <f t="shared" si="215"/>
        <v>3.7140310006108956</v>
      </c>
      <c r="AJ103" s="17">
        <f t="shared" si="215"/>
        <v>17.792514147256377</v>
      </c>
      <c r="AK103" s="17">
        <f t="shared" si="215"/>
        <v>5.444424414002369</v>
      </c>
      <c r="AL103" s="17">
        <f t="shared" si="215"/>
        <v>1.9085757904405476</v>
      </c>
      <c r="AM103" s="17">
        <f t="shared" si="216"/>
        <v>3.937303318605978</v>
      </c>
      <c r="AO103" s="17">
        <f t="shared" si="217"/>
        <v>3.0738176224259561</v>
      </c>
      <c r="AP103" s="17">
        <f t="shared" si="218"/>
        <v>3.8916689748765165</v>
      </c>
      <c r="AQ103" s="17">
        <f t="shared" si="219"/>
        <v>5.854870933851819</v>
      </c>
      <c r="AS103" t="str">
        <f t="shared" si="248"/>
        <v>72 Customer service occupations</v>
      </c>
      <c r="AT103" s="17">
        <f t="shared" si="220"/>
        <v>2.0925186824427566</v>
      </c>
      <c r="AU103" s="17">
        <f t="shared" si="220"/>
        <v>4.154407905217461</v>
      </c>
      <c r="AV103" s="17">
        <f t="shared" si="220"/>
        <v>4.6273923862280242</v>
      </c>
      <c r="AW103" s="17">
        <f t="shared" si="220"/>
        <v>0.51369380697179334</v>
      </c>
      <c r="AX103" s="17">
        <f t="shared" si="221"/>
        <v>2.0081361069604231</v>
      </c>
      <c r="AZ103" s="17">
        <f t="shared" si="222"/>
        <v>1.8666340346068511</v>
      </c>
      <c r="BA103" s="17">
        <f t="shared" si="223"/>
        <v>3.2020167918654918</v>
      </c>
      <c r="BB103" s="17">
        <f t="shared" si="224"/>
        <v>4.4598168555048501</v>
      </c>
      <c r="BD103" t="str">
        <f t="shared" si="249"/>
        <v>72 Customer service occupations</v>
      </c>
      <c r="BE103" s="17">
        <f t="shared" si="225"/>
        <v>1.3099514756279573</v>
      </c>
      <c r="BF103" s="17">
        <f t="shared" si="225"/>
        <v>-2.2994497477581644</v>
      </c>
      <c r="BG103" s="17">
        <f t="shared" si="225"/>
        <v>2.8318764456011225</v>
      </c>
      <c r="BH103" s="17">
        <f t="shared" si="225"/>
        <v>-0.97252306925607046</v>
      </c>
      <c r="BI103" s="17">
        <f t="shared" si="226"/>
        <v>0.11653481567646118</v>
      </c>
      <c r="BK103" s="17">
        <f t="shared" si="227"/>
        <v>0.27970851999796764</v>
      </c>
      <c r="BL103" s="17">
        <f t="shared" si="228"/>
        <v>2.5071551481765653</v>
      </c>
      <c r="BM103" s="17">
        <f t="shared" si="229"/>
        <v>2.7061126011052705</v>
      </c>
      <c r="BO103" t="str">
        <f t="shared" si="250"/>
        <v>72 Customer service occupations</v>
      </c>
      <c r="BP103" s="17">
        <f t="shared" si="230"/>
        <v>2.3235253172614767</v>
      </c>
      <c r="BQ103" s="17">
        <f t="shared" si="230"/>
        <v>-14.434856643774353</v>
      </c>
      <c r="BR103" s="17">
        <f t="shared" si="230"/>
        <v>4.5806115356860966</v>
      </c>
      <c r="BS103" s="17">
        <f t="shared" si="230"/>
        <v>-2.9227756701030727</v>
      </c>
      <c r="BT103" s="17">
        <f t="shared" si="231"/>
        <v>-1.418506833425115</v>
      </c>
      <c r="BV103" s="17">
        <f t="shared" si="232"/>
        <v>-0.48345437680690218</v>
      </c>
      <c r="BW103" s="17">
        <f t="shared" si="233"/>
        <v>2.5688498325798337</v>
      </c>
      <c r="BX103" s="17">
        <f t="shared" si="234"/>
        <v>2.2335670210563707</v>
      </c>
      <c r="BZ103" t="str">
        <f t="shared" si="251"/>
        <v>72 Customer service occupations</v>
      </c>
      <c r="CA103" s="17">
        <f t="shared" si="235"/>
        <v>-2.7963631952679924</v>
      </c>
      <c r="CB103" s="17">
        <f t="shared" si="235"/>
        <v>-0.20594453277017477</v>
      </c>
      <c r="CC103" s="17">
        <f t="shared" si="235"/>
        <v>-2.0702822807183718E-2</v>
      </c>
      <c r="CD103" s="17">
        <f t="shared" si="235"/>
        <v>-2.3456003352103183</v>
      </c>
      <c r="CE103" s="17">
        <f t="shared" si="236"/>
        <v>-1.4915862295666216</v>
      </c>
      <c r="CG103" s="17">
        <f t="shared" si="237"/>
        <v>-1.5767043993288321</v>
      </c>
      <c r="CH103" s="17">
        <f t="shared" si="238"/>
        <v>1.5802453451553067</v>
      </c>
      <c r="CI103" s="17">
        <f t="shared" si="239"/>
        <v>0.34511128679772796</v>
      </c>
      <c r="CK103" t="str">
        <f t="shared" si="252"/>
        <v>72 Customer service occupations</v>
      </c>
      <c r="CL103" s="17">
        <f t="shared" si="240"/>
        <v>1.2191864103936467</v>
      </c>
      <c r="CM103" s="17">
        <f t="shared" si="240"/>
        <v>-27.892889451006976</v>
      </c>
      <c r="CN103" s="17">
        <f t="shared" si="240"/>
        <v>6.8309031069433868</v>
      </c>
      <c r="CO103" s="17">
        <f t="shared" si="240"/>
        <v>-1.1578987521030815</v>
      </c>
      <c r="CP103" s="17">
        <f t="shared" si="241"/>
        <v>-0.70436835249289009</v>
      </c>
      <c r="CR103" s="17">
        <f t="shared" si="242"/>
        <v>1.4363498316651846</v>
      </c>
      <c r="CS103" s="17">
        <f t="shared" si="243"/>
        <v>2.2827871679469203</v>
      </c>
      <c r="CT103" s="17">
        <f t="shared" si="244"/>
        <v>3.3590956343100276</v>
      </c>
    </row>
    <row r="104" spans="1:98" x14ac:dyDescent="0.2">
      <c r="A104" t="str">
        <f t="shared" si="199"/>
        <v>81 Process, plant and machine operatives</v>
      </c>
      <c r="B104" s="17">
        <f t="shared" si="200"/>
        <v>4.8285962067970978</v>
      </c>
      <c r="C104" s="17">
        <f t="shared" si="200"/>
        <v>10.180622940795093</v>
      </c>
      <c r="D104" s="17">
        <f t="shared" si="200"/>
        <v>14.90366625484587</v>
      </c>
      <c r="E104" s="17">
        <f t="shared" si="200"/>
        <v>8.7957739401562929</v>
      </c>
      <c r="F104" s="17">
        <f t="shared" si="201"/>
        <v>10.756298240667149</v>
      </c>
      <c r="H104" s="17">
        <f t="shared" si="202"/>
        <v>10.794783364840876</v>
      </c>
      <c r="I104" s="17">
        <f t="shared" si="203"/>
        <v>5.740688271082961</v>
      </c>
      <c r="J104" s="17">
        <f t="shared" si="204"/>
        <v>12.642198215525969</v>
      </c>
      <c r="L104" t="str">
        <f t="shared" si="245"/>
        <v>81 Process, plant and machine operatives</v>
      </c>
      <c r="M104" s="17">
        <f t="shared" si="205"/>
        <v>9.8791437289657011</v>
      </c>
      <c r="N104" s="17">
        <f t="shared" si="205"/>
        <v>11.914099963792113</v>
      </c>
      <c r="O104" s="17">
        <f t="shared" si="205"/>
        <v>13.885600320242396</v>
      </c>
      <c r="P104" s="17">
        <f t="shared" si="205"/>
        <v>8.4745120510835612</v>
      </c>
      <c r="Q104" s="17">
        <f t="shared" si="206"/>
        <v>10.352358868292754</v>
      </c>
      <c r="S104" s="17">
        <f t="shared" si="207"/>
        <v>10.249021073546372</v>
      </c>
      <c r="T104" s="17">
        <f t="shared" si="208"/>
        <v>5.925291605264138</v>
      </c>
      <c r="U104" s="17">
        <f t="shared" si="209"/>
        <v>12.293500678976322</v>
      </c>
      <c r="W104" t="str">
        <f t="shared" si="246"/>
        <v>81 Process, plant and machine operatives</v>
      </c>
      <c r="X104" s="17">
        <f t="shared" si="210"/>
        <v>-2.4140486733923994</v>
      </c>
      <c r="Y104" s="17">
        <f t="shared" si="210"/>
        <v>4.1441568613705959</v>
      </c>
      <c r="Z104" s="17">
        <f t="shared" si="210"/>
        <v>7.6057821270985038</v>
      </c>
      <c r="AA104" s="17">
        <f t="shared" si="210"/>
        <v>4.7427438001383493</v>
      </c>
      <c r="AB104" s="17">
        <f t="shared" si="211"/>
        <v>5.591333818699562</v>
      </c>
      <c r="AD104" s="17">
        <f t="shared" si="212"/>
        <v>5.6885242281076387</v>
      </c>
      <c r="AE104" s="17">
        <f t="shared" si="213"/>
        <v>4.3171327822985051</v>
      </c>
      <c r="AF104" s="17">
        <f t="shared" si="214"/>
        <v>8.0136130375669588</v>
      </c>
      <c r="AH104" t="str">
        <f t="shared" si="247"/>
        <v>81 Process, plant and machine operatives</v>
      </c>
      <c r="AI104" s="17">
        <f t="shared" si="215"/>
        <v>-1.6956657403474851</v>
      </c>
      <c r="AJ104" s="17">
        <f t="shared" si="215"/>
        <v>15.158945390101874</v>
      </c>
      <c r="AK104" s="17">
        <f t="shared" si="215"/>
        <v>7.5667117947848306</v>
      </c>
      <c r="AL104" s="17">
        <f t="shared" si="215"/>
        <v>4.9748817470450346</v>
      </c>
      <c r="AM104" s="17">
        <f t="shared" si="216"/>
        <v>6.3919619688998841</v>
      </c>
      <c r="AO104" s="17">
        <f t="shared" si="217"/>
        <v>5.8318107941194963</v>
      </c>
      <c r="AP104" s="17">
        <f t="shared" si="218"/>
        <v>4.3075829014339151</v>
      </c>
      <c r="AQ104" s="17">
        <f t="shared" si="219"/>
        <v>8.1137641354620307</v>
      </c>
      <c r="AS104" t="str">
        <f t="shared" si="248"/>
        <v>81 Process, plant and machine operatives</v>
      </c>
      <c r="AT104" s="17">
        <f t="shared" si="220"/>
        <v>0.47327206233025443</v>
      </c>
      <c r="AU104" s="17">
        <f t="shared" si="220"/>
        <v>11.061695521194913</v>
      </c>
      <c r="AV104" s="17">
        <f t="shared" si="220"/>
        <v>6.8960650647661215</v>
      </c>
      <c r="AW104" s="17">
        <f t="shared" si="220"/>
        <v>2.88581823412144</v>
      </c>
      <c r="AX104" s="17">
        <f t="shared" si="221"/>
        <v>4.6213941982394813</v>
      </c>
      <c r="AZ104" s="17">
        <f t="shared" si="222"/>
        <v>4.2055659872864526</v>
      </c>
      <c r="BA104" s="17">
        <f t="shared" si="223"/>
        <v>4.1030791502929542</v>
      </c>
      <c r="BB104" s="17">
        <f t="shared" si="224"/>
        <v>6.8008234255209299</v>
      </c>
      <c r="BD104" t="str">
        <f t="shared" si="249"/>
        <v>81 Process, plant and machine operatives</v>
      </c>
      <c r="BE104" s="17">
        <f t="shared" si="225"/>
        <v>-2.3580517196962858</v>
      </c>
      <c r="BF104" s="17">
        <f t="shared" si="225"/>
        <v>9.1092212885449655</v>
      </c>
      <c r="BG104" s="17">
        <f t="shared" si="225"/>
        <v>1.6898085552684572</v>
      </c>
      <c r="BH104" s="17">
        <f t="shared" si="225"/>
        <v>-0.76442163505550109</v>
      </c>
      <c r="BI104" s="17">
        <f t="shared" si="226"/>
        <v>0.5906619399612012</v>
      </c>
      <c r="BK104" s="17">
        <f t="shared" si="227"/>
        <v>4.7002206961055393E-2</v>
      </c>
      <c r="BL104" s="17">
        <f t="shared" si="228"/>
        <v>2.2541248048206564</v>
      </c>
      <c r="BM104" s="17">
        <f t="shared" si="229"/>
        <v>2.288559160932091</v>
      </c>
      <c r="BO104" t="str">
        <f t="shared" si="250"/>
        <v>81 Process, plant and machine operatives</v>
      </c>
      <c r="BP104" s="17">
        <f t="shared" si="230"/>
        <v>2.7360162402864985</v>
      </c>
      <c r="BQ104" s="17">
        <f t="shared" si="230"/>
        <v>-20.684289013940028</v>
      </c>
      <c r="BR104" s="17">
        <f t="shared" si="230"/>
        <v>5.1943762613462452</v>
      </c>
      <c r="BS104" s="17">
        <f t="shared" si="230"/>
        <v>-1.213035494871173</v>
      </c>
      <c r="BT104" s="17">
        <f t="shared" si="231"/>
        <v>-0.6266592558403894</v>
      </c>
      <c r="BV104" s="17">
        <f t="shared" si="232"/>
        <v>0.87818693357764044</v>
      </c>
      <c r="BW104" s="17">
        <f t="shared" si="233"/>
        <v>2.3826986911024139</v>
      </c>
      <c r="BX104" s="17">
        <f t="shared" si="234"/>
        <v>3.025560990994558</v>
      </c>
      <c r="BZ104" t="str">
        <f t="shared" si="251"/>
        <v>81 Process, plant and machine operatives</v>
      </c>
      <c r="CA104" s="17">
        <f t="shared" si="235"/>
        <v>-1.8648682156237606</v>
      </c>
      <c r="CB104" s="17">
        <f t="shared" si="235"/>
        <v>-10.97578958726373</v>
      </c>
      <c r="CC104" s="17">
        <f t="shared" si="235"/>
        <v>1.4073373399491551</v>
      </c>
      <c r="CD104" s="17">
        <f t="shared" si="235"/>
        <v>-5.3481620301497728</v>
      </c>
      <c r="CE104" s="17">
        <f t="shared" si="236"/>
        <v>-3.6566825611801135</v>
      </c>
      <c r="CG104" s="17">
        <f t="shared" si="237"/>
        <v>-3.1478734265215191</v>
      </c>
      <c r="CH104" s="17">
        <f t="shared" si="238"/>
        <v>1.7047277344724554</v>
      </c>
      <c r="CI104" s="17">
        <f t="shared" si="239"/>
        <v>-0.64483468005420708</v>
      </c>
      <c r="CK104" t="str">
        <f t="shared" si="252"/>
        <v>81 Process, plant and machine operatives</v>
      </c>
      <c r="CL104" s="17">
        <f t="shared" si="240"/>
        <v>-7.1573058729640042</v>
      </c>
      <c r="CM104" s="17">
        <f t="shared" si="240"/>
        <v>-34.949108698150425</v>
      </c>
      <c r="CN104" s="17">
        <f t="shared" si="240"/>
        <v>-3.1613012445711908</v>
      </c>
      <c r="CO104" s="17">
        <f t="shared" si="240"/>
        <v>-7.2418005176226208</v>
      </c>
      <c r="CP104" s="17">
        <f t="shared" si="241"/>
        <v>-8.0474415619859236</v>
      </c>
      <c r="CR104" s="17">
        <f t="shared" si="242"/>
        <v>-5.9011054001821606</v>
      </c>
      <c r="CS104" s="17">
        <f t="shared" si="243"/>
        <v>1.1136957383803381</v>
      </c>
      <c r="CT104" s="17">
        <f t="shared" si="244"/>
        <v>-3.5408771238589876</v>
      </c>
    </row>
    <row r="105" spans="1:98" x14ac:dyDescent="0.2">
      <c r="A105" t="str">
        <f t="shared" si="199"/>
        <v>82 Transport and mobile machine drivers and operatives</v>
      </c>
      <c r="B105" s="17">
        <f t="shared" si="200"/>
        <v>13.47264531978265</v>
      </c>
      <c r="C105" s="17">
        <f t="shared" si="200"/>
        <v>-2.7146002217892984</v>
      </c>
      <c r="D105" s="17">
        <f t="shared" si="200"/>
        <v>14.29444300851932</v>
      </c>
      <c r="E105" s="17">
        <f t="shared" si="200"/>
        <v>7.5186485487754418</v>
      </c>
      <c r="F105" s="17">
        <f t="shared" si="201"/>
        <v>8.9088571923853888</v>
      </c>
      <c r="H105" s="17">
        <f t="shared" si="202"/>
        <v>9.7313956941008648</v>
      </c>
      <c r="I105" s="17">
        <f t="shared" si="203"/>
        <v>6.7702252150784625</v>
      </c>
      <c r="J105" s="17">
        <f t="shared" si="204"/>
        <v>12.300863986752542</v>
      </c>
      <c r="L105" t="str">
        <f t="shared" si="245"/>
        <v>82 Transport and mobile machine drivers and operatives</v>
      </c>
      <c r="M105" s="17">
        <f t="shared" si="205"/>
        <v>11.402527267077357</v>
      </c>
      <c r="N105" s="17">
        <f t="shared" si="205"/>
        <v>4.8832112955936591</v>
      </c>
      <c r="O105" s="17">
        <f t="shared" si="205"/>
        <v>11.880929145791463</v>
      </c>
      <c r="P105" s="17">
        <f t="shared" si="205"/>
        <v>7.3340856044058711</v>
      </c>
      <c r="Q105" s="17">
        <f t="shared" si="206"/>
        <v>8.5778984795739746</v>
      </c>
      <c r="S105" s="17">
        <f t="shared" si="207"/>
        <v>8.8287886996329732</v>
      </c>
      <c r="T105" s="17">
        <f t="shared" si="208"/>
        <v>6.2346680881297578</v>
      </c>
      <c r="U105" s="17">
        <f t="shared" si="209"/>
        <v>11.378120676507475</v>
      </c>
      <c r="W105" t="str">
        <f t="shared" si="246"/>
        <v>82 Transport and mobile machine drivers and operatives</v>
      </c>
      <c r="X105" s="17">
        <f t="shared" si="210"/>
        <v>5.8805999454474511</v>
      </c>
      <c r="Y105" s="17">
        <f t="shared" si="210"/>
        <v>3.4514532484068106</v>
      </c>
      <c r="Z105" s="17">
        <f t="shared" si="210"/>
        <v>4.2075113400147135</v>
      </c>
      <c r="AA105" s="17">
        <f t="shared" si="210"/>
        <v>1.8757506810759716</v>
      </c>
      <c r="AB105" s="17">
        <f t="shared" si="211"/>
        <v>2.6972338473417956</v>
      </c>
      <c r="AD105" s="17">
        <f t="shared" si="212"/>
        <v>2.6471485077380619</v>
      </c>
      <c r="AE105" s="17">
        <f t="shared" si="213"/>
        <v>4.4879064438431815</v>
      </c>
      <c r="AF105" s="17">
        <f t="shared" si="214"/>
        <v>6.04459555749286</v>
      </c>
      <c r="AH105" t="str">
        <f t="shared" si="247"/>
        <v>82 Transport and mobile machine drivers and operatives</v>
      </c>
      <c r="AI105" s="17">
        <f t="shared" si="215"/>
        <v>6.9357638111108511</v>
      </c>
      <c r="AJ105" s="17">
        <f t="shared" si="215"/>
        <v>7.8646096583280478</v>
      </c>
      <c r="AK105" s="17">
        <f t="shared" si="215"/>
        <v>4.5570539943992294</v>
      </c>
      <c r="AL105" s="17">
        <f t="shared" si="215"/>
        <v>1.8811709520435871</v>
      </c>
      <c r="AM105" s="17">
        <f t="shared" si="216"/>
        <v>3.0769498888280733</v>
      </c>
      <c r="AO105" s="17">
        <f t="shared" si="217"/>
        <v>2.7654349114419885</v>
      </c>
      <c r="AP105" s="17">
        <f t="shared" si="218"/>
        <v>4.4857376505878399</v>
      </c>
      <c r="AQ105" s="17">
        <f t="shared" si="219"/>
        <v>6.1180641894351684</v>
      </c>
      <c r="AS105" t="str">
        <f t="shared" si="248"/>
        <v>82 Transport and mobile machine drivers and operatives</v>
      </c>
      <c r="AT105" s="17">
        <f t="shared" si="220"/>
        <v>4.0950241827734546</v>
      </c>
      <c r="AU105" s="17">
        <f t="shared" si="220"/>
        <v>7.42013961722503</v>
      </c>
      <c r="AV105" s="17">
        <f t="shared" si="220"/>
        <v>3.2659620435721459</v>
      </c>
      <c r="AW105" s="17">
        <f t="shared" si="220"/>
        <v>1.4130568963024226</v>
      </c>
      <c r="AX105" s="17">
        <f t="shared" si="221"/>
        <v>2.3559637327669414</v>
      </c>
      <c r="AZ105" s="17">
        <f t="shared" si="222"/>
        <v>2.0269680909838161</v>
      </c>
      <c r="BA105" s="17">
        <f t="shared" si="223"/>
        <v>4.2849611283089617</v>
      </c>
      <c r="BB105" s="17">
        <f t="shared" si="224"/>
        <v>5.4846686723338811</v>
      </c>
      <c r="BD105" t="str">
        <f t="shared" si="249"/>
        <v>82 Transport and mobile machine drivers and operatives</v>
      </c>
      <c r="BE105" s="17">
        <f t="shared" si="225"/>
        <v>5.4268611166530256E-2</v>
      </c>
      <c r="BF105" s="17">
        <f t="shared" si="225"/>
        <v>14.635253926603076</v>
      </c>
      <c r="BG105" s="17">
        <f t="shared" si="225"/>
        <v>-0.65711322710712006</v>
      </c>
      <c r="BH105" s="17">
        <f t="shared" si="225"/>
        <v>-1.3807025010844853</v>
      </c>
      <c r="BI105" s="17">
        <f t="shared" si="226"/>
        <v>-0.2210751086902718</v>
      </c>
      <c r="BK105" s="17">
        <f t="shared" si="227"/>
        <v>-1.1400935854972483</v>
      </c>
      <c r="BL105" s="17">
        <f t="shared" si="228"/>
        <v>2.5594124413184538</v>
      </c>
      <c r="BM105" s="17">
        <f t="shared" si="229"/>
        <v>1.7797240153286653</v>
      </c>
      <c r="BO105" t="str">
        <f t="shared" si="250"/>
        <v>82 Transport and mobile machine drivers and operatives</v>
      </c>
      <c r="BP105" s="17">
        <f t="shared" si="230"/>
        <v>5.7661946059262004</v>
      </c>
      <c r="BQ105" s="17">
        <f t="shared" si="230"/>
        <v>-23.14525954488893</v>
      </c>
      <c r="BR105" s="17">
        <f t="shared" si="230"/>
        <v>3.3225059214977648</v>
      </c>
      <c r="BS105" s="17">
        <f t="shared" si="230"/>
        <v>-1.1826348199309278</v>
      </c>
      <c r="BT105" s="17">
        <f t="shared" si="231"/>
        <v>-1.3581688368348388</v>
      </c>
      <c r="BV105" s="17">
        <f t="shared" si="232"/>
        <v>0.29681845073394886</v>
      </c>
      <c r="BW105" s="17">
        <f t="shared" si="233"/>
        <v>2.8760960752993281</v>
      </c>
      <c r="BX105" s="17">
        <f t="shared" si="234"/>
        <v>3.0770908450214796</v>
      </c>
      <c r="BZ105" t="str">
        <f t="shared" si="251"/>
        <v>82 Transport and mobile machine drivers and operatives</v>
      </c>
      <c r="CA105" s="17">
        <f t="shared" si="235"/>
        <v>1.6108177114161126</v>
      </c>
      <c r="CB105" s="17">
        <f t="shared" si="235"/>
        <v>-13.898933328627583</v>
      </c>
      <c r="CC105" s="17">
        <f t="shared" si="235"/>
        <v>1.0697548000620172</v>
      </c>
      <c r="CD105" s="17">
        <f t="shared" si="235"/>
        <v>-2.8846699925713759</v>
      </c>
      <c r="CE105" s="17">
        <f t="shared" si="236"/>
        <v>-2.4028735487637398</v>
      </c>
      <c r="CG105" s="17">
        <f t="shared" si="237"/>
        <v>-1.5840254103190898</v>
      </c>
      <c r="CH105" s="17">
        <f t="shared" si="238"/>
        <v>2.1878913469827621</v>
      </c>
      <c r="CI105" s="17">
        <f t="shared" si="239"/>
        <v>1.05539067437046</v>
      </c>
      <c r="CK105" t="str">
        <f t="shared" si="252"/>
        <v>82 Transport and mobile machine drivers and operatives</v>
      </c>
      <c r="CL105" s="17">
        <f t="shared" si="240"/>
        <v>-4.6072936033991763E-2</v>
      </c>
      <c r="CM105" s="17">
        <f t="shared" si="240"/>
        <v>-38.417137249418417</v>
      </c>
      <c r="CN105" s="17">
        <f t="shared" si="240"/>
        <v>-3.9642931409119342</v>
      </c>
      <c r="CO105" s="17">
        <f t="shared" si="240"/>
        <v>-8.3054064171915858</v>
      </c>
      <c r="CP105" s="17">
        <f t="shared" si="241"/>
        <v>-9.2563375210985459</v>
      </c>
      <c r="CR105" s="17">
        <f t="shared" si="242"/>
        <v>-6.8806221467314739</v>
      </c>
      <c r="CS105" s="17">
        <f t="shared" si="243"/>
        <v>1.5472190926182794</v>
      </c>
      <c r="CT105" s="17">
        <f t="shared" si="244"/>
        <v>-3.3242913127540463</v>
      </c>
    </row>
    <row r="106" spans="1:98" x14ac:dyDescent="0.2">
      <c r="A106" t="str">
        <f t="shared" si="199"/>
        <v>91 Elementary trades and related occupations</v>
      </c>
      <c r="B106" s="17">
        <f t="shared" si="200"/>
        <v>3.8721312762781901</v>
      </c>
      <c r="C106" s="17">
        <f t="shared" si="200"/>
        <v>13.554228833671633</v>
      </c>
      <c r="D106" s="17">
        <f t="shared" si="200"/>
        <v>5.1654052210438506</v>
      </c>
      <c r="E106" s="17">
        <f t="shared" si="200"/>
        <v>8.6686556842685558</v>
      </c>
      <c r="F106" s="17">
        <f t="shared" si="201"/>
        <v>7.8575801048370364</v>
      </c>
      <c r="H106" s="17">
        <f t="shared" si="202"/>
        <v>7.4881272290018952</v>
      </c>
      <c r="I106" s="17">
        <f t="shared" si="203"/>
        <v>4.3378944089747851</v>
      </c>
      <c r="J106" s="17">
        <f t="shared" si="204"/>
        <v>9.3933569591509567</v>
      </c>
      <c r="L106" t="str">
        <f t="shared" si="245"/>
        <v>91 Elementary trades and related occupations</v>
      </c>
      <c r="M106" s="17">
        <f t="shared" si="205"/>
        <v>4.0340728375823254</v>
      </c>
      <c r="N106" s="17">
        <f t="shared" si="205"/>
        <v>1.9752583038943561</v>
      </c>
      <c r="O106" s="17">
        <f t="shared" si="205"/>
        <v>6.6646437736398001</v>
      </c>
      <c r="P106" s="17">
        <f t="shared" si="205"/>
        <v>8.4424515577477663</v>
      </c>
      <c r="Q106" s="17">
        <f t="shared" si="206"/>
        <v>7.4699155485783431</v>
      </c>
      <c r="S106" s="17">
        <f t="shared" si="207"/>
        <v>7.8465807625704542</v>
      </c>
      <c r="T106" s="17">
        <f t="shared" si="208"/>
        <v>4.681901048012671</v>
      </c>
      <c r="U106" s="17">
        <f t="shared" si="209"/>
        <v>9.8483213569424688</v>
      </c>
      <c r="W106" t="str">
        <f t="shared" si="246"/>
        <v>91 Elementary trades and related occupations</v>
      </c>
      <c r="X106" s="17">
        <f t="shared" si="210"/>
        <v>-0.16116353520635451</v>
      </c>
      <c r="Y106" s="17">
        <f t="shared" si="210"/>
        <v>2.4288897815027299</v>
      </c>
      <c r="Z106" s="17">
        <f t="shared" si="210"/>
        <v>-3.4875083918421423</v>
      </c>
      <c r="AA106" s="17">
        <f t="shared" si="210"/>
        <v>0.32534021601526852</v>
      </c>
      <c r="AB106" s="17">
        <f t="shared" si="211"/>
        <v>-0.75345264402454371</v>
      </c>
      <c r="AD106" s="17">
        <f t="shared" si="212"/>
        <v>-0.96205887336923146</v>
      </c>
      <c r="AE106" s="17">
        <f t="shared" si="213"/>
        <v>2.9440563471500258</v>
      </c>
      <c r="AF106" s="17">
        <f t="shared" si="214"/>
        <v>2.3186706338920837</v>
      </c>
      <c r="AH106" t="str">
        <f t="shared" si="247"/>
        <v>91 Elementary trades and related occupations</v>
      </c>
      <c r="AI106" s="17">
        <f t="shared" si="215"/>
        <v>-1.4385602888529414</v>
      </c>
      <c r="AJ106" s="17">
        <f t="shared" si="215"/>
        <v>7.7083033423253067</v>
      </c>
      <c r="AK106" s="17">
        <f t="shared" si="215"/>
        <v>-3.856386586651861</v>
      </c>
      <c r="AL106" s="17">
        <f t="shared" si="215"/>
        <v>0.23057897911333836</v>
      </c>
      <c r="AM106" s="17">
        <f t="shared" si="216"/>
        <v>-0.61900030691365293</v>
      </c>
      <c r="AO106" s="17">
        <f t="shared" si="217"/>
        <v>-1.150690600881088</v>
      </c>
      <c r="AP106" s="17">
        <f t="shared" si="218"/>
        <v>2.8396100568374827</v>
      </c>
      <c r="AQ106" s="17">
        <f t="shared" si="219"/>
        <v>2.0840513127712956</v>
      </c>
      <c r="AS106" t="str">
        <f t="shared" si="248"/>
        <v>91 Elementary trades and related occupations</v>
      </c>
      <c r="AT106" s="17">
        <f t="shared" si="220"/>
        <v>0.87581947632027202</v>
      </c>
      <c r="AU106" s="17">
        <f t="shared" si="220"/>
        <v>15.104987491117484</v>
      </c>
      <c r="AV106" s="17">
        <f t="shared" si="220"/>
        <v>-2.5886693793802595</v>
      </c>
      <c r="AW106" s="17">
        <f t="shared" si="220"/>
        <v>1.1178695001752725</v>
      </c>
      <c r="AX106" s="17">
        <f t="shared" si="221"/>
        <v>0.75724619006394267</v>
      </c>
      <c r="AZ106" s="17">
        <f t="shared" si="222"/>
        <v>-0.13305476926697146</v>
      </c>
      <c r="BA106" s="17">
        <f t="shared" si="223"/>
        <v>2.9103897425545311</v>
      </c>
      <c r="BB106" s="17">
        <f t="shared" si="224"/>
        <v>2.8216371985797073</v>
      </c>
      <c r="BD106" t="str">
        <f t="shared" si="249"/>
        <v>91 Elementary trades and related occupations</v>
      </c>
      <c r="BE106" s="17">
        <f t="shared" si="225"/>
        <v>-5.2883736793774894</v>
      </c>
      <c r="BF106" s="17">
        <f t="shared" si="225"/>
        <v>8.4660823553288402</v>
      </c>
      <c r="BG106" s="17">
        <f t="shared" si="225"/>
        <v>-4.5811209636697603</v>
      </c>
      <c r="BH106" s="17">
        <f t="shared" si="225"/>
        <v>-7.6126111117036377E-2</v>
      </c>
      <c r="BI106" s="17">
        <f t="shared" si="226"/>
        <v>-1.0000709809090291</v>
      </c>
      <c r="BK106" s="17">
        <f t="shared" si="227"/>
        <v>-1.6009410240578226</v>
      </c>
      <c r="BL106" s="17">
        <f t="shared" si="228"/>
        <v>1.7415111066687139</v>
      </c>
      <c r="BM106" s="17">
        <f t="shared" si="229"/>
        <v>0.51808604233358757</v>
      </c>
      <c r="BO106" t="str">
        <f t="shared" si="250"/>
        <v>91 Elementary trades and related occupations</v>
      </c>
      <c r="BP106" s="17">
        <f t="shared" si="230"/>
        <v>0.64897262400576139</v>
      </c>
      <c r="BQ106" s="17">
        <f t="shared" si="230"/>
        <v>-17.799422723072091</v>
      </c>
      <c r="BR106" s="17">
        <f t="shared" si="230"/>
        <v>-2.9904577672622668</v>
      </c>
      <c r="BS106" s="17">
        <f t="shared" si="230"/>
        <v>-0.57005141243207103</v>
      </c>
      <c r="BT106" s="17">
        <f t="shared" si="231"/>
        <v>-2.4993623966375722</v>
      </c>
      <c r="BV106" s="17">
        <f t="shared" si="232"/>
        <v>-1.3834901443900982</v>
      </c>
      <c r="BW106" s="17">
        <f t="shared" si="233"/>
        <v>1.7058966414680743</v>
      </c>
      <c r="BX106" s="17">
        <f t="shared" si="234"/>
        <v>0.63886825704535521</v>
      </c>
      <c r="BZ106" t="str">
        <f t="shared" si="251"/>
        <v>91 Elementary trades and related occupations</v>
      </c>
      <c r="CA106" s="17">
        <f t="shared" si="235"/>
        <v>-3.3735967257991106</v>
      </c>
      <c r="CB106" s="17">
        <f t="shared" si="235"/>
        <v>-9.7485059194815094</v>
      </c>
      <c r="CC106" s="17">
        <f t="shared" si="235"/>
        <v>-4.944412368085926</v>
      </c>
      <c r="CD106" s="17">
        <f t="shared" si="235"/>
        <v>-3.1329152164629059</v>
      </c>
      <c r="CE106" s="17">
        <f t="shared" si="236"/>
        <v>-4.1274983922859771</v>
      </c>
      <c r="CG106" s="17">
        <f t="shared" si="237"/>
        <v>-3.7405512611529357</v>
      </c>
      <c r="CH106" s="17">
        <f t="shared" si="238"/>
        <v>1.4518720289667719</v>
      </c>
      <c r="CI106" s="17">
        <f t="shared" si="239"/>
        <v>-1.4287313014857861</v>
      </c>
      <c r="CK106" t="str">
        <f t="shared" si="252"/>
        <v>91 Elementary trades and related occupations</v>
      </c>
      <c r="CL106" s="17">
        <f t="shared" si="240"/>
        <v>-4.9096267580066471</v>
      </c>
      <c r="CM106" s="17">
        <f t="shared" si="240"/>
        <v>-28.984680541439932</v>
      </c>
      <c r="CN106" s="17">
        <f t="shared" si="240"/>
        <v>-7.3596078215018572</v>
      </c>
      <c r="CO106" s="17">
        <f t="shared" si="240"/>
        <v>-3.1329234271127437</v>
      </c>
      <c r="CP106" s="17">
        <f t="shared" si="241"/>
        <v>-6.3096753730091937</v>
      </c>
      <c r="CR106" s="17">
        <f t="shared" si="242"/>
        <v>-4.5628217362652546</v>
      </c>
      <c r="CS106" s="17">
        <f t="shared" si="243"/>
        <v>1.1810353942338647</v>
      </c>
      <c r="CT106" s="17">
        <f t="shared" si="244"/>
        <v>-2.4537838603430284</v>
      </c>
    </row>
    <row r="107" spans="1:98" x14ac:dyDescent="0.2">
      <c r="A107" t="str">
        <f t="shared" si="199"/>
        <v>92 Elementary administration and service occupations</v>
      </c>
      <c r="B107" s="17">
        <f t="shared" si="200"/>
        <v>7.5428625781111647</v>
      </c>
      <c r="C107" s="17">
        <f t="shared" si="200"/>
        <v>14.212448107528953</v>
      </c>
      <c r="D107" s="17">
        <f t="shared" si="200"/>
        <v>9.521364434420887</v>
      </c>
      <c r="E107" s="17">
        <f t="shared" si="200"/>
        <v>5.8458678948277498</v>
      </c>
      <c r="F107" s="17">
        <f t="shared" si="201"/>
        <v>7.4908932780113568</v>
      </c>
      <c r="H107" s="17">
        <f t="shared" si="202"/>
        <v>7.0571195261374786</v>
      </c>
      <c r="I107" s="17">
        <f t="shared" si="203"/>
        <v>5.0942159816002253</v>
      </c>
      <c r="J107" s="17">
        <f t="shared" si="204"/>
        <v>9.4755823143096052</v>
      </c>
      <c r="L107" t="str">
        <f t="shared" ref="L107" si="253">A107</f>
        <v>92 Elementary administration and service occupations</v>
      </c>
      <c r="M107" s="17">
        <f t="shared" si="205"/>
        <v>10.664411046989052</v>
      </c>
      <c r="N107" s="17">
        <f t="shared" si="205"/>
        <v>13.0376371932031</v>
      </c>
      <c r="O107" s="17">
        <f t="shared" si="205"/>
        <v>10.865347964239923</v>
      </c>
      <c r="P107" s="17">
        <f t="shared" si="205"/>
        <v>8.1575386139824282</v>
      </c>
      <c r="Q107" s="17">
        <f t="shared" si="206"/>
        <v>9.2976021337519477</v>
      </c>
      <c r="S107" s="17">
        <f t="shared" si="207"/>
        <v>9.0527123203890003</v>
      </c>
      <c r="T107" s="17">
        <f t="shared" si="208"/>
        <v>5.8692614555856615</v>
      </c>
      <c r="U107" s="17">
        <f t="shared" si="209"/>
        <v>11.358348539029128</v>
      </c>
      <c r="W107" t="str">
        <f t="shared" ref="W107" si="254">A107</f>
        <v>92 Elementary administration and service occupations</v>
      </c>
      <c r="X107" s="17">
        <f t="shared" si="210"/>
        <v>5.4107033018190753</v>
      </c>
      <c r="Y107" s="17">
        <f t="shared" si="210"/>
        <v>7.6359498879567278</v>
      </c>
      <c r="Z107" s="17">
        <f t="shared" si="210"/>
        <v>2.3453954750836337</v>
      </c>
      <c r="AA107" s="17">
        <f t="shared" si="210"/>
        <v>2.0969197390920513</v>
      </c>
      <c r="AB107" s="17">
        <f t="shared" si="211"/>
        <v>2.5124422904920785</v>
      </c>
      <c r="AD107" s="17">
        <f t="shared" si="212"/>
        <v>2.1796778838569342</v>
      </c>
      <c r="AE107" s="17">
        <f t="shared" si="213"/>
        <v>4.0401698345404302</v>
      </c>
      <c r="AF107" s="17">
        <f t="shared" si="214"/>
        <v>5.3754841750673465</v>
      </c>
      <c r="AH107" t="str">
        <f t="shared" ref="AH107" si="255">L107</f>
        <v>92 Elementary administration and service occupations</v>
      </c>
      <c r="AI107" s="17">
        <f t="shared" si="215"/>
        <v>5.1932528487237395</v>
      </c>
      <c r="AJ107" s="17">
        <f t="shared" si="215"/>
        <v>11.930187597917907</v>
      </c>
      <c r="AK107" s="17">
        <f t="shared" si="215"/>
        <v>1.6684165610920232</v>
      </c>
      <c r="AL107" s="17">
        <f t="shared" si="215"/>
        <v>2.107321625032621</v>
      </c>
      <c r="AM107" s="17">
        <f t="shared" si="216"/>
        <v>2.5570212511148105</v>
      </c>
      <c r="AO107" s="17">
        <f t="shared" si="217"/>
        <v>1.9608098106432381</v>
      </c>
      <c r="AP107" s="17">
        <f t="shared" si="218"/>
        <v>3.8461337966752662</v>
      </c>
      <c r="AQ107" s="17">
        <f t="shared" si="219"/>
        <v>5.0690179208113584</v>
      </c>
      <c r="AS107" t="str">
        <f t="shared" ref="AS107" si="256">W107</f>
        <v>92 Elementary administration and service occupations</v>
      </c>
      <c r="AT107" s="17">
        <f t="shared" si="220"/>
        <v>3.5440052566524605</v>
      </c>
      <c r="AU107" s="17">
        <f t="shared" si="220"/>
        <v>17.029362907637481</v>
      </c>
      <c r="AV107" s="17">
        <f t="shared" si="220"/>
        <v>1.5708730852411312</v>
      </c>
      <c r="AW107" s="17">
        <f t="shared" si="220"/>
        <v>2.2643721209139489</v>
      </c>
      <c r="AX107" s="17">
        <f t="shared" si="221"/>
        <v>2.9109342126947935</v>
      </c>
      <c r="AZ107" s="17">
        <f t="shared" si="222"/>
        <v>2.0326812516739512</v>
      </c>
      <c r="BA107" s="17">
        <f t="shared" si="223"/>
        <v>3.7385226096846802</v>
      </c>
      <c r="BB107" s="17">
        <f t="shared" si="224"/>
        <v>5.0256465608999656</v>
      </c>
      <c r="BD107" t="str">
        <f t="shared" ref="BD107" si="257">AH107</f>
        <v>92 Elementary administration and service occupations</v>
      </c>
      <c r="BE107" s="17">
        <f t="shared" si="225"/>
        <v>0.27270718236804825</v>
      </c>
      <c r="BF107" s="17">
        <f t="shared" si="225"/>
        <v>-6.0081948655341773</v>
      </c>
      <c r="BG107" s="17">
        <f t="shared" si="225"/>
        <v>-1.5855374422422019</v>
      </c>
      <c r="BH107" s="17">
        <f t="shared" si="225"/>
        <v>-1.2441099656221755</v>
      </c>
      <c r="BI107" s="17">
        <f t="shared" si="226"/>
        <v>-1.6553094458835238</v>
      </c>
      <c r="BK107" s="17">
        <f t="shared" si="227"/>
        <v>-1.3580505339763627</v>
      </c>
      <c r="BL107" s="17">
        <f t="shared" si="228"/>
        <v>2.4659840514798859</v>
      </c>
      <c r="BM107" s="17">
        <f t="shared" si="229"/>
        <v>1.5293635895517799</v>
      </c>
      <c r="BO107" t="str">
        <f t="shared" ref="BO107" si="258">AS107</f>
        <v>92 Elementary administration and service occupations</v>
      </c>
      <c r="BP107" s="17">
        <f t="shared" si="230"/>
        <v>3.2716437974414037</v>
      </c>
      <c r="BQ107" s="17">
        <f t="shared" si="230"/>
        <v>-18.968452550021453</v>
      </c>
      <c r="BR107" s="17">
        <f t="shared" si="230"/>
        <v>0.79049355408475908</v>
      </c>
      <c r="BS107" s="17">
        <f t="shared" si="230"/>
        <v>-2.8871124232403234</v>
      </c>
      <c r="BT107" s="17">
        <f t="shared" si="231"/>
        <v>-2.8578879004251823</v>
      </c>
      <c r="BV107" s="17">
        <f t="shared" si="232"/>
        <v>-1.6764005047807173</v>
      </c>
      <c r="BW107" s="17">
        <f t="shared" si="233"/>
        <v>2.3068733820498011</v>
      </c>
      <c r="BX107" s="17">
        <f t="shared" si="234"/>
        <v>1.1318398505574923</v>
      </c>
      <c r="BZ107" t="str">
        <f t="shared" ref="BZ107" si="259">BD107</f>
        <v>92 Elementary administration and service occupations</v>
      </c>
      <c r="CA107" s="17">
        <f t="shared" si="235"/>
        <v>0.14204838796092467</v>
      </c>
      <c r="CB107" s="17">
        <f t="shared" si="235"/>
        <v>-5.6220347404172362</v>
      </c>
      <c r="CC107" s="17">
        <f t="shared" si="235"/>
        <v>-1.215862895028974</v>
      </c>
      <c r="CD107" s="17">
        <f t="shared" si="235"/>
        <v>-4.903777958696609</v>
      </c>
      <c r="CE107" s="17">
        <f t="shared" si="236"/>
        <v>-3.8119309974494753</v>
      </c>
      <c r="CG107" s="17">
        <f t="shared" si="237"/>
        <v>-3.6900303468483608</v>
      </c>
      <c r="CH107" s="17">
        <f t="shared" si="238"/>
        <v>1.7731160363034348</v>
      </c>
      <c r="CI107" s="17">
        <f t="shared" si="239"/>
        <v>-0.9195752280245717</v>
      </c>
      <c r="CK107" t="str">
        <f t="shared" ref="CK107" si="260">BO107</f>
        <v>92 Elementary administration and service occupations</v>
      </c>
      <c r="CL107" s="17">
        <f t="shared" si="240"/>
        <v>-5.9993216471804001</v>
      </c>
      <c r="CM107" s="17">
        <f t="shared" si="240"/>
        <v>-38.044849464673604</v>
      </c>
      <c r="CN107" s="17">
        <f t="shared" si="240"/>
        <v>-7.1370470089914928</v>
      </c>
      <c r="CO107" s="17">
        <f t="shared" si="240"/>
        <v>-9.041058558903126</v>
      </c>
      <c r="CP107" s="17">
        <f t="shared" si="241"/>
        <v>-10.621308966565879</v>
      </c>
      <c r="CR107" s="17">
        <f t="shared" si="242"/>
        <v>-8.4107656955489603</v>
      </c>
      <c r="CS107" s="17">
        <f t="shared" si="243"/>
        <v>0.9317575139081713</v>
      </c>
      <c r="CT107" s="17">
        <f t="shared" si="244"/>
        <v>-5.6648393725874602</v>
      </c>
    </row>
    <row r="108" spans="1:98" x14ac:dyDescent="0.2">
      <c r="B108" s="17"/>
      <c r="C108" s="17"/>
      <c r="D108" s="17"/>
      <c r="E108" s="17"/>
      <c r="F108" s="17"/>
      <c r="H108" s="17"/>
      <c r="I108" s="17"/>
      <c r="J108" s="17"/>
      <c r="M108" s="17"/>
      <c r="N108" s="17"/>
      <c r="O108" s="17"/>
      <c r="P108" s="17"/>
      <c r="Q108" s="17"/>
      <c r="S108" s="17"/>
      <c r="T108" s="17"/>
      <c r="U108" s="17"/>
      <c r="X108" s="17"/>
      <c r="Y108" s="17"/>
      <c r="Z108" s="17"/>
      <c r="AA108" s="17"/>
      <c r="AB108" s="17"/>
      <c r="AD108" s="17"/>
      <c r="AE108" s="17"/>
      <c r="AF108" s="17"/>
      <c r="AI108" s="17"/>
      <c r="AJ108" s="17"/>
      <c r="AK108" s="17"/>
      <c r="AL108" s="17"/>
      <c r="AM108" s="17"/>
      <c r="AO108" s="17"/>
      <c r="AP108" s="17"/>
      <c r="AQ108" s="17"/>
      <c r="AT108" s="17"/>
      <c r="AU108" s="17"/>
      <c r="AV108" s="17"/>
      <c r="AW108" s="17"/>
      <c r="AX108" s="17"/>
      <c r="AZ108" s="17"/>
      <c r="BA108" s="17"/>
      <c r="BB108" s="17"/>
      <c r="BE108" s="17"/>
      <c r="BF108" s="17"/>
      <c r="BG108" s="17"/>
      <c r="BH108" s="17"/>
      <c r="BI108" s="17"/>
      <c r="BK108" s="17"/>
      <c r="BL108" s="17"/>
      <c r="BM108" s="17"/>
      <c r="BP108" s="17"/>
      <c r="BQ108" s="17"/>
      <c r="BR108" s="17"/>
      <c r="BS108" s="17"/>
      <c r="BT108" s="17"/>
      <c r="BV108" s="17"/>
      <c r="BW108" s="17"/>
      <c r="BX108" s="17"/>
      <c r="CA108" s="17"/>
      <c r="CB108" s="17"/>
      <c r="CC108" s="17"/>
      <c r="CD108" s="17"/>
      <c r="CE108" s="17"/>
      <c r="CG108" s="17"/>
      <c r="CH108" s="17"/>
      <c r="CI108" s="17"/>
      <c r="CL108" s="17"/>
      <c r="CM108" s="17"/>
      <c r="CN108" s="17"/>
      <c r="CO108" s="17"/>
      <c r="CP108" s="17"/>
      <c r="CR108" s="17"/>
      <c r="CS108" s="17"/>
      <c r="CT108" s="17"/>
    </row>
    <row r="109" spans="1:98" x14ac:dyDescent="0.2">
      <c r="A109" s="23" t="str">
        <f>A35</f>
        <v>All occupations</v>
      </c>
      <c r="B109" s="25">
        <f>IF(AND(C$6-B$6 &lt;&gt; 0,B35&lt;&gt;0,C35&lt;&gt;0),(EXP(LN(C35/B35)/(C$6-B$6))-1)*100,0)</f>
        <v>7.4198081033691743</v>
      </c>
      <c r="C109" s="25">
        <f>IF(AND(D$6-C$6 &lt;&gt; 0,C35&lt;&gt;0,D35&lt;&gt;0),(EXP(LN(D35/C35)/(D$6-C$6))-1)*100,0)</f>
        <v>6.8353655500188015</v>
      </c>
      <c r="D109" s="25">
        <f>IF(AND(E$6-D$6 &lt;&gt; 0,D35&lt;&gt;0,E35&lt;&gt;0),(EXP(LN(E35/D35)/(E$6-D$6))-1)*100,0)</f>
        <v>6.399380451879888</v>
      </c>
      <c r="E109" s="25">
        <f>IF(AND(F$6-E$6 &lt;&gt; 0,E35&lt;&gt;0,F35&lt;&gt;0),(EXP(LN(F35/E35)/(F$6-E$6))-1)*100,0)</f>
        <v>4.1587421081202391</v>
      </c>
      <c r="F109" s="25">
        <f>IF(AND(F$6-C$6 &lt;&gt; 0,C35&lt;&gt;0,F35&lt;&gt;0),(EXP(LN(F35/C35)/(F$6-C$6))-1)*100,0)</f>
        <v>5.0202354245092673</v>
      </c>
      <c r="H109" s="25">
        <f>IF($F$6-$D$6 &lt;&gt; 0,(EXP(LN(1+(H72/100))/($F$6-$D$6))-1)*100,0)</f>
        <v>4.9003290916753706</v>
      </c>
      <c r="I109" s="25">
        <f>IF(D35&gt;0,((1+(I35/D35))^(1/($F$6-$D$6))-1)*100,0)</f>
        <v>3.8235312924936649</v>
      </c>
      <c r="J109" s="25">
        <f>IF($F$6-$D$6 &lt;&gt; 0,(EXP(LN(1+(J72/100))/($F$6-$D$6))-1)*100,0)</f>
        <v>7.1183645228106274</v>
      </c>
      <c r="L109" s="23" t="str">
        <f>L35</f>
        <v>All occupations</v>
      </c>
      <c r="M109" s="25">
        <f>IF(AND(N$6-M$6 &lt;&gt; 0,M35&lt;&gt;0,N35&lt;&gt;0),(EXP(LN(N35/M35)/(N$6-M$6))-1)*100,0)</f>
        <v>7.3612539392835297</v>
      </c>
      <c r="N109" s="25">
        <f>IF(AND(O$6-N$6 &lt;&gt; 0,N35&lt;&gt;0,O35&lt;&gt;0),(EXP(LN(O35/N35)/(O$6-N$6))-1)*100,0)</f>
        <v>9.8875471808204765</v>
      </c>
      <c r="O109" s="25">
        <f>IF(AND(P$6-O$6 &lt;&gt; 0,O35&lt;&gt;0,P35&lt;&gt;0),(EXP(LN(P35/O35)/(P$6-O$6))-1)*100,0)</f>
        <v>6.2600900976487406</v>
      </c>
      <c r="P109" s="25">
        <f>IF(AND(Q$6-P$6 &lt;&gt; 0,P35&lt;&gt;0,Q35&lt;&gt;0),(EXP(LN(Q35/P35)/(Q$6-P$6))-1)*100,0)</f>
        <v>4.2159634067968188</v>
      </c>
      <c r="Q109" s="25">
        <f>IF(AND(Q$6-N$6 &lt;&gt; 0,N35&lt;&gt;0,Q35&lt;&gt;0),(EXP(LN(Q35/N35)/(Q$6-N$6))-1)*100,0)</f>
        <v>5.1983349400910983</v>
      </c>
      <c r="S109" s="25">
        <f t="shared" ref="S109" si="261">IF($F$6-$D$6 &lt;&gt; 0,(EXP(LN(1+(S72/100))/($F$6-$D$6))-1)*100,0)</f>
        <v>4.89293197987275</v>
      </c>
      <c r="T109" s="25">
        <f t="shared" ref="T109" si="262">IF(O35&gt;0,((1+(T35/O35))^(1/($F$6-$D$6))-1)*100,0)</f>
        <v>3.9141648997363943</v>
      </c>
      <c r="U109" s="25">
        <f t="shared" ref="U109" si="263">IF($F$6-$D$6 &lt;&gt; 0,(EXP(LN(1+(U72/100))/($F$6-$D$6))-1)*100,0)</f>
        <v>7.1715464050166933</v>
      </c>
      <c r="W109" s="23" t="str">
        <f>W35</f>
        <v>All occupations</v>
      </c>
      <c r="X109" s="25">
        <f>IF(AND(Y$6-X$6 &lt;&gt; 0,X35&lt;&gt;0,Y35&lt;&gt;0),(EXP(LN(Y35/X35)/(Y$6-X$6))-1)*100,0)</f>
        <v>1.6607446822571648</v>
      </c>
      <c r="Y109" s="25">
        <f>IF(AND(Z$6-Y$6 &lt;&gt; 0,Y35&lt;&gt;0,Z35&lt;&gt;0),(EXP(LN(Z35/Y35)/(Z$6-Y$6))-1)*100,0)</f>
        <v>4.1664254889536956</v>
      </c>
      <c r="Z109" s="25">
        <f>IF(AND(AA$6-Z$6 &lt;&gt; 0,Z35&lt;&gt;0,AA35&lt;&gt;0),(EXP(LN(AA35/Z35)/(AA$6-Z$6))-1)*100,0)</f>
        <v>-0.48687419618643757</v>
      </c>
      <c r="AA109" s="25">
        <f>IF(AND(AB$6-AA$6 &lt;&gt; 0,AA35&lt;&gt;0,AB35&lt;&gt;0),(EXP(LN(AB35/AA35)/(AB$6-AA$6))-1)*100,0)</f>
        <v>-0.74735134387439173</v>
      </c>
      <c r="AB109" s="25">
        <f>IF(AND(AB$6-Y$6 &lt;&gt; 0,Y35&lt;&gt;0,AB35&lt;&gt;0),(EXP(LN(AB35/Y35)/(AB$6-Y$6))-1)*100,0)</f>
        <v>-0.36557567612045538</v>
      </c>
      <c r="AD109" s="25">
        <f t="shared" ref="AD109" si="264">IF($F$6-$D$6 &lt;&gt; 0,(EXP(LN(1+(AD72/100))/($F$6-$D$6))-1)*100,0)</f>
        <v>-0.66060147212834153</v>
      </c>
      <c r="AE109" s="25">
        <f t="shared" ref="AE109" si="265">IF(Z35&gt;0,((1+(AE35/Z35))^(1/($F$6-$D$6))-1)*100,0)</f>
        <v>2.829474036765145</v>
      </c>
      <c r="AF109" s="25">
        <f t="shared" ref="AF109" si="266">IF($F$6-$D$6 &lt;&gt; 0,(EXP(LN(1+(AF72/100))/($F$6-$D$6))-1)*100,0)</f>
        <v>2.3896509102150798</v>
      </c>
      <c r="AH109" s="23" t="str">
        <f>AH35</f>
        <v>All occupations</v>
      </c>
      <c r="AI109" s="25">
        <f>IF(AND(AJ$6-AI$6 &lt;&gt; 0,AI35&lt;&gt;0,AJ35&lt;&gt;0),(EXP(LN(AJ35/AI35)/(AJ$6-AI$6))-1)*100,0)</f>
        <v>-0.11710233245775248</v>
      </c>
      <c r="AJ109" s="25">
        <f>IF(AND(AK$6-AJ$6 &lt;&gt; 0,AJ35&lt;&gt;0,AK35&lt;&gt;0),(EXP(LN(AK35/AJ35)/(AK$6-AJ$6))-1)*100,0)</f>
        <v>6.8434083307198357</v>
      </c>
      <c r="AK109" s="25">
        <f>IF(AND(AL$6-AK$6 &lt;&gt; 0,AK35&lt;&gt;0,AL35&lt;&gt;0),(EXP(LN(AL35/AK35)/(AL$6-AK$6))-1)*100,0)</f>
        <v>-1.1350926668852623</v>
      </c>
      <c r="AL109" s="25">
        <f>IF(AND(AM$6-AL$6 &lt;&gt; 0,AL35&lt;&gt;0,AM35&lt;&gt;0),(EXP(LN(AM35/AL35)/(AM$6-AL$6))-1)*100,0)</f>
        <v>-0.17951168816928709</v>
      </c>
      <c r="AM109" s="25">
        <f>IF(AND(AM$6-AJ$6 &lt;&gt; 0,AJ35&lt;&gt;0,AM35&lt;&gt;0),(EXP(LN(AM35/AJ35)/(AM$6-AJ$6))-1)*100,0)</f>
        <v>-5.5312184403089049E-2</v>
      </c>
      <c r="AO109" s="25">
        <f t="shared" ref="AO109" si="267">IF($F$6-$D$6 &lt;&gt; 0,(EXP(LN(1+(AO72/100))/($F$6-$D$6))-1)*100,0)</f>
        <v>-0.49906054051267468</v>
      </c>
      <c r="AP109" s="25">
        <f t="shared" ref="AP109" si="268">IF(AK35&gt;0,((1+(AP35/AK35))^(1/($F$6-$D$6))-1)*100,0)</f>
        <v>2.7905445455693068</v>
      </c>
      <c r="AQ109" s="25">
        <f t="shared" ref="AQ109" si="269">IF($F$6-$D$6 &lt;&gt; 0,(EXP(LN(1+(AQ72/100))/($F$6-$D$6))-1)*100,0)</f>
        <v>2.4551208036428074</v>
      </c>
      <c r="AS109" s="23" t="str">
        <f>AS35</f>
        <v>All occupations</v>
      </c>
      <c r="AT109" s="25">
        <f>IF(AND(AU$6-AT$6 &lt;&gt; 0,AT35&lt;&gt;0,AU35&lt;&gt;0),(EXP(LN(AU35/AT35)/(AU$6-AT$6))-1)*100,0)</f>
        <v>1.365493512218463</v>
      </c>
      <c r="AU109" s="25">
        <f>IF(AND(AV$6-AU$6 &lt;&gt; 0,AU35&lt;&gt;0,AV35&lt;&gt;0),(EXP(LN(AV35/AU35)/(AV$6-AU$6))-1)*100,0)</f>
        <v>6.8264784404814538</v>
      </c>
      <c r="AV109" s="25">
        <f>IF(AND(AW$6-AV$6 &lt;&gt; 0,AV35&lt;&gt;0,AW35&lt;&gt;0),(EXP(LN(AW35/AV35)/(AW$6-AV$6))-1)*100,0)</f>
        <v>-0.38687904324111733</v>
      </c>
      <c r="AW109" s="25">
        <f>IF(AND(AX$6-AW$6 &lt;&gt; 0,AW35&lt;&gt;0,AX35&lt;&gt;0),(EXP(LN(AX35/AW35)/(AX$6-AW$6))-1)*100,0)</f>
        <v>1.3058875970139994E-3</v>
      </c>
      <c r="AX109" s="25">
        <f>IF(AND(AX$6-AU$6 &lt;&gt; 0,AU35&lt;&gt;0,AX35&lt;&gt;0),(EXP(LN(AX35/AU35)/(AX$6-AU$6))-1)*100,0)</f>
        <v>0.29283264075969928</v>
      </c>
      <c r="AZ109" s="25">
        <f t="shared" ref="AZ109" si="270">IF($F$6-$D$6 &lt;&gt; 0,(EXP(LN(1+(AZ72/100))/($F$6-$D$6))-1)*100,0)</f>
        <v>-0.12825687976879552</v>
      </c>
      <c r="BA109" s="25">
        <f t="shared" ref="BA109" si="271">IF(AV35&gt;0,((1+(BA35/AV35))^(1/($F$6-$D$6))-1)*100,0)</f>
        <v>2.8917336367008106</v>
      </c>
      <c r="BB109" s="25">
        <f t="shared" ref="BB109" si="272">IF($F$6-$D$6 &lt;&gt; 0,(EXP(LN(1+(BB72/100))/($F$6-$D$6))-1)*100,0)</f>
        <v>2.8059525163225185</v>
      </c>
      <c r="BD109" s="23" t="str">
        <f>BD35</f>
        <v>All occupations</v>
      </c>
      <c r="BE109" s="25">
        <f>IF(AND(BF$6-BE$6 &lt;&gt; 0,BE35&lt;&gt;0,BF35&lt;&gt;0),(EXP(LN(BF35/BE35)/(BF$6-BE$6))-1)*100,0)</f>
        <v>-0.77860768495152666</v>
      </c>
      <c r="BF109" s="25">
        <f>IF(AND(BG$6-BF$6 &lt;&gt; 0,BF35&lt;&gt;0,BG35&lt;&gt;0),(EXP(LN(BG35/BF35)/(BG$6-BF$6))-1)*100,0)</f>
        <v>-0.58461786791486059</v>
      </c>
      <c r="BG109" s="25">
        <f>IF(AND(BH$6-BG$6 &lt;&gt; 0,BG35&lt;&gt;0,BH35&lt;&gt;0),(EXP(LN(BH35/BG35)/(BH$6-BG$6))-1)*100,0)</f>
        <v>-2.2749883088658218</v>
      </c>
      <c r="BH109" s="25">
        <f>IF(AND(BI$6-BH$6 &lt;&gt; 0,BH35&lt;&gt;0,BI35&lt;&gt;0),(EXP(LN(BI35/BH35)/(BI$6-BH$6))-1)*100,0)</f>
        <v>-2.4574365825143385</v>
      </c>
      <c r="BI109" s="25">
        <f>IF(AND(BI$6-BF$6 &lt;&gt; 0,BF35&lt;&gt;0,BI35&lt;&gt;0),(EXP(LN(BI35/BF35)/(BI$6-BF$6))-1)*100,0)</f>
        <v>-2.2843797611159178</v>
      </c>
      <c r="BK109" s="25">
        <f t="shared" ref="BK109" si="273">IF($F$6-$D$6 &lt;&gt; 0,(EXP(LN(1+(BK72/100))/($F$6-$D$6))-1)*100,0)</f>
        <v>-2.3966583697202282</v>
      </c>
      <c r="BL109" s="25">
        <f t="shared" ref="BL109" si="274">IF(BG35&gt;0,((1+(BL35/BG35))^(1/($F$6-$D$6))-1)*100,0)</f>
        <v>2.0608415620332998</v>
      </c>
      <c r="BM109" s="25">
        <f t="shared" ref="BM109" si="275">IF($F$6-$D$6 &lt;&gt; 0,(EXP(LN(1+(BM72/100))/($F$6-$D$6))-1)*100,0)</f>
        <v>0.34448394594839282</v>
      </c>
      <c r="BO109" s="23" t="str">
        <f>BO35</f>
        <v>All occupations</v>
      </c>
      <c r="BP109" s="25">
        <f>IF(AND(BQ$6-BP$6 &lt;&gt; 0,BP35&lt;&gt;0,BQ35&lt;&gt;0),(EXP(LN(BQ35/BP35)/(BQ$6-BP$6))-1)*100,0)</f>
        <v>1.4830288194304764</v>
      </c>
      <c r="BQ109" s="25">
        <f>IF(AND(BR$6-BQ$6 &lt;&gt; 0,BQ35&lt;&gt;0,BR35&lt;&gt;0),(EXP(LN(BR35/BQ35)/(BR$6-BQ$6))-1)*100,0)</f>
        <v>-18.937526311085804</v>
      </c>
      <c r="BR109" s="25">
        <f>IF(AND(BS$6-BR$6 &lt;&gt; 0,BR35&lt;&gt;0,BS35&lt;&gt;0),(EXP(LN(BS35/BR35)/(BS$6-BR$6))-1)*100,0)</f>
        <v>-0.98417351390057695</v>
      </c>
      <c r="BS109" s="25">
        <f>IF(AND(BT$6-BS$6 &lt;&gt; 0,BS35&lt;&gt;0,BT35&lt;&gt;0),(EXP(LN(BT35/BS35)/(BT$6-BS$6))-1)*100,0)</f>
        <v>-3.7068354048953145</v>
      </c>
      <c r="BT109" s="25">
        <f>IF(AND(BT$6-BQ$6 &lt;&gt; 0,BQ35&lt;&gt;0,BT35&lt;&gt;0),(EXP(LN(BT35/BQ35)/(BT$6-BQ$6))-1)*100,0)</f>
        <v>-3.9038262306884675</v>
      </c>
      <c r="BV109" s="25">
        <f t="shared" ref="BV109" si="276">IF($F$6-$D$6 &lt;&gt; 0,(EXP(LN(1+(BV72/100))/($F$6-$D$6))-1)*100,0)</f>
        <v>-2.8077031711458478</v>
      </c>
      <c r="BW109" s="25">
        <f t="shared" ref="BW109" si="277">IF(BR35&gt;0,((1+(BW35/BR35))^(1/($F$6-$D$6))-1)*100,0)</f>
        <v>1.9629214809905982</v>
      </c>
      <c r="BX109" s="25">
        <f t="shared" ref="BX109" si="278">IF($F$6-$D$6 &lt;&gt; 0,(EXP(LN(1+(BX72/100))/($F$6-$D$6))-1)*100,0)</f>
        <v>-6.0967167022496493E-2</v>
      </c>
      <c r="BZ109" s="23" t="str">
        <f>BZ35</f>
        <v>All occupations</v>
      </c>
      <c r="CA109" s="25">
        <f>IF(AND(CB$6-CA$6 &lt;&gt; 0,CA35&lt;&gt;0,CB35&lt;&gt;0),(EXP(LN(CB35/CA35)/(CB$6-CA$6))-1)*100,0)</f>
        <v>-1.2095021446736354</v>
      </c>
      <c r="CB109" s="25">
        <f>IF(AND(CC$6-CB$6 &lt;&gt; 0,CB35&lt;&gt;0,CC35&lt;&gt;0),(EXP(LN(CC35/CB35)/(CC$6-CB$6))-1)*100,0)</f>
        <v>-6.9593835998488895</v>
      </c>
      <c r="CC109" s="25">
        <f>IF(AND(CD$6-CC$6 &lt;&gt; 0,CC35&lt;&gt;0,CD35&lt;&gt;0),(EXP(LN(CD35/CC35)/(CD$6-CC$6))-1)*100,0)</f>
        <v>-2.4809206593211508</v>
      </c>
      <c r="CD109" s="25">
        <f>IF(AND(CE$6-CD$6 &lt;&gt; 0,CD35&lt;&gt;0,CE35&lt;&gt;0),(EXP(LN(CE35/CD35)/(CE$6-CD$6))-1)*100,0)</f>
        <v>-4.702472604266827</v>
      </c>
      <c r="CE109" s="25">
        <f>IF(AND(CE$6-CB$6 &lt;&gt; 0,CB35&lt;&gt;0,CE35&lt;&gt;0),(EXP(LN(CE35/CB35)/(CE$6-CB$6))-1)*100,0)</f>
        <v>-4.1574071701677262</v>
      </c>
      <c r="CG109" s="25">
        <f t="shared" ref="CG109" si="279">IF($F$6-$D$6 &lt;&gt; 0,(EXP(LN(1+(CG72/100))/($F$6-$D$6))-1)*100,0)</f>
        <v>-3.9676361558910966</v>
      </c>
      <c r="CH109" s="25">
        <f t="shared" ref="CH109" si="280">IF(CC35&gt;0,((1+(CH35/CC35))^(1/($F$6-$D$6))-1)*100,0)</f>
        <v>1.621943473436005</v>
      </c>
      <c r="CI109" s="25">
        <f t="shared" ref="CI109" si="281">IF($F$6-$D$6 &lt;&gt; 0,(EXP(LN(1+(CI72/100))/($F$6-$D$6))-1)*100,0)</f>
        <v>-1.3320681377322563</v>
      </c>
      <c r="CK109" s="23" t="str">
        <f>CK35</f>
        <v>All occupations</v>
      </c>
      <c r="CL109" s="25">
        <f>IF(AND(CM$6-CL$6 &lt;&gt; 0,CL35&lt;&gt;0,CM35&lt;&gt;0),(EXP(LN(CM35/CL35)/(CM$6-CL$6))-1)*100,0)</f>
        <v>-3.9109658659263413</v>
      </c>
      <c r="CM109" s="25">
        <f>IF(AND(CN$6-CM$6 &lt;&gt; 0,CM35&lt;&gt;0,CN35&lt;&gt;0),(EXP(LN(CN35/CM35)/(CN$6-CM$6))-1)*100,0)</f>
        <v>-35.793231161677717</v>
      </c>
      <c r="CN109" s="25">
        <f>IF(AND(CO$6-CN$6 &lt;&gt; 0,CN35&lt;&gt;0,CO35&lt;&gt;0),(EXP(LN(CO35/CN35)/(CO$6-CN$6))-1)*100,0)</f>
        <v>-4.1366133705371899</v>
      </c>
      <c r="CO109" s="25">
        <f>IF(AND(CP$6-CO$6 &lt;&gt; 0,CO35&lt;&gt;0,CP35&lt;&gt;0),(EXP(LN(CP35/CO35)/(CP$6-CO$6))-1)*100,0)</f>
        <v>-6.3740095449132284</v>
      </c>
      <c r="CP109" s="25">
        <f>IF(AND(CP$6-CM$6 &lt;&gt; 0,CM35&lt;&gt;0,CP35&lt;&gt;0),(EXP(LN(CP35/CM35)/(CP$6-CM$6))-1)*100,0)</f>
        <v>-7.8780639798532111</v>
      </c>
      <c r="CR109" s="25">
        <f t="shared" ref="CR109" si="282">IF($F$6-$D$6 &lt;&gt; 0,(EXP(LN(1+(CR72/100))/($F$6-$D$6))-1)*100,0)</f>
        <v>-5.6340740096214699</v>
      </c>
      <c r="CS109" s="25">
        <f t="shared" ref="CS109" si="283">IF(CN35&gt;0,((1+(CS35/CN35))^(1/($F$6-$D$6))-1)*100,0)</f>
        <v>1.2669317818925441</v>
      </c>
      <c r="CT109" s="25">
        <f t="shared" ref="CT109" si="284">IF($F$6-$D$6 &lt;&gt; 0,(EXP(LN(1+(CT72/100))/($F$6-$D$6))-1)*100,0)</f>
        <v>-3.0654876374720197</v>
      </c>
    </row>
    <row r="112" spans="1:98" ht="47.25" customHeight="1" x14ac:dyDescent="0.2">
      <c r="A112" s="378" t="str">
        <f>CONCATENATE(A$1," (Continued)")</f>
        <v>Basic Table 2  Employment Change by Occupation and Replacement Demand, RQF8 Doctorate, 2015-2035, London (Continued)</v>
      </c>
      <c r="B112" s="378"/>
      <c r="C112" s="378"/>
      <c r="D112" s="378"/>
      <c r="E112" s="378"/>
      <c r="F112" s="378"/>
      <c r="G112" s="378"/>
      <c r="H112" s="378"/>
      <c r="I112" s="378"/>
      <c r="J112" s="378"/>
      <c r="L112" s="378" t="str">
        <f>CONCATENATE(L$1," (Continued)")</f>
        <v>Basic Table 2.1  Employment Change by Occupation and Replacement Demand, RQF7 Other higher degree, 2015-2035, London (Continued)</v>
      </c>
      <c r="M112" s="378"/>
      <c r="N112" s="378"/>
      <c r="O112" s="378"/>
      <c r="P112" s="378"/>
      <c r="Q112" s="378"/>
      <c r="R112" s="378"/>
      <c r="S112" s="378"/>
      <c r="T112" s="378"/>
      <c r="U112" s="378"/>
      <c r="W112" s="378" t="str">
        <f>CONCATENATE(W$1," (Continued)")</f>
        <v>Basic Table 2.2  Employment Change by Occupation and Replacement Demand, RQF6 First degree, 2015-2035, London (Continued)</v>
      </c>
      <c r="X112" s="378"/>
      <c r="Y112" s="378"/>
      <c r="Z112" s="378"/>
      <c r="AA112" s="378"/>
      <c r="AB112" s="378"/>
      <c r="AC112" s="378"/>
      <c r="AD112" s="378"/>
      <c r="AE112" s="378"/>
      <c r="AF112" s="378"/>
      <c r="AH112" s="378" t="str">
        <f>CONCATENATE(AH$1," (Continued)")</f>
        <v>Basic Table 2.3  Employment Change by Occupation and Replacement Demand, RQF5 Foundation degree;Nursing;Teaching, 2015-2035, London (Continued)</v>
      </c>
      <c r="AI112" s="378"/>
      <c r="AJ112" s="378"/>
      <c r="AK112" s="378"/>
      <c r="AL112" s="378"/>
      <c r="AM112" s="378"/>
      <c r="AN112" s="378"/>
      <c r="AO112" s="378"/>
      <c r="AP112" s="378"/>
      <c r="AQ112" s="378"/>
      <c r="AS112" s="378" t="str">
        <f>CONCATENATE(AS$1," (Continued)")</f>
        <v>Basic Table 2.4  Employment Change by Occupation and Replacement Demand, RQF4 HE below degree level, 2015-2035, London (Continued)</v>
      </c>
      <c r="AT112" s="378"/>
      <c r="AU112" s="378"/>
      <c r="AV112" s="378"/>
      <c r="AW112" s="378"/>
      <c r="AX112" s="378"/>
      <c r="AY112" s="378"/>
      <c r="AZ112" s="378"/>
      <c r="BA112" s="378"/>
      <c r="BB112" s="378"/>
      <c r="BD112" s="378" t="str">
        <f>CONCATENATE(BD$1," (Continued)")</f>
        <v>Basic Table 2.5  Employment Change by Occupation and Replacement Demand, RQF3 A level &amp; equivalent, 2015-2035, London (Continued)</v>
      </c>
      <c r="BE112" s="378"/>
      <c r="BF112" s="378"/>
      <c r="BG112" s="378"/>
      <c r="BH112" s="378"/>
      <c r="BI112" s="378"/>
      <c r="BJ112" s="378"/>
      <c r="BK112" s="378"/>
      <c r="BL112" s="378"/>
      <c r="BM112" s="378"/>
      <c r="BO112" s="378" t="str">
        <f>CONCATENATE(BO$1," (Continued)")</f>
        <v>Basic Table 2.6  Employment Change by Occupation and Replacement Demand, RQF2 GCSE(A-C) &amp; equivalent, 2015-2035, London (Continued)</v>
      </c>
      <c r="BP112" s="378"/>
      <c r="BQ112" s="378"/>
      <c r="BR112" s="378"/>
      <c r="BS112" s="378"/>
      <c r="BT112" s="378"/>
      <c r="BU112" s="378"/>
      <c r="BV112" s="378"/>
      <c r="BW112" s="378"/>
      <c r="BX112" s="378"/>
      <c r="BZ112" s="378" t="str">
        <f>CONCATENATE(BZ$1," (Continued)")</f>
        <v>Basic Table 2.7  Employment Change by Occupation and Replacement Demand, RQF1 GCSE(below grade C) &amp; equivalent, 2015-2035, London (Continued)</v>
      </c>
      <c r="CA112" s="378"/>
      <c r="CB112" s="378"/>
      <c r="CC112" s="378"/>
      <c r="CD112" s="378"/>
      <c r="CE112" s="378"/>
      <c r="CF112" s="378"/>
      <c r="CG112" s="378"/>
      <c r="CH112" s="378"/>
      <c r="CI112" s="378"/>
      <c r="CK112" s="378" t="str">
        <f>CONCATENATE(CK$1," (Continued)")</f>
        <v>Basic Table 2.8  Employment Change by Occupation and Replacement Demand, No Qualification, 2015-2035, London (Continued)</v>
      </c>
      <c r="CL112" s="378"/>
      <c r="CM112" s="378"/>
      <c r="CN112" s="378"/>
      <c r="CO112" s="378"/>
      <c r="CP112" s="378"/>
      <c r="CQ112" s="378"/>
      <c r="CR112" s="378"/>
      <c r="CS112" s="378"/>
      <c r="CT112" s="378"/>
    </row>
    <row r="114" spans="1:94" x14ac:dyDescent="0.2">
      <c r="F114" s="15" t="s">
        <v>35</v>
      </c>
      <c r="Q114" s="15" t="s">
        <v>35</v>
      </c>
      <c r="AB114" s="15" t="s">
        <v>35</v>
      </c>
      <c r="AM114" s="15" t="s">
        <v>35</v>
      </c>
      <c r="AX114" s="15" t="s">
        <v>35</v>
      </c>
      <c r="BI114" s="15" t="s">
        <v>35</v>
      </c>
      <c r="BT114" s="15" t="s">
        <v>35</v>
      </c>
      <c r="CE114" s="15" t="s">
        <v>35</v>
      </c>
      <c r="CP114" s="15" t="s">
        <v>35</v>
      </c>
    </row>
    <row r="115" spans="1:94" x14ac:dyDescent="0.2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  <c r="AH115" s="35"/>
      <c r="AI115" s="35"/>
      <c r="AJ115" s="35"/>
      <c r="AK115" s="35"/>
      <c r="AL115" s="35"/>
      <c r="AM115" s="35"/>
      <c r="AS115" s="35"/>
      <c r="AT115" s="35"/>
      <c r="AU115" s="35"/>
      <c r="AV115" s="35"/>
      <c r="AW115" s="35"/>
      <c r="AX115" s="35"/>
      <c r="BD115" s="35"/>
      <c r="BE115" s="35"/>
      <c r="BF115" s="35"/>
      <c r="BG115" s="35"/>
      <c r="BH115" s="35"/>
      <c r="BI115" s="35"/>
      <c r="BO115" s="35"/>
      <c r="BP115" s="35"/>
      <c r="BQ115" s="35"/>
      <c r="BR115" s="35"/>
      <c r="BS115" s="35"/>
      <c r="BT115" s="35"/>
      <c r="BZ115" s="35"/>
      <c r="CA115" s="35"/>
      <c r="CB115" s="35"/>
      <c r="CC115" s="35"/>
      <c r="CD115" s="35"/>
      <c r="CE115" s="35"/>
      <c r="CK115" s="35"/>
      <c r="CL115" s="35"/>
      <c r="CM115" s="35"/>
      <c r="CN115" s="35"/>
      <c r="CO115" s="35"/>
      <c r="CP115" s="35"/>
    </row>
    <row r="117" spans="1:94" x14ac:dyDescent="0.2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  <c r="AH117" s="40" t="s">
        <v>15</v>
      </c>
      <c r="AI117" s="63" t="str">
        <f>CONCATENATE(AI$6,"-",AJ$6)</f>
        <v>2015-2019</v>
      </c>
      <c r="AJ117" s="63" t="str">
        <f>CONCATENATE(AJ$6,"-",AK$6)</f>
        <v>2019-2020</v>
      </c>
      <c r="AK117" s="63" t="str">
        <f>CONCATENATE(AK$6,"-",AL$6)</f>
        <v>2020-2025</v>
      </c>
      <c r="AL117" s="63" t="str">
        <f>CONCATENATE(AL$6,"-",AM$6)</f>
        <v>2025-2035</v>
      </c>
      <c r="AM117" s="63" t="str">
        <f>CONCATENATE(AK$6,"-",AM$6)</f>
        <v>2020-2035</v>
      </c>
      <c r="AS117" s="40" t="s">
        <v>15</v>
      </c>
      <c r="AT117" s="63" t="str">
        <f>CONCATENATE(AT$6,"-",AU$6)</f>
        <v>2015-2019</v>
      </c>
      <c r="AU117" s="63" t="str">
        <f>CONCATENATE(AU$6,"-",AV$6)</f>
        <v>2019-2020</v>
      </c>
      <c r="AV117" s="63" t="str">
        <f>CONCATENATE(AV$6,"-",AW$6)</f>
        <v>2020-2025</v>
      </c>
      <c r="AW117" s="63" t="str">
        <f>CONCATENATE(AW$6,"-",AX$6)</f>
        <v>2025-2035</v>
      </c>
      <c r="AX117" s="63" t="str">
        <f>CONCATENATE(AV$6,"-",AX$6)</f>
        <v>2020-2035</v>
      </c>
      <c r="BD117" s="40" t="s">
        <v>15</v>
      </c>
      <c r="BE117" s="63" t="str">
        <f>CONCATENATE(BE$6,"-",BF$6)</f>
        <v>2015-2019</v>
      </c>
      <c r="BF117" s="63" t="str">
        <f>CONCATENATE(BF$6,"-",BG$6)</f>
        <v>2019-2020</v>
      </c>
      <c r="BG117" s="63" t="str">
        <f>CONCATENATE(BG$6,"-",BH$6)</f>
        <v>2020-2025</v>
      </c>
      <c r="BH117" s="63" t="str">
        <f>CONCATENATE(BH$6,"-",BI$6)</f>
        <v>2025-2035</v>
      </c>
      <c r="BI117" s="63" t="str">
        <f>CONCATENATE(BG$6,"-",BI$6)</f>
        <v>2020-2035</v>
      </c>
      <c r="BO117" s="40" t="s">
        <v>15</v>
      </c>
      <c r="BP117" s="63" t="str">
        <f>CONCATENATE(BP$6,"-",BQ$6)</f>
        <v>2015-2019</v>
      </c>
      <c r="BQ117" s="63" t="str">
        <f>CONCATENATE(BQ$6,"-",BR$6)</f>
        <v>2019-2020</v>
      </c>
      <c r="BR117" s="63" t="str">
        <f>CONCATENATE(BR$6,"-",BS$6)</f>
        <v>2020-2025</v>
      </c>
      <c r="BS117" s="63" t="str">
        <f>CONCATENATE(BS$6,"-",BT$6)</f>
        <v>2025-2035</v>
      </c>
      <c r="BT117" s="63" t="str">
        <f>CONCATENATE(BR$6,"-",BT$6)</f>
        <v>2020-2035</v>
      </c>
      <c r="BZ117" s="40" t="s">
        <v>15</v>
      </c>
      <c r="CA117" s="63" t="str">
        <f>CONCATENATE(CA$6,"-",CB$6)</f>
        <v>2015-2019</v>
      </c>
      <c r="CB117" s="63" t="str">
        <f>CONCATENATE(CB$6,"-",CC$6)</f>
        <v>2019-2020</v>
      </c>
      <c r="CC117" s="63" t="str">
        <f>CONCATENATE(CC$6,"-",CD$6)</f>
        <v>2020-2025</v>
      </c>
      <c r="CD117" s="63" t="str">
        <f>CONCATENATE(CD$6,"-",CE$6)</f>
        <v>2025-2035</v>
      </c>
      <c r="CE117" s="63" t="str">
        <f>CONCATENATE(CC$6,"-",CE$6)</f>
        <v>2020-2035</v>
      </c>
      <c r="CK117" s="40" t="s">
        <v>15</v>
      </c>
      <c r="CL117" s="63" t="str">
        <f>CONCATENATE(CL$6,"-",CM$6)</f>
        <v>2015-2019</v>
      </c>
      <c r="CM117" s="63" t="str">
        <f>CONCATENATE(CM$6,"-",CN$6)</f>
        <v>2019-2020</v>
      </c>
      <c r="CN117" s="63" t="str">
        <f>CONCATENATE(CN$6,"-",CO$6)</f>
        <v>2020-2025</v>
      </c>
      <c r="CO117" s="63" t="str">
        <f>CONCATENATE(CO$6,"-",CP$6)</f>
        <v>2025-2035</v>
      </c>
      <c r="CP117" s="63" t="str">
        <f>CONCATENATE(CN$6,"-",CP$6)</f>
        <v>2020-2035</v>
      </c>
    </row>
    <row r="118" spans="1:94" x14ac:dyDescent="0.2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  <c r="AI118" s="19"/>
      <c r="AJ118" s="19"/>
      <c r="AK118" s="19"/>
      <c r="AL118" s="19"/>
      <c r="AM118" s="19"/>
      <c r="AT118" s="19"/>
      <c r="AU118" s="19"/>
      <c r="AV118" s="19"/>
      <c r="AW118" s="19"/>
      <c r="AX118" s="19"/>
      <c r="BE118" s="19"/>
      <c r="BF118" s="19"/>
      <c r="BG118" s="19"/>
      <c r="BH118" s="19"/>
      <c r="BI118" s="19"/>
      <c r="BP118" s="19"/>
      <c r="BQ118" s="19"/>
      <c r="BR118" s="19"/>
      <c r="BS118" s="19"/>
      <c r="BT118" s="19"/>
      <c r="CA118" s="19"/>
      <c r="CB118" s="19"/>
      <c r="CC118" s="19"/>
      <c r="CD118" s="19"/>
      <c r="CE118" s="19"/>
      <c r="CL118" s="19"/>
      <c r="CM118" s="19"/>
      <c r="CN118" s="19"/>
      <c r="CO118" s="19"/>
      <c r="CP118" s="19"/>
    </row>
    <row r="119" spans="1:94" x14ac:dyDescent="0.2">
      <c r="A119" t="str">
        <f t="shared" ref="A119:A144" si="285">A8</f>
        <v>11 Corporate managers and directors</v>
      </c>
      <c r="B119" s="26">
        <f t="shared" ref="B119:E144" si="286">C8-B8</f>
        <v>4.4148258740462296</v>
      </c>
      <c r="C119" s="26">
        <f t="shared" si="286"/>
        <v>0.45702174061003298</v>
      </c>
      <c r="D119" s="26">
        <f t="shared" si="286"/>
        <v>4.7731637845955071</v>
      </c>
      <c r="E119" s="26">
        <f t="shared" si="286"/>
        <v>11.46879836868289</v>
      </c>
      <c r="F119" s="26">
        <f t="shared" ref="F119:F144" si="287">F8-D8</f>
        <v>16.241962153278397</v>
      </c>
      <c r="L119" t="str">
        <f>A119</f>
        <v>11 Corporate managers and directors</v>
      </c>
      <c r="M119" s="26">
        <f t="shared" ref="M119:P144" si="288">N8-M8</f>
        <v>34.330224611727232</v>
      </c>
      <c r="N119" s="26">
        <f t="shared" si="288"/>
        <v>10.410795732494719</v>
      </c>
      <c r="O119" s="26">
        <f t="shared" si="288"/>
        <v>32.966258872610297</v>
      </c>
      <c r="P119" s="26">
        <f t="shared" si="288"/>
        <v>88.633242621675521</v>
      </c>
      <c r="Q119" s="26">
        <f t="shared" ref="Q119:Q144" si="289">Q8-O8</f>
        <v>121.59950149428582</v>
      </c>
      <c r="W119" t="str">
        <f>A119</f>
        <v>11 Corporate managers and directors</v>
      </c>
      <c r="X119" s="26">
        <f t="shared" ref="X119:AA144" si="290">Y8-X8</f>
        <v>26.26211730509587</v>
      </c>
      <c r="Y119" s="26">
        <f t="shared" si="290"/>
        <v>0.42213186759005339</v>
      </c>
      <c r="Z119" s="26">
        <f t="shared" si="290"/>
        <v>-20.736688502970594</v>
      </c>
      <c r="AA119" s="26">
        <f t="shared" si="290"/>
        <v>-13.419141537549024</v>
      </c>
      <c r="AB119" s="26">
        <f t="shared" ref="AB119:AB144" si="291">AB8-Z8</f>
        <v>-34.155830040519618</v>
      </c>
      <c r="AH119" t="str">
        <f>L119</f>
        <v>11 Corporate managers and directors</v>
      </c>
      <c r="AI119" s="26">
        <f t="shared" ref="AI119:AL144" si="292">AJ8-AI8</f>
        <v>2.5124124118488496</v>
      </c>
      <c r="AJ119" s="26">
        <f t="shared" si="292"/>
        <v>1.4369254011500701</v>
      </c>
      <c r="AK119" s="26">
        <f t="shared" si="292"/>
        <v>-4.150784306232989</v>
      </c>
      <c r="AL119" s="26">
        <f t="shared" si="292"/>
        <v>-1.7313878536971252</v>
      </c>
      <c r="AM119" s="26">
        <f t="shared" ref="AM119:AM144" si="293">AM8-AK8</f>
        <v>-5.8821721599301142</v>
      </c>
      <c r="AS119" t="str">
        <f>W119</f>
        <v>11 Corporate managers and directors</v>
      </c>
      <c r="AT119" s="26">
        <f t="shared" ref="AT119:AW144" si="294">AU8-AT8</f>
        <v>4.7122570179999386</v>
      </c>
      <c r="AU119" s="26">
        <f t="shared" si="294"/>
        <v>1.7580514306262884</v>
      </c>
      <c r="AV119" s="26">
        <f t="shared" si="294"/>
        <v>-6.9683566055650985</v>
      </c>
      <c r="AW119" s="26">
        <f t="shared" si="294"/>
        <v>-3.55262883505182</v>
      </c>
      <c r="AX119" s="26">
        <f t="shared" ref="AX119:AX144" si="295">AX8-AV8</f>
        <v>-10.520985440616919</v>
      </c>
      <c r="BD119" t="str">
        <f>AH119</f>
        <v>11 Corporate managers and directors</v>
      </c>
      <c r="BE119" s="26">
        <f t="shared" ref="BE119:BH144" si="296">BF8-BE8</f>
        <v>2.2872473704451224</v>
      </c>
      <c r="BF119" s="26">
        <f t="shared" si="296"/>
        <v>1.7532881326494945</v>
      </c>
      <c r="BG119" s="26">
        <f t="shared" si="296"/>
        <v>-15.32650505921216</v>
      </c>
      <c r="BH119" s="26">
        <f t="shared" si="296"/>
        <v>-11.525292907485934</v>
      </c>
      <c r="BI119" s="26">
        <f t="shared" ref="BI119:BI144" si="297">BI8-BG8</f>
        <v>-26.851797966698093</v>
      </c>
      <c r="BO119" t="str">
        <f>AS119</f>
        <v>11 Corporate managers and directors</v>
      </c>
      <c r="BP119" s="26">
        <f t="shared" ref="BP119:BS144" si="298">BQ8-BP8</f>
        <v>6.4346496014947334</v>
      </c>
      <c r="BQ119" s="26">
        <f t="shared" si="298"/>
        <v>-9.6363729058073346</v>
      </c>
      <c r="BR119" s="26">
        <f t="shared" si="298"/>
        <v>-8.4147273980389059</v>
      </c>
      <c r="BS119" s="26">
        <f t="shared" si="298"/>
        <v>-16.098309115648732</v>
      </c>
      <c r="BT119" s="26">
        <f t="shared" ref="BT119:BT144" si="299">BT8-BR8</f>
        <v>-24.513036513687638</v>
      </c>
      <c r="BZ119" t="str">
        <f>BD119</f>
        <v>11 Corporate managers and directors</v>
      </c>
      <c r="CA119" s="67">
        <f t="shared" ref="CA119:CD144" si="300">CB8-CA8</f>
        <v>2.8415908170745467</v>
      </c>
      <c r="CB119" s="67">
        <f t="shared" si="300"/>
        <v>-1.024378358055408</v>
      </c>
      <c r="CC119" s="67">
        <f t="shared" si="300"/>
        <v>-4.2966964037831268</v>
      </c>
      <c r="CD119" s="67">
        <f t="shared" si="300"/>
        <v>-13.034749111121751</v>
      </c>
      <c r="CE119" s="67">
        <f t="shared" ref="CE119:CE144" si="301">CE8-CC8</f>
        <v>-17.331445514904878</v>
      </c>
      <c r="CK119" t="str">
        <f>BO119</f>
        <v>11 Corporate managers and directors</v>
      </c>
      <c r="CL119" s="67">
        <f t="shared" ref="CL119:CO144" si="302">CM8-CL8</f>
        <v>9.5897647928635976E-2</v>
      </c>
      <c r="CM119" s="67">
        <f t="shared" si="302"/>
        <v>-2.2170128256519224</v>
      </c>
      <c r="CN119" s="67">
        <f t="shared" si="302"/>
        <v>-1.1154689063871244</v>
      </c>
      <c r="CO119" s="67">
        <f t="shared" si="302"/>
        <v>-0.82845318687609115</v>
      </c>
      <c r="CP119" s="67">
        <f t="shared" ref="CP119:CP144" si="303">CP8-CN8</f>
        <v>-1.9439220932632155</v>
      </c>
    </row>
    <row r="120" spans="1:94" x14ac:dyDescent="0.2">
      <c r="A120" t="str">
        <f t="shared" si="285"/>
        <v>12 Other managers and proprietors</v>
      </c>
      <c r="B120" s="26">
        <f t="shared" si="286"/>
        <v>1.2334921020744218</v>
      </c>
      <c r="C120" s="26">
        <f t="shared" si="286"/>
        <v>-3.8894235530618992E-2</v>
      </c>
      <c r="D120" s="26">
        <f t="shared" si="286"/>
        <v>3.9401377783060063</v>
      </c>
      <c r="E120" s="26">
        <f t="shared" si="286"/>
        <v>6.9847330521848807</v>
      </c>
      <c r="F120" s="26">
        <f t="shared" si="287"/>
        <v>10.924870830490887</v>
      </c>
      <c r="L120" t="str">
        <f t="shared" ref="L120:L143" si="304">A120</f>
        <v>12 Other managers and proprietors</v>
      </c>
      <c r="M120" s="26">
        <f t="shared" si="288"/>
        <v>9.2316363321758281</v>
      </c>
      <c r="N120" s="26">
        <f t="shared" si="288"/>
        <v>3.0622107152000382</v>
      </c>
      <c r="O120" s="26">
        <f t="shared" si="288"/>
        <v>28.384264517230115</v>
      </c>
      <c r="P120" s="26">
        <f t="shared" si="288"/>
        <v>47.628828451433705</v>
      </c>
      <c r="Q120" s="26">
        <f t="shared" si="289"/>
        <v>76.013092968663813</v>
      </c>
      <c r="W120" t="str">
        <f t="shared" ref="W120:W143" si="305">A120</f>
        <v>12 Other managers and proprietors</v>
      </c>
      <c r="X120" s="26">
        <f t="shared" si="290"/>
        <v>3.1853055101549259</v>
      </c>
      <c r="Y120" s="26">
        <f t="shared" si="290"/>
        <v>0.95722519402771411</v>
      </c>
      <c r="Z120" s="26">
        <f t="shared" si="290"/>
        <v>11.973853971687959</v>
      </c>
      <c r="AA120" s="26">
        <f t="shared" si="290"/>
        <v>1.0025962545919072</v>
      </c>
      <c r="AB120" s="26">
        <f t="shared" si="291"/>
        <v>12.976450226279866</v>
      </c>
      <c r="AH120" t="str">
        <f t="shared" ref="AH120:AH143" si="306">L120</f>
        <v>12 Other managers and proprietors</v>
      </c>
      <c r="AI120" s="26">
        <f t="shared" si="292"/>
        <v>1.0866788259881197</v>
      </c>
      <c r="AJ120" s="26">
        <f t="shared" si="292"/>
        <v>0.68623353289420841</v>
      </c>
      <c r="AK120" s="26">
        <f t="shared" si="292"/>
        <v>1.6880991589402026</v>
      </c>
      <c r="AL120" s="26">
        <f t="shared" si="292"/>
        <v>-5.7044527573175685E-2</v>
      </c>
      <c r="AM120" s="26">
        <f t="shared" si="293"/>
        <v>1.6310546313670269</v>
      </c>
      <c r="AS120" t="str">
        <f t="shared" ref="AS120:AS143" si="307">W120</f>
        <v>12 Other managers and proprietors</v>
      </c>
      <c r="AT120" s="26">
        <f t="shared" si="294"/>
        <v>1.1079747775957038</v>
      </c>
      <c r="AU120" s="26">
        <f t="shared" si="294"/>
        <v>0.67937689559459713</v>
      </c>
      <c r="AV120" s="26">
        <f t="shared" si="294"/>
        <v>3.4185623700008492</v>
      </c>
      <c r="AW120" s="26">
        <f t="shared" si="294"/>
        <v>-0.64984342466845746</v>
      </c>
      <c r="AX120" s="26">
        <f t="shared" si="295"/>
        <v>2.7687189453323917</v>
      </c>
      <c r="BD120" t="str">
        <f t="shared" ref="BD120:BD143" si="308">AH120</f>
        <v>12 Other managers and proprietors</v>
      </c>
      <c r="BE120" s="26">
        <f t="shared" si="296"/>
        <v>-2.2080071009600424</v>
      </c>
      <c r="BF120" s="26">
        <f t="shared" si="296"/>
        <v>0.3541282457300241</v>
      </c>
      <c r="BG120" s="26">
        <f t="shared" si="296"/>
        <v>-0.91480980452224614</v>
      </c>
      <c r="BH120" s="26">
        <f t="shared" si="296"/>
        <v>-6.0035336462594806</v>
      </c>
      <c r="BI120" s="26">
        <f t="shared" si="297"/>
        <v>-6.9183434507817267</v>
      </c>
      <c r="BO120" t="str">
        <f t="shared" ref="BO120:BO143" si="309">AS120</f>
        <v>12 Other managers and proprietors</v>
      </c>
      <c r="BP120" s="26">
        <f t="shared" si="298"/>
        <v>1.6650667460288595</v>
      </c>
      <c r="BQ120" s="26">
        <f t="shared" si="298"/>
        <v>-4.7246133507324721</v>
      </c>
      <c r="BR120" s="26">
        <f t="shared" si="298"/>
        <v>2.4812622955358314</v>
      </c>
      <c r="BS120" s="26">
        <f t="shared" si="298"/>
        <v>-8.0701595472274263</v>
      </c>
      <c r="BT120" s="26">
        <f t="shared" si="299"/>
        <v>-5.5888972516915949</v>
      </c>
      <c r="BZ120" t="str">
        <f t="shared" ref="BZ120:BZ143" si="310">BD120</f>
        <v>12 Other managers and proprietors</v>
      </c>
      <c r="CA120" s="67">
        <f t="shared" si="300"/>
        <v>0.14776707017106716</v>
      </c>
      <c r="CB120" s="67">
        <f t="shared" si="300"/>
        <v>-1.9663662094353604</v>
      </c>
      <c r="CC120" s="67">
        <f t="shared" si="300"/>
        <v>0.9584745237362533</v>
      </c>
      <c r="CD120" s="67">
        <f t="shared" si="300"/>
        <v>-7.4920960239024978</v>
      </c>
      <c r="CE120" s="67">
        <f t="shared" si="301"/>
        <v>-6.5336215001662445</v>
      </c>
      <c r="CK120" t="str">
        <f t="shared" ref="CK120:CK143" si="311">BO120</f>
        <v>12 Other managers and proprietors</v>
      </c>
      <c r="CL120" s="67">
        <f t="shared" si="302"/>
        <v>-0.93220355121157539</v>
      </c>
      <c r="CM120" s="67">
        <f t="shared" si="302"/>
        <v>-2.1674440020577448</v>
      </c>
      <c r="CN120" s="67">
        <f t="shared" si="302"/>
        <v>0.35735364210660592</v>
      </c>
      <c r="CO120" s="67">
        <f t="shared" si="302"/>
        <v>-1.919425357856686</v>
      </c>
      <c r="CP120" s="67">
        <f t="shared" si="303"/>
        <v>-1.5620717157500801</v>
      </c>
    </row>
    <row r="121" spans="1:94" x14ac:dyDescent="0.2">
      <c r="A121" t="str">
        <f t="shared" si="285"/>
        <v>21 Science, research, engineering and technology professionals</v>
      </c>
      <c r="B121" s="26">
        <f t="shared" si="286"/>
        <v>6.7796905756531061</v>
      </c>
      <c r="C121" s="26">
        <f t="shared" si="286"/>
        <v>1.1810904222022813</v>
      </c>
      <c r="D121" s="26">
        <f t="shared" si="286"/>
        <v>9.1906718262217275</v>
      </c>
      <c r="E121" s="26">
        <f t="shared" si="286"/>
        <v>14.159888548311073</v>
      </c>
      <c r="F121" s="26">
        <f t="shared" si="287"/>
        <v>23.350560374532801</v>
      </c>
      <c r="L121" t="str">
        <f t="shared" si="304"/>
        <v>21 Science, research, engineering and technology professionals</v>
      </c>
      <c r="M121" s="26">
        <f t="shared" si="288"/>
        <v>37.978894381621444</v>
      </c>
      <c r="N121" s="26">
        <f t="shared" si="288"/>
        <v>12.125801422546587</v>
      </c>
      <c r="O121" s="26">
        <f t="shared" si="288"/>
        <v>54.288059212503299</v>
      </c>
      <c r="P121" s="26">
        <f t="shared" si="288"/>
        <v>90.138133721533734</v>
      </c>
      <c r="Q121" s="26">
        <f t="shared" si="289"/>
        <v>144.42619293403703</v>
      </c>
      <c r="W121" t="str">
        <f t="shared" si="305"/>
        <v>21 Science, research, engineering and technology professionals</v>
      </c>
      <c r="X121" s="26">
        <f t="shared" si="290"/>
        <v>12.223564458610269</v>
      </c>
      <c r="Y121" s="26">
        <f t="shared" si="290"/>
        <v>4.663060623683009</v>
      </c>
      <c r="Z121" s="26">
        <f t="shared" si="290"/>
        <v>-10.16942138059062</v>
      </c>
      <c r="AA121" s="26">
        <f t="shared" si="290"/>
        <v>-26.409777133234613</v>
      </c>
      <c r="AB121" s="26">
        <f t="shared" si="291"/>
        <v>-36.579198513825233</v>
      </c>
      <c r="AH121" t="str">
        <f t="shared" si="306"/>
        <v>21 Science, research, engineering and technology professionals</v>
      </c>
      <c r="AI121" s="26">
        <f t="shared" si="292"/>
        <v>1.5282372708630589</v>
      </c>
      <c r="AJ121" s="26">
        <f t="shared" si="292"/>
        <v>1.4371743944546971</v>
      </c>
      <c r="AK121" s="26">
        <f t="shared" si="292"/>
        <v>-0.22706931740287928</v>
      </c>
      <c r="AL121" s="26">
        <f t="shared" si="292"/>
        <v>-1.4521828104186287</v>
      </c>
      <c r="AM121" s="26">
        <f t="shared" si="293"/>
        <v>-1.679252127821508</v>
      </c>
      <c r="AS121" t="str">
        <f t="shared" si="307"/>
        <v>21 Science, research, engineering and technology professionals</v>
      </c>
      <c r="AT121" s="26">
        <f t="shared" si="294"/>
        <v>2.7077413638587231</v>
      </c>
      <c r="AU121" s="26">
        <f t="shared" si="294"/>
        <v>1.6008059705251867</v>
      </c>
      <c r="AV121" s="26">
        <f t="shared" si="294"/>
        <v>-3.4877508668897796</v>
      </c>
      <c r="AW121" s="26">
        <f t="shared" si="294"/>
        <v>-4.6608242901263246</v>
      </c>
      <c r="AX121" s="26">
        <f t="shared" si="295"/>
        <v>-8.1485751570161042</v>
      </c>
      <c r="BD121" t="str">
        <f t="shared" si="308"/>
        <v>21 Science, research, engineering and technology professionals</v>
      </c>
      <c r="BE121" s="26">
        <f t="shared" si="296"/>
        <v>-1.6031783696909194</v>
      </c>
      <c r="BF121" s="26">
        <f t="shared" si="296"/>
        <v>2.9334165486992561</v>
      </c>
      <c r="BG121" s="26">
        <f t="shared" si="296"/>
        <v>-7.5852813458556199</v>
      </c>
      <c r="BH121" s="26">
        <f t="shared" si="296"/>
        <v>-6.7670965037883501</v>
      </c>
      <c r="BI121" s="26">
        <f t="shared" si="297"/>
        <v>-14.35237784964397</v>
      </c>
      <c r="BO121" t="str">
        <f t="shared" si="309"/>
        <v>21 Science, research, engineering and technology professionals</v>
      </c>
      <c r="BP121" s="26">
        <f t="shared" si="298"/>
        <v>2.8171871713879568</v>
      </c>
      <c r="BQ121" s="26">
        <f t="shared" si="298"/>
        <v>-3.8923686968137368</v>
      </c>
      <c r="BR121" s="26">
        <f t="shared" si="298"/>
        <v>-1.9852796291063903</v>
      </c>
      <c r="BS121" s="26">
        <f t="shared" si="298"/>
        <v>-7.0650991349623666</v>
      </c>
      <c r="BT121" s="26">
        <f t="shared" si="299"/>
        <v>-9.050378764068757</v>
      </c>
      <c r="BZ121" t="str">
        <f t="shared" si="310"/>
        <v>21 Science, research, engineering and technology professionals</v>
      </c>
      <c r="CA121" s="67">
        <f t="shared" si="300"/>
        <v>0.99920921724811684</v>
      </c>
      <c r="CB121" s="67">
        <f t="shared" si="300"/>
        <v>-0.71422332975323144</v>
      </c>
      <c r="CC121" s="67">
        <f t="shared" si="300"/>
        <v>-2.5135384659381668</v>
      </c>
      <c r="CD121" s="67">
        <f t="shared" si="300"/>
        <v>-7.6275314711871651</v>
      </c>
      <c r="CE121" s="67">
        <f t="shared" si="301"/>
        <v>-10.141069937125332</v>
      </c>
      <c r="CK121" t="str">
        <f t="shared" si="311"/>
        <v>21 Science, research, engineering and technology professionals</v>
      </c>
      <c r="CL121" s="67">
        <f t="shared" si="302"/>
        <v>0.75096827821820922</v>
      </c>
      <c r="CM121" s="67">
        <f t="shared" si="302"/>
        <v>-1.2754124907395656</v>
      </c>
      <c r="CN121" s="67">
        <f t="shared" si="302"/>
        <v>0.39691789330254768</v>
      </c>
      <c r="CO121" s="67">
        <f t="shared" si="302"/>
        <v>-0.4918145769065001</v>
      </c>
      <c r="CP121" s="67">
        <f t="shared" si="303"/>
        <v>-9.4896683603952425E-2</v>
      </c>
    </row>
    <row r="122" spans="1:94" x14ac:dyDescent="0.2">
      <c r="A122" t="str">
        <f t="shared" si="285"/>
        <v>22 Health professionals</v>
      </c>
      <c r="B122" s="26">
        <f t="shared" si="286"/>
        <v>7.5243847112151201</v>
      </c>
      <c r="C122" s="26">
        <f t="shared" si="286"/>
        <v>2.0279605769111377</v>
      </c>
      <c r="D122" s="26">
        <f t="shared" si="286"/>
        <v>9.3405985095429926</v>
      </c>
      <c r="E122" s="26">
        <f t="shared" si="286"/>
        <v>14.381176860053571</v>
      </c>
      <c r="F122" s="26">
        <f t="shared" si="287"/>
        <v>23.721775369596564</v>
      </c>
      <c r="L122" t="str">
        <f t="shared" si="304"/>
        <v>22 Health professionals</v>
      </c>
      <c r="M122" s="26">
        <f t="shared" si="288"/>
        <v>20.527383301746781</v>
      </c>
      <c r="N122" s="26">
        <f t="shared" si="288"/>
        <v>5.0919068242202741</v>
      </c>
      <c r="O122" s="26">
        <f t="shared" si="288"/>
        <v>23.868594177187845</v>
      </c>
      <c r="P122" s="26">
        <f t="shared" si="288"/>
        <v>36.832783034981176</v>
      </c>
      <c r="Q122" s="26">
        <f t="shared" si="289"/>
        <v>60.701377212169021</v>
      </c>
      <c r="W122" t="str">
        <f t="shared" si="305"/>
        <v>22 Health professionals</v>
      </c>
      <c r="X122" s="26">
        <f t="shared" si="290"/>
        <v>13.256605863346422</v>
      </c>
      <c r="Y122" s="26">
        <f t="shared" si="290"/>
        <v>-0.64973263204016973</v>
      </c>
      <c r="Z122" s="26">
        <f t="shared" si="290"/>
        <v>-3.749565096789226</v>
      </c>
      <c r="AA122" s="26">
        <f t="shared" si="290"/>
        <v>-18.772501782984151</v>
      </c>
      <c r="AB122" s="26">
        <f t="shared" si="291"/>
        <v>-22.522066879773377</v>
      </c>
      <c r="AH122" t="str">
        <f t="shared" si="306"/>
        <v>22 Health professionals</v>
      </c>
      <c r="AI122" s="26">
        <f t="shared" si="292"/>
        <v>-9.9012826686140301</v>
      </c>
      <c r="AJ122" s="26">
        <f t="shared" si="292"/>
        <v>-3.4706003183881222</v>
      </c>
      <c r="AK122" s="26">
        <f t="shared" si="292"/>
        <v>-13.986856109686759</v>
      </c>
      <c r="AL122" s="26">
        <f t="shared" si="292"/>
        <v>-11.933866842745662</v>
      </c>
      <c r="AM122" s="26">
        <f t="shared" si="293"/>
        <v>-25.920722952432421</v>
      </c>
      <c r="AS122" t="str">
        <f t="shared" si="307"/>
        <v>22 Health professionals</v>
      </c>
      <c r="AT122" s="26">
        <f t="shared" si="294"/>
        <v>0.63916183722788222</v>
      </c>
      <c r="AU122" s="26">
        <f t="shared" si="294"/>
        <v>0.82118924632093648</v>
      </c>
      <c r="AV122" s="26">
        <f t="shared" si="294"/>
        <v>-0.34238690951315398</v>
      </c>
      <c r="AW122" s="26">
        <f t="shared" si="294"/>
        <v>-0.68669061201402037</v>
      </c>
      <c r="AX122" s="26">
        <f t="shared" si="295"/>
        <v>-1.0290775215271744</v>
      </c>
      <c r="BD122" t="str">
        <f t="shared" si="308"/>
        <v>22 Health professionals</v>
      </c>
      <c r="BE122" s="26">
        <f t="shared" si="296"/>
        <v>4.3475899050766955</v>
      </c>
      <c r="BF122" s="26">
        <f t="shared" si="296"/>
        <v>-2.968955421405262</v>
      </c>
      <c r="BG122" s="26">
        <f t="shared" si="296"/>
        <v>1.864820013478262</v>
      </c>
      <c r="BH122" s="26">
        <f t="shared" si="296"/>
        <v>-3.5646449845311778</v>
      </c>
      <c r="BI122" s="26">
        <f t="shared" si="297"/>
        <v>-1.6998249710529159</v>
      </c>
      <c r="BO122" t="str">
        <f t="shared" si="309"/>
        <v>22 Health professionals</v>
      </c>
      <c r="BP122" s="26">
        <f t="shared" si="298"/>
        <v>1.961977643757379</v>
      </c>
      <c r="BQ122" s="26">
        <f t="shared" si="298"/>
        <v>-2.4488266936659251</v>
      </c>
      <c r="BR122" s="26">
        <f t="shared" si="298"/>
        <v>-0.18679919846436022</v>
      </c>
      <c r="BS122" s="26">
        <f t="shared" si="298"/>
        <v>-4.536781787261857</v>
      </c>
      <c r="BT122" s="26">
        <f t="shared" si="299"/>
        <v>-4.7235809857262172</v>
      </c>
      <c r="BZ122" t="str">
        <f t="shared" si="310"/>
        <v>22 Health professionals</v>
      </c>
      <c r="CA122" s="67">
        <f t="shared" si="300"/>
        <v>0.88831293073452144</v>
      </c>
      <c r="CB122" s="67">
        <f t="shared" si="300"/>
        <v>-1.0072952202031242</v>
      </c>
      <c r="CC122" s="67">
        <f t="shared" si="300"/>
        <v>-0.14133312764232819</v>
      </c>
      <c r="CD122" s="67">
        <f t="shared" si="300"/>
        <v>-4.0407761581369268</v>
      </c>
      <c r="CE122" s="67">
        <f t="shared" si="301"/>
        <v>-4.182109285779255</v>
      </c>
      <c r="CK122" t="str">
        <f t="shared" si="311"/>
        <v>22 Health professionals</v>
      </c>
      <c r="CL122" s="67">
        <f t="shared" si="302"/>
        <v>0.23826989766055062</v>
      </c>
      <c r="CM122" s="67">
        <f t="shared" si="302"/>
        <v>-0.39453732459746516</v>
      </c>
      <c r="CN122" s="67">
        <f t="shared" si="302"/>
        <v>0.33715939821996599</v>
      </c>
      <c r="CO122" s="67">
        <f t="shared" si="302"/>
        <v>8.5837082345437077E-2</v>
      </c>
      <c r="CP122" s="67">
        <f t="shared" si="303"/>
        <v>0.42299648056540307</v>
      </c>
    </row>
    <row r="123" spans="1:94" x14ac:dyDescent="0.2">
      <c r="A123" t="str">
        <f t="shared" si="285"/>
        <v>23 Teaching and other educational professionals</v>
      </c>
      <c r="B123" s="26">
        <f t="shared" si="286"/>
        <v>4.0197020187030716</v>
      </c>
      <c r="C123" s="26">
        <f t="shared" si="286"/>
        <v>2.554320110184392</v>
      </c>
      <c r="D123" s="26">
        <f t="shared" si="286"/>
        <v>5.8206149322564897</v>
      </c>
      <c r="E123" s="26">
        <f t="shared" si="286"/>
        <v>11.013435095629099</v>
      </c>
      <c r="F123" s="26">
        <f t="shared" si="287"/>
        <v>16.834050027885588</v>
      </c>
      <c r="L123" t="str">
        <f t="shared" si="304"/>
        <v>23 Teaching and other educational professionals</v>
      </c>
      <c r="M123" s="26">
        <f t="shared" si="288"/>
        <v>23.745976059734517</v>
      </c>
      <c r="N123" s="26">
        <f t="shared" si="288"/>
        <v>14.762732304981881</v>
      </c>
      <c r="O123" s="26">
        <f t="shared" si="288"/>
        <v>26.018015922039666</v>
      </c>
      <c r="P123" s="26">
        <f t="shared" si="288"/>
        <v>43.772594236302211</v>
      </c>
      <c r="Q123" s="26">
        <f t="shared" si="289"/>
        <v>69.790610158341877</v>
      </c>
      <c r="W123" t="str">
        <f t="shared" si="305"/>
        <v>23 Teaching and other educational professionals</v>
      </c>
      <c r="X123" s="26">
        <f t="shared" si="290"/>
        <v>-17.013429546704643</v>
      </c>
      <c r="Y123" s="26">
        <f t="shared" si="290"/>
        <v>4.1521198523710012</v>
      </c>
      <c r="Z123" s="26">
        <f t="shared" si="290"/>
        <v>-22.099066634200653</v>
      </c>
      <c r="AA123" s="26">
        <f t="shared" si="290"/>
        <v>-24.04423750905174</v>
      </c>
      <c r="AB123" s="26">
        <f t="shared" si="291"/>
        <v>-46.143304143252394</v>
      </c>
      <c r="AH123" t="str">
        <f t="shared" si="306"/>
        <v>23 Teaching and other educational professionals</v>
      </c>
      <c r="AI123" s="26">
        <f t="shared" si="292"/>
        <v>-5.4047686511317607</v>
      </c>
      <c r="AJ123" s="26">
        <f t="shared" si="292"/>
        <v>4.4393493786607507E-2</v>
      </c>
      <c r="AK123" s="26">
        <f t="shared" si="292"/>
        <v>-1.8879669685211482</v>
      </c>
      <c r="AL123" s="26">
        <f t="shared" si="292"/>
        <v>-0.38989869425388246</v>
      </c>
      <c r="AM123" s="26">
        <f t="shared" si="293"/>
        <v>-2.2778656627750307</v>
      </c>
      <c r="AS123" t="str">
        <f t="shared" si="307"/>
        <v>23 Teaching and other educational professionals</v>
      </c>
      <c r="AT123" s="26">
        <f t="shared" si="294"/>
        <v>-2.0039503487918608E-2</v>
      </c>
      <c r="AU123" s="26">
        <f t="shared" si="294"/>
        <v>0.76457479455427535</v>
      </c>
      <c r="AV123" s="26">
        <f t="shared" si="294"/>
        <v>-0.37409220500033324</v>
      </c>
      <c r="AW123" s="26">
        <f t="shared" si="294"/>
        <v>-0.2377390640599808</v>
      </c>
      <c r="AX123" s="26">
        <f t="shared" si="295"/>
        <v>-0.61183126906031404</v>
      </c>
      <c r="BD123" t="str">
        <f t="shared" si="308"/>
        <v>23 Teaching and other educational professionals</v>
      </c>
      <c r="BE123" s="26">
        <f t="shared" si="296"/>
        <v>-0.48395535061859718</v>
      </c>
      <c r="BF123" s="26">
        <f t="shared" si="296"/>
        <v>1.5633636551582004</v>
      </c>
      <c r="BG123" s="26">
        <f t="shared" si="296"/>
        <v>-0.20498448473070496</v>
      </c>
      <c r="BH123" s="26">
        <f t="shared" si="296"/>
        <v>-1.4853016913313279</v>
      </c>
      <c r="BI123" s="26">
        <f t="shared" si="297"/>
        <v>-1.6902861760620329</v>
      </c>
      <c r="BO123" t="str">
        <f t="shared" si="309"/>
        <v>23 Teaching and other educational professionals</v>
      </c>
      <c r="BP123" s="26">
        <f t="shared" si="298"/>
        <v>0.40673241055331655</v>
      </c>
      <c r="BQ123" s="26">
        <f t="shared" si="298"/>
        <v>-0.74196341419263501</v>
      </c>
      <c r="BR123" s="26">
        <f t="shared" si="298"/>
        <v>0.41817605375320799</v>
      </c>
      <c r="BS123" s="26">
        <f t="shared" si="298"/>
        <v>-0.30762871423852989</v>
      </c>
      <c r="BT123" s="26">
        <f t="shared" si="299"/>
        <v>0.1105473395146781</v>
      </c>
      <c r="BZ123" t="str">
        <f t="shared" si="310"/>
        <v>23 Teaching and other educational professionals</v>
      </c>
      <c r="CA123" s="67">
        <f t="shared" si="300"/>
        <v>-0.23668034011384176</v>
      </c>
      <c r="CB123" s="67">
        <f t="shared" si="300"/>
        <v>4.807688401869914E-2</v>
      </c>
      <c r="CC123" s="67">
        <f t="shared" si="300"/>
        <v>-0.26951824531003155</v>
      </c>
      <c r="CD123" s="67">
        <f t="shared" si="300"/>
        <v>-0.73648153214556356</v>
      </c>
      <c r="CE123" s="67">
        <f t="shared" si="301"/>
        <v>-1.0059997774555951</v>
      </c>
      <c r="CK123" t="str">
        <f t="shared" si="311"/>
        <v>23 Teaching and other educational professionals</v>
      </c>
      <c r="CL123" s="67">
        <f t="shared" si="302"/>
        <v>7.7532113267308134E-2</v>
      </c>
      <c r="CM123" s="67">
        <f t="shared" si="302"/>
        <v>-0.21438255128501926</v>
      </c>
      <c r="CN123" s="67">
        <f t="shared" si="302"/>
        <v>8.8053648409089469E-2</v>
      </c>
      <c r="CO123" s="67">
        <f t="shared" si="302"/>
        <v>-0.4340167269868862</v>
      </c>
      <c r="CP123" s="67">
        <f t="shared" si="303"/>
        <v>-0.34596307857779673</v>
      </c>
    </row>
    <row r="124" spans="1:94" x14ac:dyDescent="0.2">
      <c r="A124" t="str">
        <f t="shared" si="285"/>
        <v>24 Business, media and public service professionals</v>
      </c>
      <c r="B124" s="26">
        <f t="shared" si="286"/>
        <v>5.9732473318662134</v>
      </c>
      <c r="C124" s="26">
        <f t="shared" si="286"/>
        <v>1.6899451508425791</v>
      </c>
      <c r="D124" s="26">
        <f t="shared" si="286"/>
        <v>11.429548509865963</v>
      </c>
      <c r="E124" s="26">
        <f t="shared" si="286"/>
        <v>19.36123631753091</v>
      </c>
      <c r="F124" s="26">
        <f t="shared" si="287"/>
        <v>30.790784827396873</v>
      </c>
      <c r="L124" t="str">
        <f t="shared" si="304"/>
        <v>24 Business, media and public service professionals</v>
      </c>
      <c r="M124" s="26">
        <f t="shared" si="288"/>
        <v>70.544919063897026</v>
      </c>
      <c r="N124" s="26">
        <f t="shared" si="288"/>
        <v>21.638724154886489</v>
      </c>
      <c r="O124" s="26">
        <f t="shared" si="288"/>
        <v>108.53273803423821</v>
      </c>
      <c r="P124" s="26">
        <f t="shared" si="288"/>
        <v>162.76769800381015</v>
      </c>
      <c r="Q124" s="26">
        <f t="shared" si="289"/>
        <v>271.30043603804836</v>
      </c>
      <c r="W124" t="str">
        <f t="shared" si="305"/>
        <v>24 Business, media and public service professionals</v>
      </c>
      <c r="X124" s="26">
        <f t="shared" si="290"/>
        <v>28.65338585192066</v>
      </c>
      <c r="Y124" s="26">
        <f t="shared" si="290"/>
        <v>11.056750395396477</v>
      </c>
      <c r="Z124" s="26">
        <f t="shared" si="290"/>
        <v>-4.5613814384917077</v>
      </c>
      <c r="AA124" s="26">
        <f t="shared" si="290"/>
        <v>-53.946417257176762</v>
      </c>
      <c r="AB124" s="26">
        <f t="shared" si="291"/>
        <v>-58.50779869566847</v>
      </c>
      <c r="AH124" t="str">
        <f t="shared" si="306"/>
        <v>24 Business, media and public service professionals</v>
      </c>
      <c r="AI124" s="26">
        <f t="shared" si="292"/>
        <v>-0.28518641714302362</v>
      </c>
      <c r="AJ124" s="26">
        <f t="shared" si="292"/>
        <v>2.6181515831550008</v>
      </c>
      <c r="AK124" s="26">
        <f t="shared" si="292"/>
        <v>-1.4664634695229282</v>
      </c>
      <c r="AL124" s="26">
        <f t="shared" si="292"/>
        <v>-2.4467247997474786</v>
      </c>
      <c r="AM124" s="26">
        <f t="shared" si="293"/>
        <v>-3.9131882692704067</v>
      </c>
      <c r="AS124" t="str">
        <f t="shared" si="307"/>
        <v>24 Business, media and public service professionals</v>
      </c>
      <c r="AT124" s="26">
        <f t="shared" si="294"/>
        <v>3.8406395318101545</v>
      </c>
      <c r="AU124" s="26">
        <f t="shared" si="294"/>
        <v>3.0435801105414271</v>
      </c>
      <c r="AV124" s="26">
        <f t="shared" si="294"/>
        <v>-0.81173748878253349</v>
      </c>
      <c r="AW124" s="26">
        <f t="shared" si="294"/>
        <v>-6.2650591964468845</v>
      </c>
      <c r="AX124" s="26">
        <f t="shared" si="295"/>
        <v>-7.076796685229418</v>
      </c>
      <c r="BD124" t="str">
        <f t="shared" si="308"/>
        <v>24 Business, media and public service professionals</v>
      </c>
      <c r="BE124" s="26">
        <f t="shared" si="296"/>
        <v>1.127739141276848</v>
      </c>
      <c r="BF124" s="26">
        <f t="shared" si="296"/>
        <v>2.6993923409671083</v>
      </c>
      <c r="BG124" s="26">
        <f t="shared" si="296"/>
        <v>-6.9317649249537894</v>
      </c>
      <c r="BH124" s="26">
        <f t="shared" si="296"/>
        <v>-14.035686047155039</v>
      </c>
      <c r="BI124" s="26">
        <f t="shared" si="297"/>
        <v>-20.967450972108828</v>
      </c>
      <c r="BO124" t="str">
        <f t="shared" si="309"/>
        <v>24 Business, media and public service professionals</v>
      </c>
      <c r="BP124" s="26">
        <f t="shared" si="298"/>
        <v>4.5751739207343185</v>
      </c>
      <c r="BQ124" s="26">
        <f t="shared" si="298"/>
        <v>-5.8916936883073312</v>
      </c>
      <c r="BR124" s="26">
        <f t="shared" si="298"/>
        <v>-2.4133419181189026</v>
      </c>
      <c r="BS124" s="26">
        <f t="shared" si="298"/>
        <v>-12.212644070187018</v>
      </c>
      <c r="BT124" s="26">
        <f t="shared" si="299"/>
        <v>-14.625985988305921</v>
      </c>
      <c r="BZ124" t="str">
        <f t="shared" si="310"/>
        <v>24 Business, media and public service professionals</v>
      </c>
      <c r="CA124" s="67">
        <f t="shared" si="300"/>
        <v>0.94913057573740289</v>
      </c>
      <c r="CB124" s="67">
        <f t="shared" si="300"/>
        <v>4.6729400837278945E-2</v>
      </c>
      <c r="CC124" s="67">
        <f t="shared" si="300"/>
        <v>-3.1362732784714211</v>
      </c>
      <c r="CD124" s="67">
        <f t="shared" si="300"/>
        <v>-11.042458831496287</v>
      </c>
      <c r="CE124" s="67">
        <f t="shared" si="301"/>
        <v>-14.178732109967708</v>
      </c>
      <c r="CK124" t="str">
        <f t="shared" si="311"/>
        <v>24 Business, media and public service professionals</v>
      </c>
      <c r="CL124" s="67">
        <f t="shared" si="302"/>
        <v>0.55468284721443784</v>
      </c>
      <c r="CM124" s="67">
        <f t="shared" si="302"/>
        <v>-1.837294323505799</v>
      </c>
      <c r="CN124" s="67">
        <f t="shared" si="302"/>
        <v>-8.013368320535097E-2</v>
      </c>
      <c r="CO124" s="67">
        <f t="shared" si="302"/>
        <v>-1.7494541773639041</v>
      </c>
      <c r="CP124" s="67">
        <f t="shared" si="303"/>
        <v>-1.829587860569255</v>
      </c>
    </row>
    <row r="125" spans="1:94" x14ac:dyDescent="0.2">
      <c r="A125" t="str">
        <f t="shared" si="285"/>
        <v>31 Science, engineering and technology associate professionals</v>
      </c>
      <c r="B125" s="26">
        <f t="shared" si="286"/>
        <v>1.1206974127414169</v>
      </c>
      <c r="C125" s="26">
        <f t="shared" si="286"/>
        <v>0.2783262614858999</v>
      </c>
      <c r="D125" s="26">
        <f t="shared" si="286"/>
        <v>1.051601761395792</v>
      </c>
      <c r="E125" s="26">
        <f t="shared" si="286"/>
        <v>3.0936391669153567</v>
      </c>
      <c r="F125" s="26">
        <f t="shared" si="287"/>
        <v>4.1452409283111482</v>
      </c>
      <c r="L125" t="str">
        <f t="shared" si="304"/>
        <v>31 Science, engineering and technology associate professionals</v>
      </c>
      <c r="M125" s="26">
        <f t="shared" si="288"/>
        <v>5.9503669802639525</v>
      </c>
      <c r="N125" s="26">
        <f t="shared" si="288"/>
        <v>2.4494764282229973</v>
      </c>
      <c r="O125" s="26">
        <f t="shared" si="288"/>
        <v>3.8184709765685341</v>
      </c>
      <c r="P125" s="26">
        <f t="shared" si="288"/>
        <v>12.165502334378321</v>
      </c>
      <c r="Q125" s="26">
        <f t="shared" si="289"/>
        <v>15.983973310946855</v>
      </c>
      <c r="W125" t="str">
        <f t="shared" si="305"/>
        <v>31 Science, engineering and technology associate professionals</v>
      </c>
      <c r="X125" s="26">
        <f t="shared" si="290"/>
        <v>5.4553060680125682</v>
      </c>
      <c r="Y125" s="26">
        <f t="shared" si="290"/>
        <v>1.9171225744006577</v>
      </c>
      <c r="Z125" s="26">
        <f t="shared" si="290"/>
        <v>-5.0898346313786185</v>
      </c>
      <c r="AA125" s="26">
        <f t="shared" si="290"/>
        <v>-2.1846169044340584</v>
      </c>
      <c r="AB125" s="26">
        <f t="shared" si="291"/>
        <v>-7.2744515358126769</v>
      </c>
      <c r="AH125" t="str">
        <f t="shared" si="306"/>
        <v>31 Science, engineering and technology associate professionals</v>
      </c>
      <c r="AI125" s="26">
        <f t="shared" si="292"/>
        <v>1.1259390784232988</v>
      </c>
      <c r="AJ125" s="26">
        <f t="shared" si="292"/>
        <v>0.69651527729749674</v>
      </c>
      <c r="AK125" s="26">
        <f t="shared" si="292"/>
        <v>-3.017245783310063E-2</v>
      </c>
      <c r="AL125" s="26">
        <f t="shared" si="292"/>
        <v>1.1313706440517493</v>
      </c>
      <c r="AM125" s="26">
        <f t="shared" si="293"/>
        <v>1.1011981862186486</v>
      </c>
      <c r="AS125" t="str">
        <f t="shared" si="307"/>
        <v>31 Science, engineering and technology associate professionals</v>
      </c>
      <c r="AT125" s="26">
        <f t="shared" si="294"/>
        <v>0.69338119988231206</v>
      </c>
      <c r="AU125" s="26">
        <f t="shared" si="294"/>
        <v>0.58083000933392803</v>
      </c>
      <c r="AV125" s="26">
        <f t="shared" si="294"/>
        <v>-2.3079061562067693</v>
      </c>
      <c r="AW125" s="26">
        <f t="shared" si="294"/>
        <v>-1.0286744618743153</v>
      </c>
      <c r="AX125" s="26">
        <f t="shared" si="295"/>
        <v>-3.3365806180810846</v>
      </c>
      <c r="BD125" t="str">
        <f t="shared" si="308"/>
        <v>31 Science, engineering and technology associate professionals</v>
      </c>
      <c r="BE125" s="26">
        <f t="shared" si="296"/>
        <v>-0.43290257545416289</v>
      </c>
      <c r="BF125" s="26">
        <f t="shared" si="296"/>
        <v>1.2692760171350503</v>
      </c>
      <c r="BG125" s="26">
        <f t="shared" si="296"/>
        <v>-3.6815122132720512</v>
      </c>
      <c r="BH125" s="26">
        <f t="shared" si="296"/>
        <v>-2.3389023736498569</v>
      </c>
      <c r="BI125" s="26">
        <f t="shared" si="297"/>
        <v>-6.0204145869219081</v>
      </c>
      <c r="BO125" t="str">
        <f t="shared" si="309"/>
        <v>31 Science, engineering and technology associate professionals</v>
      </c>
      <c r="BP125" s="26">
        <f t="shared" si="298"/>
        <v>1.8844849700214672</v>
      </c>
      <c r="BQ125" s="26">
        <f t="shared" si="298"/>
        <v>-0.90520325516350919</v>
      </c>
      <c r="BR125" s="26">
        <f t="shared" si="298"/>
        <v>-1.2422595481250811</v>
      </c>
      <c r="BS125" s="26">
        <f t="shared" si="298"/>
        <v>-1.4909140787250355</v>
      </c>
      <c r="BT125" s="26">
        <f t="shared" si="299"/>
        <v>-2.7331736268501166</v>
      </c>
      <c r="BZ125" t="str">
        <f t="shared" si="310"/>
        <v>31 Science, engineering and technology associate professionals</v>
      </c>
      <c r="CA125" s="67">
        <f t="shared" si="300"/>
        <v>0.96232454398562428</v>
      </c>
      <c r="CB125" s="67">
        <f t="shared" si="300"/>
        <v>0.24708513866361326</v>
      </c>
      <c r="CC125" s="67">
        <f t="shared" si="300"/>
        <v>-1.8573824231213836</v>
      </c>
      <c r="CD125" s="67">
        <f t="shared" si="300"/>
        <v>-2.7284678671952007</v>
      </c>
      <c r="CE125" s="67">
        <f t="shared" si="301"/>
        <v>-4.5858502903165839</v>
      </c>
      <c r="CK125" t="str">
        <f t="shared" si="311"/>
        <v>31 Science, engineering and technology associate professionals</v>
      </c>
      <c r="CL125" s="67">
        <f t="shared" si="302"/>
        <v>0.64944774203798272</v>
      </c>
      <c r="CM125" s="67">
        <f t="shared" si="302"/>
        <v>-0.4039555738482794</v>
      </c>
      <c r="CN125" s="67">
        <f t="shared" si="302"/>
        <v>0.26882419534667701</v>
      </c>
      <c r="CO125" s="67">
        <f t="shared" si="302"/>
        <v>0.73360105312239865</v>
      </c>
      <c r="CP125" s="67">
        <f t="shared" si="303"/>
        <v>1.0024252484690757</v>
      </c>
    </row>
    <row r="126" spans="1:94" x14ac:dyDescent="0.2">
      <c r="A126" t="str">
        <f t="shared" si="285"/>
        <v>32 Health and social care associate professionals</v>
      </c>
      <c r="B126" s="26">
        <f t="shared" si="286"/>
        <v>0.23468453891535324</v>
      </c>
      <c r="C126" s="26">
        <f t="shared" si="286"/>
        <v>4.2881075329262441E-2</v>
      </c>
      <c r="D126" s="26">
        <f t="shared" si="286"/>
        <v>0.40398575159984984</v>
      </c>
      <c r="E126" s="26">
        <f t="shared" si="286"/>
        <v>0.9948171222937805</v>
      </c>
      <c r="F126" s="26">
        <f t="shared" si="287"/>
        <v>1.3988028738936302</v>
      </c>
      <c r="L126" t="str">
        <f t="shared" si="304"/>
        <v>32 Health and social care associate professionals</v>
      </c>
      <c r="M126" s="26">
        <f t="shared" si="288"/>
        <v>5.195159496214929</v>
      </c>
      <c r="N126" s="26">
        <f t="shared" si="288"/>
        <v>2.2316226766146876</v>
      </c>
      <c r="O126" s="26">
        <f t="shared" si="288"/>
        <v>7.0208571631176397</v>
      </c>
      <c r="P126" s="26">
        <f t="shared" si="288"/>
        <v>17.393934108252488</v>
      </c>
      <c r="Q126" s="26">
        <f t="shared" si="289"/>
        <v>24.414791271370127</v>
      </c>
      <c r="W126" t="str">
        <f t="shared" si="305"/>
        <v>32 Health and social care associate professionals</v>
      </c>
      <c r="X126" s="26">
        <f t="shared" si="290"/>
        <v>5.0769080781049141</v>
      </c>
      <c r="Y126" s="26">
        <f t="shared" si="290"/>
        <v>1.4291289315921176</v>
      </c>
      <c r="Z126" s="26">
        <f t="shared" si="290"/>
        <v>-0.83146729788634133</v>
      </c>
      <c r="AA126" s="26">
        <f t="shared" si="290"/>
        <v>-2.4337768974712901</v>
      </c>
      <c r="AB126" s="26">
        <f t="shared" si="291"/>
        <v>-3.2652441953576314</v>
      </c>
      <c r="AH126" t="str">
        <f t="shared" si="306"/>
        <v>32 Health and social care associate professionals</v>
      </c>
      <c r="AI126" s="26">
        <f t="shared" si="292"/>
        <v>-2.9587187568611704</v>
      </c>
      <c r="AJ126" s="26">
        <f t="shared" si="292"/>
        <v>-0.20032238197475749</v>
      </c>
      <c r="AK126" s="26">
        <f t="shared" si="292"/>
        <v>-5.5843411021351397</v>
      </c>
      <c r="AL126" s="26">
        <f t="shared" si="292"/>
        <v>-6.1292183760156185</v>
      </c>
      <c r="AM126" s="26">
        <f t="shared" si="293"/>
        <v>-11.713559478150758</v>
      </c>
      <c r="AS126" t="str">
        <f t="shared" si="307"/>
        <v>32 Health and social care associate professionals</v>
      </c>
      <c r="AT126" s="26">
        <f t="shared" si="294"/>
        <v>0.47277646778732407</v>
      </c>
      <c r="AU126" s="26">
        <f t="shared" si="294"/>
        <v>0.69117499951966721</v>
      </c>
      <c r="AV126" s="26">
        <f t="shared" si="294"/>
        <v>-0.76738070597568608</v>
      </c>
      <c r="AW126" s="26">
        <f t="shared" si="294"/>
        <v>-0.49823796608328763</v>
      </c>
      <c r="AX126" s="26">
        <f t="shared" si="295"/>
        <v>-1.2656186720589737</v>
      </c>
      <c r="BD126" t="str">
        <f t="shared" si="308"/>
        <v>32 Health and social care associate professionals</v>
      </c>
      <c r="BE126" s="26">
        <f t="shared" si="296"/>
        <v>2.4734802244232323</v>
      </c>
      <c r="BF126" s="26">
        <f t="shared" si="296"/>
        <v>-1.0439089214084127</v>
      </c>
      <c r="BG126" s="26">
        <f t="shared" si="296"/>
        <v>0.1649386473305352</v>
      </c>
      <c r="BH126" s="26">
        <f t="shared" si="296"/>
        <v>-1.3164865715664469</v>
      </c>
      <c r="BI126" s="26">
        <f t="shared" si="297"/>
        <v>-1.1515479242359117</v>
      </c>
      <c r="BO126" t="str">
        <f t="shared" si="309"/>
        <v>32 Health and social care associate professionals</v>
      </c>
      <c r="BP126" s="26">
        <f t="shared" si="298"/>
        <v>1.2880735740820697</v>
      </c>
      <c r="BQ126" s="26">
        <f t="shared" si="298"/>
        <v>-1.3800609077242383</v>
      </c>
      <c r="BR126" s="26">
        <f t="shared" si="298"/>
        <v>-0.53041496560997015</v>
      </c>
      <c r="BS126" s="26">
        <f t="shared" si="298"/>
        <v>-2.6239589595563402</v>
      </c>
      <c r="BT126" s="26">
        <f t="shared" si="299"/>
        <v>-3.1543739251663103</v>
      </c>
      <c r="BZ126" t="str">
        <f t="shared" si="310"/>
        <v>32 Health and social care associate professionals</v>
      </c>
      <c r="CA126" s="67">
        <f t="shared" si="300"/>
        <v>-0.15924437934003333</v>
      </c>
      <c r="CB126" s="67">
        <f t="shared" si="300"/>
        <v>-0.20321272163495152</v>
      </c>
      <c r="CC126" s="67">
        <f t="shared" si="300"/>
        <v>-0.49324928741407437</v>
      </c>
      <c r="CD126" s="67">
        <f t="shared" si="300"/>
        <v>-1.5156967175196798</v>
      </c>
      <c r="CE126" s="67">
        <f t="shared" si="301"/>
        <v>-2.0089460049337542</v>
      </c>
      <c r="CK126" t="str">
        <f t="shared" si="311"/>
        <v>32 Health and social care associate professionals</v>
      </c>
      <c r="CL126" s="67">
        <f t="shared" si="302"/>
        <v>7.6610886647437648E-2</v>
      </c>
      <c r="CM126" s="67">
        <f t="shared" si="302"/>
        <v>-0.22598189773223332</v>
      </c>
      <c r="CN126" s="67">
        <f t="shared" si="302"/>
        <v>9.1249181664793233E-2</v>
      </c>
      <c r="CO126" s="67">
        <f t="shared" si="302"/>
        <v>1.7531337656030654E-2</v>
      </c>
      <c r="CP126" s="67">
        <f t="shared" si="303"/>
        <v>0.10878051932082389</v>
      </c>
    </row>
    <row r="127" spans="1:94" x14ac:dyDescent="0.2">
      <c r="A127" t="str">
        <f t="shared" si="285"/>
        <v>33 Protective service occupations</v>
      </c>
      <c r="B127" s="26">
        <f t="shared" si="286"/>
        <v>5.0518315255630442E-2</v>
      </c>
      <c r="C127" s="26">
        <f t="shared" si="286"/>
        <v>4.4862685583527295E-2</v>
      </c>
      <c r="D127" s="26">
        <f t="shared" si="286"/>
        <v>0.35957729930159898</v>
      </c>
      <c r="E127" s="26">
        <f t="shared" si="286"/>
        <v>0.68495031166624143</v>
      </c>
      <c r="F127" s="26">
        <f t="shared" si="287"/>
        <v>1.0445276109678403</v>
      </c>
      <c r="L127" t="str">
        <f t="shared" si="304"/>
        <v>33 Protective service occupations</v>
      </c>
      <c r="M127" s="26">
        <f t="shared" si="288"/>
        <v>1.9628584551105046</v>
      </c>
      <c r="N127" s="26">
        <f t="shared" si="288"/>
        <v>1.2987388094961743</v>
      </c>
      <c r="O127" s="26">
        <f t="shared" si="288"/>
        <v>6.9787941763825962</v>
      </c>
      <c r="P127" s="26">
        <f t="shared" si="288"/>
        <v>15.066785067121561</v>
      </c>
      <c r="Q127" s="26">
        <f t="shared" si="289"/>
        <v>22.045579243504157</v>
      </c>
      <c r="W127" t="str">
        <f t="shared" si="305"/>
        <v>33 Protective service occupations</v>
      </c>
      <c r="X127" s="26">
        <f t="shared" si="290"/>
        <v>2.6860920969440514</v>
      </c>
      <c r="Y127" s="26">
        <f t="shared" si="290"/>
        <v>2.7826601094009789</v>
      </c>
      <c r="Z127" s="26">
        <f t="shared" si="290"/>
        <v>5.7550523628989154</v>
      </c>
      <c r="AA127" s="26">
        <f t="shared" si="290"/>
        <v>5.557781379552047</v>
      </c>
      <c r="AB127" s="26">
        <f t="shared" si="291"/>
        <v>11.312833742450962</v>
      </c>
      <c r="AH127" t="str">
        <f t="shared" si="306"/>
        <v>33 Protective service occupations</v>
      </c>
      <c r="AI127" s="26">
        <f t="shared" si="292"/>
        <v>0.54794677537803693</v>
      </c>
      <c r="AJ127" s="26">
        <f t="shared" si="292"/>
        <v>0.86712913993594221</v>
      </c>
      <c r="AK127" s="26">
        <f t="shared" si="292"/>
        <v>1.48343965303172</v>
      </c>
      <c r="AL127" s="26">
        <f t="shared" si="292"/>
        <v>1.7519997688320341</v>
      </c>
      <c r="AM127" s="26">
        <f t="shared" si="293"/>
        <v>3.2354394218637541</v>
      </c>
      <c r="AS127" t="str">
        <f t="shared" si="307"/>
        <v>33 Protective service occupations</v>
      </c>
      <c r="AT127" s="26">
        <f t="shared" si="294"/>
        <v>-0.36153382706193771</v>
      </c>
      <c r="AU127" s="26">
        <f t="shared" si="294"/>
        <v>0.42675994560833885</v>
      </c>
      <c r="AV127" s="26">
        <f t="shared" si="294"/>
        <v>-3.821834465142615E-3</v>
      </c>
      <c r="AW127" s="26">
        <f t="shared" si="294"/>
        <v>-0.43908222401630859</v>
      </c>
      <c r="AX127" s="26">
        <f t="shared" si="295"/>
        <v>-0.4429040584814512</v>
      </c>
      <c r="BD127" t="str">
        <f t="shared" si="308"/>
        <v>33 Protective service occupations</v>
      </c>
      <c r="BE127" s="26">
        <f t="shared" si="296"/>
        <v>-1.5774824477148357</v>
      </c>
      <c r="BF127" s="26">
        <f t="shared" si="296"/>
        <v>1.7635889541787328</v>
      </c>
      <c r="BG127" s="26">
        <f t="shared" si="296"/>
        <v>-1.4246986347384034</v>
      </c>
      <c r="BH127" s="26">
        <f t="shared" si="296"/>
        <v>-3.2344489484469019</v>
      </c>
      <c r="BI127" s="26">
        <f t="shared" si="297"/>
        <v>-4.6591475831853053</v>
      </c>
      <c r="BO127" t="str">
        <f t="shared" si="309"/>
        <v>33 Protective service occupations</v>
      </c>
      <c r="BP127" s="26">
        <f t="shared" si="298"/>
        <v>1.3068387604264036</v>
      </c>
      <c r="BQ127" s="26">
        <f t="shared" si="298"/>
        <v>-1.9845479077457036</v>
      </c>
      <c r="BR127" s="26">
        <f t="shared" si="298"/>
        <v>8.1066309892301902E-2</v>
      </c>
      <c r="BS127" s="26">
        <f t="shared" si="298"/>
        <v>-6.0347720384467403</v>
      </c>
      <c r="BT127" s="26">
        <f t="shared" si="299"/>
        <v>-5.9537057285544384</v>
      </c>
      <c r="BZ127" t="str">
        <f t="shared" si="310"/>
        <v>33 Protective service occupations</v>
      </c>
      <c r="CA127" s="67">
        <f t="shared" si="300"/>
        <v>-7.9740482625583198E-3</v>
      </c>
      <c r="CB127" s="67">
        <f t="shared" si="300"/>
        <v>0.18441446791208005</v>
      </c>
      <c r="CC127" s="67">
        <f t="shared" si="300"/>
        <v>0.21863208951287838</v>
      </c>
      <c r="CD127" s="67">
        <f t="shared" si="300"/>
        <v>-0.66836316906050897</v>
      </c>
      <c r="CE127" s="67">
        <f t="shared" si="301"/>
        <v>-0.44973107954763059</v>
      </c>
      <c r="CK127" t="str">
        <f t="shared" si="311"/>
        <v>33 Protective service occupations</v>
      </c>
      <c r="CL127" s="67">
        <f t="shared" si="302"/>
        <v>-0.28566913345059719</v>
      </c>
      <c r="CM127" s="67">
        <f t="shared" si="302"/>
        <v>-0.31257061891165261</v>
      </c>
      <c r="CN127" s="67">
        <f t="shared" si="302"/>
        <v>-0.20942117380382763</v>
      </c>
      <c r="CO127" s="67">
        <f t="shared" si="302"/>
        <v>-0.12419277585652244</v>
      </c>
      <c r="CP127" s="67">
        <f t="shared" si="303"/>
        <v>-0.33361394966035007</v>
      </c>
    </row>
    <row r="128" spans="1:94" x14ac:dyDescent="0.2">
      <c r="A128" t="str">
        <f t="shared" si="285"/>
        <v>34 Culture, media and sports occupations</v>
      </c>
      <c r="B128" s="26">
        <f t="shared" si="286"/>
        <v>0.60303909318328053</v>
      </c>
      <c r="C128" s="26">
        <f t="shared" si="286"/>
        <v>0.27099692092653349</v>
      </c>
      <c r="D128" s="26">
        <f t="shared" si="286"/>
        <v>0.76602453471031851</v>
      </c>
      <c r="E128" s="26">
        <f t="shared" si="286"/>
        <v>1.7537573070338541</v>
      </c>
      <c r="F128" s="26">
        <f t="shared" si="287"/>
        <v>2.5197818417441726</v>
      </c>
      <c r="L128" t="str">
        <f t="shared" si="304"/>
        <v>34 Culture, media and sports occupations</v>
      </c>
      <c r="M128" s="26">
        <f t="shared" si="288"/>
        <v>7.6978164723788183</v>
      </c>
      <c r="N128" s="26">
        <f t="shared" si="288"/>
        <v>15.417665724585611</v>
      </c>
      <c r="O128" s="26">
        <f t="shared" si="288"/>
        <v>23.702018515062676</v>
      </c>
      <c r="P128" s="26">
        <f t="shared" si="288"/>
        <v>46.277606364580308</v>
      </c>
      <c r="Q128" s="26">
        <f t="shared" si="289"/>
        <v>69.979624879642984</v>
      </c>
      <c r="W128" t="str">
        <f t="shared" si="305"/>
        <v>34 Culture, media and sports occupations</v>
      </c>
      <c r="X128" s="26">
        <f t="shared" si="290"/>
        <v>-9.2162347869719383</v>
      </c>
      <c r="Y128" s="26">
        <f t="shared" si="290"/>
        <v>12.422370316262999</v>
      </c>
      <c r="Z128" s="26">
        <f t="shared" si="290"/>
        <v>-4.4526626146728177</v>
      </c>
      <c r="AA128" s="26">
        <f t="shared" si="290"/>
        <v>-9.0383194302240213</v>
      </c>
      <c r="AB128" s="26">
        <f t="shared" si="291"/>
        <v>-13.490982044896839</v>
      </c>
      <c r="AH128" t="str">
        <f t="shared" si="306"/>
        <v>34 Culture, media and sports occupations</v>
      </c>
      <c r="AI128" s="26">
        <f t="shared" si="292"/>
        <v>-4.2758381722798333E-2</v>
      </c>
      <c r="AJ128" s="26">
        <f t="shared" si="292"/>
        <v>2.1453337527655609</v>
      </c>
      <c r="AK128" s="26">
        <f t="shared" si="292"/>
        <v>-0.24041512843596813</v>
      </c>
      <c r="AL128" s="26">
        <f t="shared" si="292"/>
        <v>1.7721491545527446</v>
      </c>
      <c r="AM128" s="26">
        <f t="shared" si="293"/>
        <v>1.5317340261167764</v>
      </c>
      <c r="AS128" t="str">
        <f t="shared" si="307"/>
        <v>34 Culture, media and sports occupations</v>
      </c>
      <c r="AT128" s="26">
        <f t="shared" si="294"/>
        <v>-1.9459025405222192</v>
      </c>
      <c r="AU128" s="26">
        <f t="shared" si="294"/>
        <v>1.4905846561493057</v>
      </c>
      <c r="AV128" s="26">
        <f t="shared" si="294"/>
        <v>-1.8130683984438054</v>
      </c>
      <c r="AW128" s="26">
        <f t="shared" si="294"/>
        <v>-1.6692400950791715</v>
      </c>
      <c r="AX128" s="26">
        <f t="shared" si="295"/>
        <v>-3.4823084935229769</v>
      </c>
      <c r="BD128" t="str">
        <f t="shared" si="308"/>
        <v>34 Culture, media and sports occupations</v>
      </c>
      <c r="BE128" s="26">
        <f t="shared" si="296"/>
        <v>-4.7466671710376289</v>
      </c>
      <c r="BF128" s="26">
        <f t="shared" si="296"/>
        <v>2.7546087390156195</v>
      </c>
      <c r="BG128" s="26">
        <f t="shared" si="296"/>
        <v>-4.6946291606953778</v>
      </c>
      <c r="BH128" s="26">
        <f t="shared" si="296"/>
        <v>-5.5162021611248093</v>
      </c>
      <c r="BI128" s="26">
        <f t="shared" si="297"/>
        <v>-10.210831321820187</v>
      </c>
      <c r="BO128" t="str">
        <f t="shared" si="309"/>
        <v>34 Culture, media and sports occupations</v>
      </c>
      <c r="BP128" s="26">
        <f t="shared" si="298"/>
        <v>-1.3096847349650069</v>
      </c>
      <c r="BQ128" s="26">
        <f t="shared" si="298"/>
        <v>-1.4507397436705745</v>
      </c>
      <c r="BR128" s="26">
        <f t="shared" si="298"/>
        <v>-2.6100522628855884</v>
      </c>
      <c r="BS128" s="26">
        <f t="shared" si="298"/>
        <v>-4.0289481878618094</v>
      </c>
      <c r="BT128" s="26">
        <f t="shared" si="299"/>
        <v>-6.6390004507473979</v>
      </c>
      <c r="BZ128" t="str">
        <f t="shared" si="310"/>
        <v>34 Culture, media and sports occupations</v>
      </c>
      <c r="CA128" s="67">
        <f t="shared" si="300"/>
        <v>-1.8711215446359599</v>
      </c>
      <c r="CB128" s="67">
        <f t="shared" si="300"/>
        <v>8.1822343047420532E-2</v>
      </c>
      <c r="CC128" s="67">
        <f t="shared" si="300"/>
        <v>-1.8061906123529123</v>
      </c>
      <c r="CD128" s="67">
        <f t="shared" si="300"/>
        <v>-3.0518776575469868</v>
      </c>
      <c r="CE128" s="67">
        <f t="shared" si="301"/>
        <v>-4.8580682698998991</v>
      </c>
      <c r="CK128" t="str">
        <f t="shared" si="311"/>
        <v>34 Culture, media and sports occupations</v>
      </c>
      <c r="CL128" s="67">
        <f t="shared" si="302"/>
        <v>-0.10166545544471406</v>
      </c>
      <c r="CM128" s="67">
        <f t="shared" si="302"/>
        <v>-1.2093320967087879</v>
      </c>
      <c r="CN128" s="67">
        <f t="shared" si="302"/>
        <v>-0.2995572676302789</v>
      </c>
      <c r="CO128" s="67">
        <f t="shared" si="302"/>
        <v>-0.9555127838142865</v>
      </c>
      <c r="CP128" s="67">
        <f t="shared" si="303"/>
        <v>-1.2550700514445654</v>
      </c>
    </row>
    <row r="129" spans="1:94" x14ac:dyDescent="0.2">
      <c r="A129" t="str">
        <f t="shared" si="285"/>
        <v>35 Business and public service associate professionals</v>
      </c>
      <c r="B129" s="26">
        <f t="shared" si="286"/>
        <v>3.2187029241610734</v>
      </c>
      <c r="C129" s="26">
        <f t="shared" si="286"/>
        <v>0.92673031229053215</v>
      </c>
      <c r="D129" s="26">
        <f t="shared" si="286"/>
        <v>5.2442414086437665</v>
      </c>
      <c r="E129" s="26">
        <f t="shared" si="286"/>
        <v>11.712262212037373</v>
      </c>
      <c r="F129" s="26">
        <f t="shared" si="287"/>
        <v>16.95650362068114</v>
      </c>
      <c r="L129" t="str">
        <f t="shared" si="304"/>
        <v>35 Business and public service associate professionals</v>
      </c>
      <c r="M129" s="26">
        <f t="shared" si="288"/>
        <v>31.409955493632339</v>
      </c>
      <c r="N129" s="26">
        <f t="shared" si="288"/>
        <v>9.960053644078215</v>
      </c>
      <c r="O129" s="26">
        <f t="shared" si="288"/>
        <v>41.066895698894484</v>
      </c>
      <c r="P129" s="26">
        <f t="shared" si="288"/>
        <v>82.799179899581617</v>
      </c>
      <c r="Q129" s="26">
        <f t="shared" si="289"/>
        <v>123.8660755984761</v>
      </c>
      <c r="W129" t="str">
        <f t="shared" si="305"/>
        <v>35 Business and public service associate professionals</v>
      </c>
      <c r="X129" s="26">
        <f t="shared" si="290"/>
        <v>6.168974965695071</v>
      </c>
      <c r="Y129" s="26">
        <f t="shared" si="290"/>
        <v>1.7939279092161371</v>
      </c>
      <c r="Z129" s="26">
        <f t="shared" si="290"/>
        <v>-20.297503526548297</v>
      </c>
      <c r="AA129" s="26">
        <f t="shared" si="290"/>
        <v>-26.593751553770176</v>
      </c>
      <c r="AB129" s="26">
        <f t="shared" si="291"/>
        <v>-46.891255080318473</v>
      </c>
      <c r="AH129" t="str">
        <f t="shared" si="306"/>
        <v>35 Business and public service associate professionals</v>
      </c>
      <c r="AI129" s="26">
        <f t="shared" si="292"/>
        <v>1.2311854636817827</v>
      </c>
      <c r="AJ129" s="26">
        <f t="shared" si="292"/>
        <v>4.895062767873803</v>
      </c>
      <c r="AK129" s="26">
        <f t="shared" si="292"/>
        <v>-4.3722813406226564</v>
      </c>
      <c r="AL129" s="26">
        <f t="shared" si="292"/>
        <v>-3.4655704500511817</v>
      </c>
      <c r="AM129" s="26">
        <f t="shared" si="293"/>
        <v>-7.8378517906738381</v>
      </c>
      <c r="AS129" t="str">
        <f t="shared" si="307"/>
        <v>35 Business and public service associate professionals</v>
      </c>
      <c r="AT129" s="26">
        <f t="shared" si="294"/>
        <v>0.98324646997935616</v>
      </c>
      <c r="AU129" s="26">
        <f t="shared" si="294"/>
        <v>2.4714273607298978</v>
      </c>
      <c r="AV129" s="26">
        <f t="shared" si="294"/>
        <v>-4.5606287774155518</v>
      </c>
      <c r="AW129" s="26">
        <f t="shared" si="294"/>
        <v>-3.7326974045541732</v>
      </c>
      <c r="AX129" s="26">
        <f t="shared" si="295"/>
        <v>-8.293326181969725</v>
      </c>
      <c r="BD129" t="str">
        <f t="shared" si="308"/>
        <v>35 Business and public service associate professionals</v>
      </c>
      <c r="BE129" s="26">
        <f t="shared" si="296"/>
        <v>-2.2387448973008333</v>
      </c>
      <c r="BF129" s="26">
        <f t="shared" si="296"/>
        <v>-0.22284076529068386</v>
      </c>
      <c r="BG129" s="26">
        <f t="shared" si="296"/>
        <v>-13.756136226728664</v>
      </c>
      <c r="BH129" s="26">
        <f t="shared" si="296"/>
        <v>-13.380371572346981</v>
      </c>
      <c r="BI129" s="26">
        <f t="shared" si="297"/>
        <v>-27.136507799075645</v>
      </c>
      <c r="BO129" t="str">
        <f t="shared" si="309"/>
        <v>35 Business and public service associate professionals</v>
      </c>
      <c r="BP129" s="26">
        <f t="shared" si="298"/>
        <v>2.6707977848366511</v>
      </c>
      <c r="BQ129" s="26">
        <f t="shared" si="298"/>
        <v>-9.6400160794321934</v>
      </c>
      <c r="BR129" s="26">
        <f t="shared" si="298"/>
        <v>-9.1548241124596004</v>
      </c>
      <c r="BS129" s="26">
        <f t="shared" si="298"/>
        <v>-14.622788302122515</v>
      </c>
      <c r="BT129" s="26">
        <f t="shared" si="299"/>
        <v>-23.777612414582116</v>
      </c>
      <c r="BZ129" t="str">
        <f t="shared" si="310"/>
        <v>35 Business and public service associate professionals</v>
      </c>
      <c r="CA129" s="67">
        <f t="shared" si="300"/>
        <v>-2.5181764734920122</v>
      </c>
      <c r="CB129" s="67">
        <f t="shared" si="300"/>
        <v>-1.5765624172387263</v>
      </c>
      <c r="CC129" s="67">
        <f t="shared" si="300"/>
        <v>-7.627516624536856</v>
      </c>
      <c r="CD129" s="67">
        <f t="shared" si="300"/>
        <v>-13.4512183628876</v>
      </c>
      <c r="CE129" s="67">
        <f t="shared" si="301"/>
        <v>-21.078734987424454</v>
      </c>
      <c r="CK129" t="str">
        <f t="shared" si="311"/>
        <v>35 Business and public service associate professionals</v>
      </c>
      <c r="CL129" s="67">
        <f t="shared" si="302"/>
        <v>-0.36664658905057479</v>
      </c>
      <c r="CM129" s="67">
        <f t="shared" si="302"/>
        <v>-2.5126403724079767</v>
      </c>
      <c r="CN129" s="67">
        <f t="shared" si="302"/>
        <v>-0.96763683027755043</v>
      </c>
      <c r="CO129" s="67">
        <f t="shared" si="302"/>
        <v>-0.98849883934558269</v>
      </c>
      <c r="CP129" s="67">
        <f t="shared" si="303"/>
        <v>-1.9561356696231331</v>
      </c>
    </row>
    <row r="130" spans="1:94" x14ac:dyDescent="0.2">
      <c r="A130" t="str">
        <f t="shared" si="285"/>
        <v>41 Administrative occupations</v>
      </c>
      <c r="B130" s="26">
        <f t="shared" si="286"/>
        <v>0.85524949831571195</v>
      </c>
      <c r="C130" s="26">
        <f t="shared" si="286"/>
        <v>0.61645284919097731</v>
      </c>
      <c r="D130" s="26">
        <f t="shared" si="286"/>
        <v>1.774741928977269</v>
      </c>
      <c r="E130" s="26">
        <f t="shared" si="286"/>
        <v>4.5427303935006709</v>
      </c>
      <c r="F130" s="26">
        <f t="shared" si="287"/>
        <v>6.3174723224779399</v>
      </c>
      <c r="L130" t="str">
        <f t="shared" si="304"/>
        <v>41 Administrative occupations</v>
      </c>
      <c r="M130" s="26">
        <f t="shared" si="288"/>
        <v>8.7499816372713397</v>
      </c>
      <c r="N130" s="26">
        <f t="shared" si="288"/>
        <v>8.0335873309874017</v>
      </c>
      <c r="O130" s="26">
        <f t="shared" si="288"/>
        <v>18.35488270537676</v>
      </c>
      <c r="P130" s="26">
        <f t="shared" si="288"/>
        <v>42.673728698985428</v>
      </c>
      <c r="Q130" s="26">
        <f t="shared" si="289"/>
        <v>61.028611404362188</v>
      </c>
      <c r="W130" t="str">
        <f t="shared" si="305"/>
        <v>41 Administrative occupations</v>
      </c>
      <c r="X130" s="26">
        <f t="shared" si="290"/>
        <v>0.99242744142701156</v>
      </c>
      <c r="Y130" s="26">
        <f t="shared" si="290"/>
        <v>10.954099940903944</v>
      </c>
      <c r="Z130" s="26">
        <f t="shared" si="290"/>
        <v>-4.6803386003324476</v>
      </c>
      <c r="AA130" s="26">
        <f t="shared" si="290"/>
        <v>-6.2089913578378457</v>
      </c>
      <c r="AB130" s="26">
        <f t="shared" si="291"/>
        <v>-10.889329958170293</v>
      </c>
      <c r="AH130" t="str">
        <f t="shared" si="306"/>
        <v>41 Administrative occupations</v>
      </c>
      <c r="AI130" s="26">
        <f t="shared" si="292"/>
        <v>4.1188563161110636E-2</v>
      </c>
      <c r="AJ130" s="26">
        <f t="shared" si="292"/>
        <v>4.2164530592142384</v>
      </c>
      <c r="AK130" s="26">
        <f t="shared" si="292"/>
        <v>-2.6673458014384046</v>
      </c>
      <c r="AL130" s="26">
        <f t="shared" si="292"/>
        <v>-2.5179045675418514</v>
      </c>
      <c r="AM130" s="26">
        <f t="shared" si="293"/>
        <v>-5.185250368980256</v>
      </c>
      <c r="AS130" t="str">
        <f t="shared" si="307"/>
        <v>41 Administrative occupations</v>
      </c>
      <c r="AT130" s="26">
        <f t="shared" si="294"/>
        <v>-0.33451384151218022</v>
      </c>
      <c r="AU130" s="26">
        <f t="shared" si="294"/>
        <v>3.4425074880181512</v>
      </c>
      <c r="AV130" s="26">
        <f t="shared" si="294"/>
        <v>-3.6966707747754093</v>
      </c>
      <c r="AW130" s="26">
        <f t="shared" si="294"/>
        <v>-2.5757634358570982</v>
      </c>
      <c r="AX130" s="26">
        <f t="shared" si="295"/>
        <v>-6.2724342106325075</v>
      </c>
      <c r="BD130" t="str">
        <f t="shared" si="308"/>
        <v>41 Administrative occupations</v>
      </c>
      <c r="BE130" s="26">
        <f t="shared" si="296"/>
        <v>-2.4958179169304344</v>
      </c>
      <c r="BF130" s="26">
        <f t="shared" si="296"/>
        <v>-3.2164819403842984</v>
      </c>
      <c r="BG130" s="26">
        <f t="shared" si="296"/>
        <v>-11.314834857256969</v>
      </c>
      <c r="BH130" s="26">
        <f t="shared" si="296"/>
        <v>-23.201617384346072</v>
      </c>
      <c r="BI130" s="26">
        <f t="shared" si="297"/>
        <v>-34.516452241603041</v>
      </c>
      <c r="BO130" t="str">
        <f t="shared" si="309"/>
        <v>41 Administrative occupations</v>
      </c>
      <c r="BP130" s="26">
        <f t="shared" si="298"/>
        <v>-4.3828126845562991</v>
      </c>
      <c r="BQ130" s="26">
        <f t="shared" si="298"/>
        <v>-8.4610643029194108</v>
      </c>
      <c r="BR130" s="26">
        <f t="shared" si="298"/>
        <v>-13.824311306809314</v>
      </c>
      <c r="BS130" s="26">
        <f t="shared" si="298"/>
        <v>-24.964872243991316</v>
      </c>
      <c r="BT130" s="26">
        <f t="shared" si="299"/>
        <v>-38.78918355080063</v>
      </c>
      <c r="BZ130" t="str">
        <f t="shared" si="310"/>
        <v>41 Administrative occupations</v>
      </c>
      <c r="CA130" s="67">
        <f t="shared" si="300"/>
        <v>-9.0653402754928294</v>
      </c>
      <c r="CB130" s="67">
        <f t="shared" si="300"/>
        <v>-0.46765716009579705</v>
      </c>
      <c r="CC130" s="67">
        <f t="shared" si="300"/>
        <v>-19.810492283347489</v>
      </c>
      <c r="CD130" s="67">
        <f t="shared" si="300"/>
        <v>-15.495582651168203</v>
      </c>
      <c r="CE130" s="67">
        <f t="shared" si="301"/>
        <v>-35.306074934515692</v>
      </c>
      <c r="CK130" t="str">
        <f t="shared" si="311"/>
        <v>41 Administrative occupations</v>
      </c>
      <c r="CL130" s="67">
        <f t="shared" si="302"/>
        <v>-2.4551225944141954</v>
      </c>
      <c r="CM130" s="67">
        <f t="shared" si="302"/>
        <v>-3.222087229924365</v>
      </c>
      <c r="CN130" s="67">
        <f t="shared" si="302"/>
        <v>-2.0653995304881763</v>
      </c>
      <c r="CO130" s="67">
        <f t="shared" si="302"/>
        <v>-2.3375961962368748</v>
      </c>
      <c r="CP130" s="67">
        <f t="shared" si="303"/>
        <v>-4.4029957267250506</v>
      </c>
    </row>
    <row r="131" spans="1:94" x14ac:dyDescent="0.2">
      <c r="A131" t="str">
        <f t="shared" si="285"/>
        <v>42 Secretarial and related occupations</v>
      </c>
      <c r="B131" s="26">
        <f t="shared" si="286"/>
        <v>0.13285119410412605</v>
      </c>
      <c r="C131" s="26">
        <f t="shared" si="286"/>
        <v>6.3369743670063094E-3</v>
      </c>
      <c r="D131" s="26">
        <f t="shared" si="286"/>
        <v>0.35545403421554334</v>
      </c>
      <c r="E131" s="26">
        <f t="shared" si="286"/>
        <v>0.93729778063900804</v>
      </c>
      <c r="F131" s="26">
        <f t="shared" si="287"/>
        <v>1.2927518148545514</v>
      </c>
      <c r="L131" t="str">
        <f t="shared" si="304"/>
        <v>42 Secretarial and related occupations</v>
      </c>
      <c r="M131" s="26">
        <f t="shared" si="288"/>
        <v>1.3386925054259287</v>
      </c>
      <c r="N131" s="26">
        <f t="shared" si="288"/>
        <v>0.66435173305900452</v>
      </c>
      <c r="O131" s="26">
        <f t="shared" si="288"/>
        <v>5.7196205941824143</v>
      </c>
      <c r="P131" s="26">
        <f t="shared" si="288"/>
        <v>6.9279894908928004</v>
      </c>
      <c r="Q131" s="26">
        <f t="shared" si="289"/>
        <v>12.647610085075215</v>
      </c>
      <c r="W131" t="str">
        <f t="shared" si="305"/>
        <v>42 Secretarial and related occupations</v>
      </c>
      <c r="X131" s="26">
        <f t="shared" si="290"/>
        <v>3.2134578951332315E-2</v>
      </c>
      <c r="Y131" s="26">
        <f t="shared" si="290"/>
        <v>1.1459098604134788</v>
      </c>
      <c r="Z131" s="26">
        <f t="shared" si="290"/>
        <v>7.4002309165939266</v>
      </c>
      <c r="AA131" s="26">
        <f t="shared" si="290"/>
        <v>6.0432175752483666</v>
      </c>
      <c r="AB131" s="26">
        <f t="shared" si="291"/>
        <v>13.443448491842293</v>
      </c>
      <c r="AH131" t="str">
        <f t="shared" si="306"/>
        <v>42 Secretarial and related occupations</v>
      </c>
      <c r="AI131" s="26">
        <f t="shared" si="292"/>
        <v>-8.4011168157835492E-2</v>
      </c>
      <c r="AJ131" s="26">
        <f t="shared" si="292"/>
        <v>1.0485020520646513</v>
      </c>
      <c r="AK131" s="26">
        <f t="shared" si="292"/>
        <v>2.3845670301640141</v>
      </c>
      <c r="AL131" s="26">
        <f t="shared" si="292"/>
        <v>0.80152608561386174</v>
      </c>
      <c r="AM131" s="26">
        <f t="shared" si="293"/>
        <v>3.1860931157778758</v>
      </c>
      <c r="AS131" t="str">
        <f t="shared" si="307"/>
        <v>42 Secretarial and related occupations</v>
      </c>
      <c r="AT131" s="26">
        <f t="shared" si="294"/>
        <v>-0.58103415101438483</v>
      </c>
      <c r="AU131" s="26">
        <f t="shared" si="294"/>
        <v>0.31081399143317423</v>
      </c>
      <c r="AV131" s="26">
        <f t="shared" si="294"/>
        <v>0.9336818992693221</v>
      </c>
      <c r="AW131" s="26">
        <f t="shared" si="294"/>
        <v>-1.6214098716654917</v>
      </c>
      <c r="AX131" s="26">
        <f t="shared" si="295"/>
        <v>-0.68772797239616956</v>
      </c>
      <c r="BD131" t="str">
        <f t="shared" si="308"/>
        <v>42 Secretarial and related occupations</v>
      </c>
      <c r="BE131" s="26">
        <f t="shared" si="296"/>
        <v>-1.376519992984031</v>
      </c>
      <c r="BF131" s="26">
        <f t="shared" si="296"/>
        <v>-2.5517725960145228</v>
      </c>
      <c r="BG131" s="26">
        <f t="shared" si="296"/>
        <v>-1.8166633333240227</v>
      </c>
      <c r="BH131" s="26">
        <f t="shared" si="296"/>
        <v>-8.4726317960920063</v>
      </c>
      <c r="BI131" s="26">
        <f t="shared" si="297"/>
        <v>-10.289295129416029</v>
      </c>
      <c r="BO131" t="str">
        <f t="shared" si="309"/>
        <v>42 Secretarial and related occupations</v>
      </c>
      <c r="BP131" s="26">
        <f t="shared" si="298"/>
        <v>-3.707228274360963</v>
      </c>
      <c r="BQ131" s="26">
        <f t="shared" si="298"/>
        <v>-3.0000686555573761</v>
      </c>
      <c r="BR131" s="26">
        <f t="shared" si="298"/>
        <v>-4.7770059670771738</v>
      </c>
      <c r="BS131" s="26">
        <f t="shared" si="298"/>
        <v>-6.6780375220919685</v>
      </c>
      <c r="BT131" s="26">
        <f t="shared" si="299"/>
        <v>-11.455043489169142</v>
      </c>
      <c r="BZ131" t="str">
        <f t="shared" si="310"/>
        <v>42 Secretarial and related occupations</v>
      </c>
      <c r="CA131" s="67">
        <f t="shared" si="300"/>
        <v>-4.0900158939305946</v>
      </c>
      <c r="CB131" s="67">
        <f t="shared" si="300"/>
        <v>-0.64267213201476281</v>
      </c>
      <c r="CC131" s="67">
        <f t="shared" si="300"/>
        <v>-11.077320394326691</v>
      </c>
      <c r="CD131" s="67">
        <f t="shared" si="300"/>
        <v>-5.6852965592915705</v>
      </c>
      <c r="CE131" s="67">
        <f t="shared" si="301"/>
        <v>-16.762616953618259</v>
      </c>
      <c r="CK131" t="str">
        <f t="shared" si="311"/>
        <v>42 Secretarial and related occupations</v>
      </c>
      <c r="CL131" s="67">
        <f t="shared" si="302"/>
        <v>-0.34384748594188697</v>
      </c>
      <c r="CM131" s="67">
        <f t="shared" si="302"/>
        <v>-1.4494698907844406</v>
      </c>
      <c r="CN131" s="67">
        <f t="shared" si="302"/>
        <v>0.30492991948872383</v>
      </c>
      <c r="CO131" s="67">
        <f t="shared" si="302"/>
        <v>-1.8703450058713509</v>
      </c>
      <c r="CP131" s="67">
        <f t="shared" si="303"/>
        <v>-1.5654150863826271</v>
      </c>
    </row>
    <row r="132" spans="1:94" x14ac:dyDescent="0.2">
      <c r="A132" t="str">
        <f t="shared" si="285"/>
        <v>51 Skilled agricultural and related trades</v>
      </c>
      <c r="B132" s="26">
        <f t="shared" si="286"/>
        <v>4.2139293924317978E-2</v>
      </c>
      <c r="C132" s="26">
        <f t="shared" si="286"/>
        <v>-2.0384262265269404E-2</v>
      </c>
      <c r="D132" s="26">
        <f t="shared" si="286"/>
        <v>4.9837488594316914E-2</v>
      </c>
      <c r="E132" s="26">
        <f t="shared" si="286"/>
        <v>0.13792799594690677</v>
      </c>
      <c r="F132" s="26">
        <f t="shared" si="287"/>
        <v>0.18776548454122369</v>
      </c>
      <c r="L132" t="str">
        <f t="shared" si="304"/>
        <v>51 Skilled agricultural and related trades</v>
      </c>
      <c r="M132" s="26">
        <f t="shared" si="288"/>
        <v>0.32902049850486759</v>
      </c>
      <c r="N132" s="26">
        <f t="shared" si="288"/>
        <v>-0.14038035990252817</v>
      </c>
      <c r="O132" s="26">
        <f t="shared" si="288"/>
        <v>0.47607170103834151</v>
      </c>
      <c r="P132" s="26">
        <f t="shared" si="288"/>
        <v>1.2617936310984434</v>
      </c>
      <c r="Q132" s="26">
        <f t="shared" si="289"/>
        <v>1.737865332136785</v>
      </c>
      <c r="W132" t="str">
        <f t="shared" si="305"/>
        <v>51 Skilled agricultural and related trades</v>
      </c>
      <c r="X132" s="26">
        <f t="shared" si="290"/>
        <v>8.3091175539167228E-2</v>
      </c>
      <c r="Y132" s="26">
        <f t="shared" si="290"/>
        <v>1.4268813810920862</v>
      </c>
      <c r="Z132" s="26">
        <f t="shared" si="290"/>
        <v>0.81561414384209208</v>
      </c>
      <c r="AA132" s="26">
        <f t="shared" si="290"/>
        <v>2.5104476459327838</v>
      </c>
      <c r="AB132" s="26">
        <f t="shared" si="291"/>
        <v>3.3260617897748759</v>
      </c>
      <c r="AH132" t="str">
        <f t="shared" si="306"/>
        <v>51 Skilled agricultural and related trades</v>
      </c>
      <c r="AI132" s="26">
        <f t="shared" si="292"/>
        <v>0.23301730766121675</v>
      </c>
      <c r="AJ132" s="26">
        <f t="shared" si="292"/>
        <v>5.1279745614846828E-2</v>
      </c>
      <c r="AK132" s="26">
        <f t="shared" si="292"/>
        <v>0.46412687679058307</v>
      </c>
      <c r="AL132" s="26">
        <f t="shared" si="292"/>
        <v>0.78912394385832529</v>
      </c>
      <c r="AM132" s="26">
        <f t="shared" si="293"/>
        <v>1.2532508206489084</v>
      </c>
      <c r="AS132" t="str">
        <f t="shared" si="307"/>
        <v>51 Skilled agricultural and related trades</v>
      </c>
      <c r="AT132" s="26">
        <f t="shared" si="294"/>
        <v>0.12937345587793692</v>
      </c>
      <c r="AU132" s="26">
        <f t="shared" si="294"/>
        <v>7.4582720452209816E-2</v>
      </c>
      <c r="AV132" s="26">
        <f t="shared" si="294"/>
        <v>0.369256937210515</v>
      </c>
      <c r="AW132" s="26">
        <f t="shared" si="294"/>
        <v>1.1721293877888161</v>
      </c>
      <c r="AX132" s="26">
        <f t="shared" si="295"/>
        <v>1.5413863249993311</v>
      </c>
      <c r="BD132" t="str">
        <f t="shared" si="308"/>
        <v>51 Skilled agricultural and related trades</v>
      </c>
      <c r="BE132" s="26">
        <f t="shared" si="296"/>
        <v>-0.23304979150806338</v>
      </c>
      <c r="BF132" s="26">
        <f t="shared" si="296"/>
        <v>-6.0347973225090001E-2</v>
      </c>
      <c r="BG132" s="26">
        <f t="shared" si="296"/>
        <v>-0.56682791865262394</v>
      </c>
      <c r="BH132" s="26">
        <f t="shared" si="296"/>
        <v>-0.45063442690989031</v>
      </c>
      <c r="BI132" s="26">
        <f t="shared" si="297"/>
        <v>-1.0174623455625142</v>
      </c>
      <c r="BO132" t="str">
        <f t="shared" si="309"/>
        <v>51 Skilled agricultural and related trades</v>
      </c>
      <c r="BP132" s="26">
        <f t="shared" si="298"/>
        <v>0.66604903022933115</v>
      </c>
      <c r="BQ132" s="26">
        <f t="shared" si="298"/>
        <v>-1.1434123949424171</v>
      </c>
      <c r="BR132" s="26">
        <f t="shared" si="298"/>
        <v>0.37336512285392853</v>
      </c>
      <c r="BS132" s="26">
        <f t="shared" si="298"/>
        <v>-0.3485860584334981</v>
      </c>
      <c r="BT132" s="26">
        <f t="shared" si="299"/>
        <v>2.477906442043043E-2</v>
      </c>
      <c r="BZ132" t="str">
        <f t="shared" si="310"/>
        <v>51 Skilled agricultural and related trades</v>
      </c>
      <c r="CA132" s="67">
        <f t="shared" si="300"/>
        <v>-0.2318439516537838</v>
      </c>
      <c r="CB132" s="67">
        <f t="shared" si="300"/>
        <v>-0.37409547325278414</v>
      </c>
      <c r="CC132" s="67">
        <f t="shared" si="300"/>
        <v>0.16150136859775532</v>
      </c>
      <c r="CD132" s="67">
        <f t="shared" si="300"/>
        <v>1.2085484165056855</v>
      </c>
      <c r="CE132" s="67">
        <f t="shared" si="301"/>
        <v>1.3700497851034408</v>
      </c>
      <c r="CK132" t="str">
        <f t="shared" si="311"/>
        <v>51 Skilled agricultural and related trades</v>
      </c>
      <c r="CL132" s="67">
        <f t="shared" si="302"/>
        <v>-0.84854708530514777</v>
      </c>
      <c r="CM132" s="67">
        <f t="shared" si="302"/>
        <v>-1.0530406071821288</v>
      </c>
      <c r="CN132" s="67">
        <f t="shared" si="302"/>
        <v>-0.1561292377179897</v>
      </c>
      <c r="CO132" s="67">
        <f t="shared" si="302"/>
        <v>-1.0173424462484015</v>
      </c>
      <c r="CP132" s="67">
        <f t="shared" si="303"/>
        <v>-1.1734716839663912</v>
      </c>
    </row>
    <row r="133" spans="1:94" x14ac:dyDescent="0.2">
      <c r="A133" t="str">
        <f t="shared" si="285"/>
        <v>52 Skilled metal, electrical and electronic trades</v>
      </c>
      <c r="B133" s="26">
        <f t="shared" si="286"/>
        <v>0.13944742350267209</v>
      </c>
      <c r="C133" s="26">
        <f t="shared" si="286"/>
        <v>5.1523309319128463E-2</v>
      </c>
      <c r="D133" s="26">
        <f t="shared" si="286"/>
        <v>0.23544047726276185</v>
      </c>
      <c r="E133" s="26">
        <f t="shared" si="286"/>
        <v>0.63726017891116893</v>
      </c>
      <c r="F133" s="26">
        <f t="shared" si="287"/>
        <v>0.87270065617393078</v>
      </c>
      <c r="L133" t="str">
        <f t="shared" si="304"/>
        <v>52 Skilled metal, electrical and electronic trades</v>
      </c>
      <c r="M133" s="26">
        <f t="shared" si="288"/>
        <v>1.8551705266123948</v>
      </c>
      <c r="N133" s="26">
        <f t="shared" si="288"/>
        <v>-0.19264691709054738</v>
      </c>
      <c r="O133" s="26">
        <f t="shared" si="288"/>
        <v>5.1981552248954301</v>
      </c>
      <c r="P133" s="26">
        <f t="shared" si="288"/>
        <v>10.116934037610408</v>
      </c>
      <c r="Q133" s="26">
        <f t="shared" si="289"/>
        <v>15.315089262505838</v>
      </c>
      <c r="W133" t="str">
        <f t="shared" si="305"/>
        <v>52 Skilled metal, electrical and electronic trades</v>
      </c>
      <c r="X133" s="26">
        <f t="shared" si="290"/>
        <v>0.9957958617265863</v>
      </c>
      <c r="Y133" s="26">
        <f t="shared" si="290"/>
        <v>-1.6995096334614441</v>
      </c>
      <c r="Z133" s="26">
        <f t="shared" si="290"/>
        <v>2.2852870361484783</v>
      </c>
      <c r="AA133" s="26">
        <f t="shared" si="290"/>
        <v>2.8031832892895867</v>
      </c>
      <c r="AB133" s="26">
        <f t="shared" si="291"/>
        <v>5.088470325438065</v>
      </c>
      <c r="AH133" t="str">
        <f t="shared" si="306"/>
        <v>52 Skilled metal, electrical and electronic trades</v>
      </c>
      <c r="AI133" s="26">
        <f t="shared" si="292"/>
        <v>0.52230519669060005</v>
      </c>
      <c r="AJ133" s="26">
        <f t="shared" si="292"/>
        <v>-0.15353723369500205</v>
      </c>
      <c r="AK133" s="26">
        <f t="shared" si="292"/>
        <v>0.53528218336645228</v>
      </c>
      <c r="AL133" s="26">
        <f t="shared" si="292"/>
        <v>1.6599016409130432</v>
      </c>
      <c r="AM133" s="26">
        <f t="shared" si="293"/>
        <v>2.1951838242794954</v>
      </c>
      <c r="AS133" t="str">
        <f t="shared" si="307"/>
        <v>52 Skilled metal, electrical and electronic trades</v>
      </c>
      <c r="AT133" s="26">
        <f t="shared" si="294"/>
        <v>1.0919955017371397</v>
      </c>
      <c r="AU133" s="26">
        <f t="shared" si="294"/>
        <v>-1.2646593270562914</v>
      </c>
      <c r="AV133" s="26">
        <f t="shared" si="294"/>
        <v>1.8464535570374512</v>
      </c>
      <c r="AW133" s="26">
        <f t="shared" si="294"/>
        <v>4.9246280697754177</v>
      </c>
      <c r="AX133" s="26">
        <f t="shared" si="295"/>
        <v>6.7710816268128688</v>
      </c>
      <c r="BD133" t="str">
        <f t="shared" si="308"/>
        <v>52 Skilled metal, electrical and electronic trades</v>
      </c>
      <c r="BE133" s="26">
        <f t="shared" si="296"/>
        <v>-3.1428344519070279</v>
      </c>
      <c r="BF133" s="26">
        <f t="shared" si="296"/>
        <v>1.8151147829773748</v>
      </c>
      <c r="BG133" s="26">
        <f t="shared" si="296"/>
        <v>-5.6927659757349964</v>
      </c>
      <c r="BH133" s="26">
        <f t="shared" si="296"/>
        <v>-7.2544777142200445</v>
      </c>
      <c r="BI133" s="26">
        <f t="shared" si="297"/>
        <v>-12.947243689955041</v>
      </c>
      <c r="BO133" t="str">
        <f t="shared" si="309"/>
        <v>52 Skilled metal, electrical and electronic trades</v>
      </c>
      <c r="BP133" s="26">
        <f t="shared" si="298"/>
        <v>4.3444169452466603</v>
      </c>
      <c r="BQ133" s="26">
        <f t="shared" si="298"/>
        <v>-7.9724392920624076</v>
      </c>
      <c r="BR133" s="26">
        <f t="shared" si="298"/>
        <v>-0.14275650497071979</v>
      </c>
      <c r="BS133" s="26">
        <f t="shared" si="298"/>
        <v>-7.5892950595136472</v>
      </c>
      <c r="BT133" s="26">
        <f t="shared" si="299"/>
        <v>-7.732051564484367</v>
      </c>
      <c r="BZ133" t="str">
        <f t="shared" si="310"/>
        <v>52 Skilled metal, electrical and electronic trades</v>
      </c>
      <c r="CA133" s="67">
        <f t="shared" si="300"/>
        <v>0.33190064020806176</v>
      </c>
      <c r="CB133" s="67">
        <f t="shared" si="300"/>
        <v>-2.8292001877291053</v>
      </c>
      <c r="CC133" s="67">
        <f t="shared" si="300"/>
        <v>0.31723836139478934</v>
      </c>
      <c r="CD133" s="67">
        <f t="shared" si="300"/>
        <v>-6.6108721928695484</v>
      </c>
      <c r="CE133" s="67">
        <f t="shared" si="301"/>
        <v>-6.2936338314747591</v>
      </c>
      <c r="CK133" t="str">
        <f t="shared" si="311"/>
        <v>52 Skilled metal, electrical and electronic trades</v>
      </c>
      <c r="CL133" s="67">
        <f t="shared" si="302"/>
        <v>0.30793996635055887</v>
      </c>
      <c r="CM133" s="67">
        <f t="shared" si="302"/>
        <v>-2.9416684288866213</v>
      </c>
      <c r="CN133" s="67">
        <f t="shared" si="302"/>
        <v>-1.0396830734872964E-2</v>
      </c>
      <c r="CO133" s="67">
        <f t="shared" si="302"/>
        <v>-2.4669460663959049</v>
      </c>
      <c r="CP133" s="67">
        <f t="shared" si="303"/>
        <v>-2.4773428971307778</v>
      </c>
    </row>
    <row r="134" spans="1:94" x14ac:dyDescent="0.2">
      <c r="A134" t="str">
        <f t="shared" si="285"/>
        <v>53 Skilled construction and building trades</v>
      </c>
      <c r="B134" s="26">
        <f t="shared" si="286"/>
        <v>-2.2205078806307149E-2</v>
      </c>
      <c r="C134" s="26">
        <f t="shared" si="286"/>
        <v>-3.7581482226289167E-2</v>
      </c>
      <c r="D134" s="26">
        <f t="shared" si="286"/>
        <v>0.11382573891359439</v>
      </c>
      <c r="E134" s="26">
        <f t="shared" si="286"/>
        <v>0.13901917948217601</v>
      </c>
      <c r="F134" s="26">
        <f t="shared" si="287"/>
        <v>0.25284491839577039</v>
      </c>
      <c r="L134" t="str">
        <f t="shared" si="304"/>
        <v>53 Skilled construction and building trades</v>
      </c>
      <c r="M134" s="26">
        <f t="shared" si="288"/>
        <v>0.85202947715184774</v>
      </c>
      <c r="N134" s="26">
        <f t="shared" si="288"/>
        <v>-0.75160949794426024</v>
      </c>
      <c r="O134" s="26">
        <f t="shared" si="288"/>
        <v>2.7864404184321021</v>
      </c>
      <c r="P134" s="26">
        <f t="shared" si="288"/>
        <v>6.708764964277214</v>
      </c>
      <c r="Q134" s="26">
        <f t="shared" si="289"/>
        <v>9.4952053827093152</v>
      </c>
      <c r="W134" t="str">
        <f t="shared" si="305"/>
        <v>53 Skilled construction and building trades</v>
      </c>
      <c r="X134" s="26">
        <f t="shared" si="290"/>
        <v>-0.38446850982556313</v>
      </c>
      <c r="Y134" s="26">
        <f t="shared" si="290"/>
        <v>-1.0107257172442656</v>
      </c>
      <c r="Z134" s="26">
        <f t="shared" si="290"/>
        <v>1.6543142609306427</v>
      </c>
      <c r="AA134" s="26">
        <f t="shared" si="290"/>
        <v>1.576100219536329</v>
      </c>
      <c r="AB134" s="26">
        <f t="shared" si="291"/>
        <v>3.2304144804669717</v>
      </c>
      <c r="AH134" t="str">
        <f t="shared" si="306"/>
        <v>53 Skilled construction and building trades</v>
      </c>
      <c r="AI134" s="26">
        <f t="shared" si="292"/>
        <v>0.12761234353693585</v>
      </c>
      <c r="AJ134" s="26">
        <f t="shared" si="292"/>
        <v>-1.0257584535216218</v>
      </c>
      <c r="AK134" s="26">
        <f t="shared" si="292"/>
        <v>1.097740610810412</v>
      </c>
      <c r="AL134" s="26">
        <f t="shared" si="292"/>
        <v>1.3851067235903018</v>
      </c>
      <c r="AM134" s="26">
        <f t="shared" si="293"/>
        <v>2.4828473344007138</v>
      </c>
      <c r="AS134" t="str">
        <f t="shared" si="307"/>
        <v>53 Skilled construction and building trades</v>
      </c>
      <c r="AT134" s="26">
        <f t="shared" si="294"/>
        <v>-1.1597630936777774</v>
      </c>
      <c r="AU134" s="26">
        <f t="shared" si="294"/>
        <v>-0.75321273674519595</v>
      </c>
      <c r="AV134" s="26">
        <f t="shared" si="294"/>
        <v>2.3037287267502764</v>
      </c>
      <c r="AW134" s="26">
        <f t="shared" si="294"/>
        <v>2.2732746253443885</v>
      </c>
      <c r="AX134" s="26">
        <f t="shared" si="295"/>
        <v>4.5770033520946649</v>
      </c>
      <c r="BD134" t="str">
        <f t="shared" si="308"/>
        <v>53 Skilled construction and building trades</v>
      </c>
      <c r="BE134" s="26">
        <f t="shared" si="296"/>
        <v>-13.137923197657869</v>
      </c>
      <c r="BF134" s="26">
        <f t="shared" si="296"/>
        <v>-0.97075346269630103</v>
      </c>
      <c r="BG134" s="26">
        <f t="shared" si="296"/>
        <v>-3.6029804332046886</v>
      </c>
      <c r="BH134" s="26">
        <f t="shared" si="296"/>
        <v>-6.6325799348230845</v>
      </c>
      <c r="BI134" s="26">
        <f t="shared" si="297"/>
        <v>-10.235560368027773</v>
      </c>
      <c r="BO134" t="str">
        <f t="shared" si="309"/>
        <v>53 Skilled construction and building trades</v>
      </c>
      <c r="BP134" s="26">
        <f t="shared" si="298"/>
        <v>1.9609051421034494</v>
      </c>
      <c r="BQ134" s="26">
        <f t="shared" si="298"/>
        <v>-13.659938378481847</v>
      </c>
      <c r="BR134" s="26">
        <f t="shared" si="298"/>
        <v>9.0589024578054946</v>
      </c>
      <c r="BS134" s="26">
        <f t="shared" si="298"/>
        <v>4.1513398827919517</v>
      </c>
      <c r="BT134" s="26">
        <f t="shared" si="299"/>
        <v>13.210242340597446</v>
      </c>
      <c r="BZ134" t="str">
        <f t="shared" si="310"/>
        <v>53 Skilled construction and building trades</v>
      </c>
      <c r="CA134" s="67">
        <f t="shared" si="300"/>
        <v>-3.000926786515528</v>
      </c>
      <c r="CB134" s="67">
        <f t="shared" si="300"/>
        <v>-5.6465147574273615</v>
      </c>
      <c r="CC134" s="67">
        <f t="shared" si="300"/>
        <v>4.4541891917486076</v>
      </c>
      <c r="CD134" s="67">
        <f t="shared" si="300"/>
        <v>3.8145728551983602</v>
      </c>
      <c r="CE134" s="67">
        <f t="shared" si="301"/>
        <v>8.2687620469469678</v>
      </c>
      <c r="CK134" t="str">
        <f t="shared" si="311"/>
        <v>53 Skilled construction and building trades</v>
      </c>
      <c r="CL134" s="67">
        <f t="shared" si="302"/>
        <v>-5.7279671711421134</v>
      </c>
      <c r="CM134" s="67">
        <f t="shared" si="302"/>
        <v>-6.5254992639192162</v>
      </c>
      <c r="CN134" s="67">
        <f t="shared" si="302"/>
        <v>-1.3547661846571231</v>
      </c>
      <c r="CO134" s="67">
        <f t="shared" si="302"/>
        <v>-4.7127110865931261</v>
      </c>
      <c r="CP134" s="67">
        <f t="shared" si="303"/>
        <v>-6.0674772712502492</v>
      </c>
    </row>
    <row r="135" spans="1:94" x14ac:dyDescent="0.2">
      <c r="A135" t="str">
        <f t="shared" si="285"/>
        <v>54 Textiles, printing and other skilled trades</v>
      </c>
      <c r="B135" s="26">
        <f t="shared" si="286"/>
        <v>0.1240126148495142</v>
      </c>
      <c r="C135" s="26">
        <f t="shared" si="286"/>
        <v>5.8647317758583672E-2</v>
      </c>
      <c r="D135" s="26">
        <f t="shared" si="286"/>
        <v>0.3061293906213659</v>
      </c>
      <c r="E135" s="26">
        <f t="shared" si="286"/>
        <v>0.64518429204125261</v>
      </c>
      <c r="F135" s="26">
        <f t="shared" si="287"/>
        <v>0.95131368266261851</v>
      </c>
      <c r="L135" t="str">
        <f t="shared" si="304"/>
        <v>54 Textiles, printing and other skilled trades</v>
      </c>
      <c r="M135" s="26">
        <f t="shared" si="288"/>
        <v>1.4285599078500537</v>
      </c>
      <c r="N135" s="26">
        <f t="shared" si="288"/>
        <v>0.61910240509348391</v>
      </c>
      <c r="O135" s="26">
        <f t="shared" si="288"/>
        <v>4.7374297622338908</v>
      </c>
      <c r="P135" s="26">
        <f t="shared" si="288"/>
        <v>13.481295575403466</v>
      </c>
      <c r="Q135" s="26">
        <f t="shared" si="289"/>
        <v>18.218725337637359</v>
      </c>
      <c r="W135" t="str">
        <f t="shared" si="305"/>
        <v>54 Textiles, printing and other skilled trades</v>
      </c>
      <c r="X135" s="26">
        <f t="shared" si="290"/>
        <v>1.1927388658033546</v>
      </c>
      <c r="Y135" s="26">
        <f t="shared" si="290"/>
        <v>-0.55531531048966443</v>
      </c>
      <c r="Z135" s="26">
        <f t="shared" si="290"/>
        <v>3.4444827430348717</v>
      </c>
      <c r="AA135" s="26">
        <f t="shared" si="290"/>
        <v>5.5891799197741641</v>
      </c>
      <c r="AB135" s="26">
        <f t="shared" si="291"/>
        <v>9.0336626628090357</v>
      </c>
      <c r="AH135" t="str">
        <f t="shared" si="306"/>
        <v>54 Textiles, printing and other skilled trades</v>
      </c>
      <c r="AI135" s="26">
        <f t="shared" si="292"/>
        <v>0.37964916054982289</v>
      </c>
      <c r="AJ135" s="26">
        <f t="shared" si="292"/>
        <v>-4.3655037179676448E-2</v>
      </c>
      <c r="AK135" s="26">
        <f t="shared" si="292"/>
        <v>0.18899816818900117</v>
      </c>
      <c r="AL135" s="26">
        <f t="shared" si="292"/>
        <v>0.72089453340881171</v>
      </c>
      <c r="AM135" s="26">
        <f t="shared" si="293"/>
        <v>0.90989270159781288</v>
      </c>
      <c r="AS135" t="str">
        <f t="shared" si="307"/>
        <v>54 Textiles, printing and other skilled trades</v>
      </c>
      <c r="AT135" s="26">
        <f t="shared" si="294"/>
        <v>0.11834338293253577</v>
      </c>
      <c r="AU135" s="26">
        <f t="shared" si="294"/>
        <v>5.8037520752089122E-2</v>
      </c>
      <c r="AV135" s="26">
        <f t="shared" si="294"/>
        <v>1.1112185520297357</v>
      </c>
      <c r="AW135" s="26">
        <f t="shared" si="294"/>
        <v>1.9132043352032833</v>
      </c>
      <c r="AX135" s="26">
        <f t="shared" si="295"/>
        <v>3.024422887233019</v>
      </c>
      <c r="BD135" t="str">
        <f t="shared" si="308"/>
        <v>54 Textiles, printing and other skilled trades</v>
      </c>
      <c r="BE135" s="26">
        <f t="shared" si="296"/>
        <v>-0.55476609373065244</v>
      </c>
      <c r="BF135" s="26">
        <f t="shared" si="296"/>
        <v>-1.0930623985717816</v>
      </c>
      <c r="BG135" s="26">
        <f t="shared" si="296"/>
        <v>0.35597383452417475</v>
      </c>
      <c r="BH135" s="26">
        <f t="shared" si="296"/>
        <v>-2.2427482719640857</v>
      </c>
      <c r="BI135" s="26">
        <f t="shared" si="297"/>
        <v>-1.8867744374399109</v>
      </c>
      <c r="BO135" t="str">
        <f t="shared" si="309"/>
        <v>54 Textiles, printing and other skilled trades</v>
      </c>
      <c r="BP135" s="26">
        <f t="shared" si="298"/>
        <v>-1.0980675056258029</v>
      </c>
      <c r="BQ135" s="26">
        <f t="shared" si="298"/>
        <v>-5.5304696850525339</v>
      </c>
      <c r="BR135" s="26">
        <f t="shared" si="298"/>
        <v>-4.9617311286508041</v>
      </c>
      <c r="BS135" s="26">
        <f t="shared" si="298"/>
        <v>-3.3638352543017547</v>
      </c>
      <c r="BT135" s="26">
        <f t="shared" si="299"/>
        <v>-8.3255663829525588</v>
      </c>
      <c r="BZ135" t="str">
        <f t="shared" si="310"/>
        <v>54 Textiles, printing and other skilled trades</v>
      </c>
      <c r="CA135" s="67">
        <f t="shared" si="300"/>
        <v>0.31101257595435072</v>
      </c>
      <c r="CB135" s="67">
        <f t="shared" si="300"/>
        <v>-4.3215605650199294</v>
      </c>
      <c r="CC135" s="67">
        <f t="shared" si="300"/>
        <v>1.6729799277398136</v>
      </c>
      <c r="CD135" s="67">
        <f t="shared" si="300"/>
        <v>-4.7971953389777227</v>
      </c>
      <c r="CE135" s="67">
        <f t="shared" si="301"/>
        <v>-3.124215411237909</v>
      </c>
      <c r="CK135" t="str">
        <f t="shared" si="311"/>
        <v>54 Textiles, printing and other skilled trades</v>
      </c>
      <c r="CL135" s="67">
        <f t="shared" si="302"/>
        <v>-1.9367816567117266</v>
      </c>
      <c r="CM135" s="67">
        <f t="shared" si="302"/>
        <v>-4.9629731791502296</v>
      </c>
      <c r="CN135" s="67">
        <f t="shared" si="302"/>
        <v>-2.3976386172280968</v>
      </c>
      <c r="CO135" s="67">
        <f t="shared" si="302"/>
        <v>-2.8990551855960001</v>
      </c>
      <c r="CP135" s="67">
        <f t="shared" si="303"/>
        <v>-5.2966938028240964</v>
      </c>
    </row>
    <row r="136" spans="1:94" x14ac:dyDescent="0.2">
      <c r="A136" t="str">
        <f t="shared" si="285"/>
        <v>61 Caring personal service occupations</v>
      </c>
      <c r="B136" s="26">
        <f t="shared" si="286"/>
        <v>9.0795890501629894E-2</v>
      </c>
      <c r="C136" s="26">
        <f t="shared" si="286"/>
        <v>4.7310983005660612E-2</v>
      </c>
      <c r="D136" s="26">
        <f t="shared" si="286"/>
        <v>0.43375116853341489</v>
      </c>
      <c r="E136" s="26">
        <f t="shared" si="286"/>
        <v>0.95557807305448994</v>
      </c>
      <c r="F136" s="26">
        <f t="shared" si="287"/>
        <v>1.3893292415879048</v>
      </c>
      <c r="L136" t="str">
        <f t="shared" si="304"/>
        <v>61 Caring personal service occupations</v>
      </c>
      <c r="M136" s="26">
        <f t="shared" si="288"/>
        <v>6.982488425900339</v>
      </c>
      <c r="N136" s="26">
        <f t="shared" si="288"/>
        <v>1.5243401714284737</v>
      </c>
      <c r="O136" s="26">
        <f t="shared" si="288"/>
        <v>14.383284374828314</v>
      </c>
      <c r="P136" s="26">
        <f t="shared" si="288"/>
        <v>33.27058347818479</v>
      </c>
      <c r="Q136" s="26">
        <f t="shared" si="289"/>
        <v>47.653867853013104</v>
      </c>
      <c r="W136" t="str">
        <f t="shared" si="305"/>
        <v>61 Caring personal service occupations</v>
      </c>
      <c r="X136" s="26">
        <f t="shared" si="290"/>
        <v>3.2462959465088872</v>
      </c>
      <c r="Y136" s="26">
        <f t="shared" si="290"/>
        <v>3.0032049378150845</v>
      </c>
      <c r="Z136" s="26">
        <f t="shared" si="290"/>
        <v>3.2645471697430253</v>
      </c>
      <c r="AA136" s="26">
        <f t="shared" si="290"/>
        <v>3.6821658951086746</v>
      </c>
      <c r="AB136" s="26">
        <f t="shared" si="291"/>
        <v>6.9467130648516999</v>
      </c>
      <c r="AH136" t="str">
        <f t="shared" si="306"/>
        <v>61 Caring personal service occupations</v>
      </c>
      <c r="AI136" s="26">
        <f t="shared" si="292"/>
        <v>-0.54704128253766271</v>
      </c>
      <c r="AJ136" s="26">
        <f t="shared" si="292"/>
        <v>1.9579795132112707</v>
      </c>
      <c r="AK136" s="26">
        <f t="shared" si="292"/>
        <v>-1.4296830064375712</v>
      </c>
      <c r="AL136" s="26">
        <f t="shared" si="292"/>
        <v>-2.9607230443678425</v>
      </c>
      <c r="AM136" s="26">
        <f t="shared" si="293"/>
        <v>-4.3904060508054137</v>
      </c>
      <c r="AS136" t="str">
        <f t="shared" si="307"/>
        <v>61 Caring personal service occupations</v>
      </c>
      <c r="AT136" s="26">
        <f t="shared" si="294"/>
        <v>1.5921839584128001</v>
      </c>
      <c r="AU136" s="26">
        <f t="shared" si="294"/>
        <v>1.2364191706932814</v>
      </c>
      <c r="AV136" s="26">
        <f t="shared" si="294"/>
        <v>-0.37219994395594824</v>
      </c>
      <c r="AW136" s="26">
        <f t="shared" si="294"/>
        <v>-0.15158195289260235</v>
      </c>
      <c r="AX136" s="26">
        <f t="shared" si="295"/>
        <v>-0.52378189684855059</v>
      </c>
      <c r="BD136" t="str">
        <f t="shared" si="308"/>
        <v>61 Caring personal service occupations</v>
      </c>
      <c r="BE136" s="26">
        <f t="shared" si="296"/>
        <v>7.8127649823990026</v>
      </c>
      <c r="BF136" s="26">
        <f t="shared" si="296"/>
        <v>-8.381713220650667</v>
      </c>
      <c r="BG136" s="26">
        <f t="shared" si="296"/>
        <v>6.2334973762005035</v>
      </c>
      <c r="BH136" s="26">
        <f t="shared" si="296"/>
        <v>-2.7044912625531907</v>
      </c>
      <c r="BI136" s="26">
        <f t="shared" si="297"/>
        <v>3.5290061136473128</v>
      </c>
      <c r="BO136" t="str">
        <f t="shared" si="309"/>
        <v>61 Caring personal service occupations</v>
      </c>
      <c r="BP136" s="26">
        <f t="shared" si="298"/>
        <v>0.94114693262637417</v>
      </c>
      <c r="BQ136" s="26">
        <f t="shared" si="298"/>
        <v>-9.2578301264056009</v>
      </c>
      <c r="BR136" s="26">
        <f t="shared" si="298"/>
        <v>0.81237787193562383</v>
      </c>
      <c r="BS136" s="26">
        <f t="shared" si="298"/>
        <v>-15.208594271130075</v>
      </c>
      <c r="BT136" s="26">
        <f t="shared" si="299"/>
        <v>-14.396216399194451</v>
      </c>
      <c r="BZ136" t="str">
        <f t="shared" si="310"/>
        <v>61 Caring personal service occupations</v>
      </c>
      <c r="CA136" s="67">
        <f t="shared" si="300"/>
        <v>-7.5371146739642931</v>
      </c>
      <c r="CB136" s="67">
        <f t="shared" si="300"/>
        <v>-1.4717806349968345</v>
      </c>
      <c r="CC136" s="67">
        <f t="shared" si="300"/>
        <v>-2.1539650301927029</v>
      </c>
      <c r="CD136" s="67">
        <f t="shared" si="300"/>
        <v>-0.40674379480774547</v>
      </c>
      <c r="CE136" s="67">
        <f t="shared" si="301"/>
        <v>-2.5607088250004484</v>
      </c>
      <c r="CK136" t="str">
        <f t="shared" si="311"/>
        <v>61 Caring personal service occupations</v>
      </c>
      <c r="CL136" s="67">
        <f t="shared" si="302"/>
        <v>-0.72998108991059585</v>
      </c>
      <c r="CM136" s="67">
        <f t="shared" si="302"/>
        <v>-1.3507286800771898</v>
      </c>
      <c r="CN136" s="67">
        <f t="shared" si="302"/>
        <v>-9.5181150176979479E-3</v>
      </c>
      <c r="CO136" s="67">
        <f t="shared" si="302"/>
        <v>-1.1230254267981163</v>
      </c>
      <c r="CP136" s="67">
        <f t="shared" si="303"/>
        <v>-1.1325435418158143</v>
      </c>
    </row>
    <row r="137" spans="1:94" x14ac:dyDescent="0.2">
      <c r="A137" t="str">
        <f t="shared" si="285"/>
        <v>62 Leisure, travel and related personal service occupations</v>
      </c>
      <c r="B137" s="26">
        <f t="shared" si="286"/>
        <v>4.3731209276523964E-2</v>
      </c>
      <c r="C137" s="26">
        <f t="shared" si="286"/>
        <v>4.7091926113556781E-2</v>
      </c>
      <c r="D137" s="26">
        <f t="shared" si="286"/>
        <v>0.15014853554599428</v>
      </c>
      <c r="E137" s="26">
        <f t="shared" si="286"/>
        <v>0.39645235893004271</v>
      </c>
      <c r="F137" s="26">
        <f t="shared" si="287"/>
        <v>0.54660089447603699</v>
      </c>
      <c r="L137" t="str">
        <f t="shared" si="304"/>
        <v>62 Leisure, travel and related personal service occupations</v>
      </c>
      <c r="M137" s="26">
        <f t="shared" si="288"/>
        <v>1.2265367234173401</v>
      </c>
      <c r="N137" s="26">
        <f t="shared" si="288"/>
        <v>-0.17065335398894632</v>
      </c>
      <c r="O137" s="26">
        <f t="shared" si="288"/>
        <v>2.3980476273725904</v>
      </c>
      <c r="P137" s="26">
        <f t="shared" si="288"/>
        <v>6.4266434710324791</v>
      </c>
      <c r="Q137" s="26">
        <f t="shared" si="289"/>
        <v>8.8246910984050686</v>
      </c>
      <c r="W137" t="str">
        <f t="shared" si="305"/>
        <v>62 Leisure, travel and related personal service occupations</v>
      </c>
      <c r="X137" s="26">
        <f t="shared" si="290"/>
        <v>1.8949473041050151</v>
      </c>
      <c r="Y137" s="26">
        <f t="shared" si="290"/>
        <v>-0.83488448608291677</v>
      </c>
      <c r="Z137" s="26">
        <f t="shared" si="290"/>
        <v>2.5089079572797353</v>
      </c>
      <c r="AA137" s="26">
        <f t="shared" si="290"/>
        <v>5.314646932722102</v>
      </c>
      <c r="AB137" s="26">
        <f t="shared" si="291"/>
        <v>7.8235548900018372</v>
      </c>
      <c r="AH137" t="str">
        <f t="shared" si="306"/>
        <v>62 Leisure, travel and related personal service occupations</v>
      </c>
      <c r="AI137" s="26">
        <f t="shared" si="292"/>
        <v>1.8235520602966737</v>
      </c>
      <c r="AJ137" s="26">
        <f t="shared" si="292"/>
        <v>0.33662028178792802</v>
      </c>
      <c r="AK137" s="26">
        <f t="shared" si="292"/>
        <v>1.2092961425129491</v>
      </c>
      <c r="AL137" s="26">
        <f t="shared" si="292"/>
        <v>3.0603783862663487</v>
      </c>
      <c r="AM137" s="26">
        <f t="shared" si="293"/>
        <v>4.2696745287792979</v>
      </c>
      <c r="AS137" t="str">
        <f t="shared" si="307"/>
        <v>62 Leisure, travel and related personal service occupations</v>
      </c>
      <c r="AT137" s="26">
        <f t="shared" si="294"/>
        <v>2.0597595558743507</v>
      </c>
      <c r="AU137" s="26">
        <f t="shared" si="294"/>
        <v>1.180817118679748</v>
      </c>
      <c r="AV137" s="26">
        <f t="shared" si="294"/>
        <v>2.0599167793887769</v>
      </c>
      <c r="AW137" s="26">
        <f t="shared" si="294"/>
        <v>5.4015612538254878</v>
      </c>
      <c r="AX137" s="26">
        <f t="shared" si="295"/>
        <v>7.4614780332142647</v>
      </c>
      <c r="BD137" t="str">
        <f t="shared" si="308"/>
        <v>62 Leisure, travel and related personal service occupations</v>
      </c>
      <c r="BE137" s="26">
        <f t="shared" si="296"/>
        <v>1.0257680567493495</v>
      </c>
      <c r="BF137" s="26">
        <f t="shared" si="296"/>
        <v>-3.1119643593669402</v>
      </c>
      <c r="BG137" s="26">
        <f t="shared" si="296"/>
        <v>0.12203053673318109</v>
      </c>
      <c r="BH137" s="26">
        <f t="shared" si="296"/>
        <v>-3.2366169158283711</v>
      </c>
      <c r="BI137" s="26">
        <f t="shared" si="297"/>
        <v>-3.11458637909519</v>
      </c>
      <c r="BO137" t="str">
        <f t="shared" si="309"/>
        <v>62 Leisure, travel and related personal service occupations</v>
      </c>
      <c r="BP137" s="26">
        <f t="shared" si="298"/>
        <v>1.654523979616787</v>
      </c>
      <c r="BQ137" s="26">
        <f t="shared" si="298"/>
        <v>-4.2863629344224314</v>
      </c>
      <c r="BR137" s="26">
        <f t="shared" si="298"/>
        <v>-0.9053641468719853</v>
      </c>
      <c r="BS137" s="26">
        <f t="shared" si="298"/>
        <v>-5.2097627552278887</v>
      </c>
      <c r="BT137" s="26">
        <f t="shared" si="299"/>
        <v>-6.115126902099874</v>
      </c>
      <c r="BZ137" t="str">
        <f t="shared" si="310"/>
        <v>62 Leisure, travel and related personal service occupations</v>
      </c>
      <c r="CA137" s="67">
        <f t="shared" si="300"/>
        <v>0.57373317331427565</v>
      </c>
      <c r="CB137" s="67">
        <f t="shared" si="300"/>
        <v>-1.3306433321308742</v>
      </c>
      <c r="CC137" s="67">
        <f t="shared" si="300"/>
        <v>-0.32338696992858651</v>
      </c>
      <c r="CD137" s="67">
        <f t="shared" si="300"/>
        <v>-2.5073249864971547</v>
      </c>
      <c r="CE137" s="67">
        <f t="shared" si="301"/>
        <v>-2.8307119564257412</v>
      </c>
      <c r="CK137" t="str">
        <f t="shared" si="311"/>
        <v>62 Leisure, travel and related personal service occupations</v>
      </c>
      <c r="CL137" s="67">
        <f t="shared" si="302"/>
        <v>-0.51735417139252604</v>
      </c>
      <c r="CM137" s="67">
        <f t="shared" si="302"/>
        <v>-2.3084455751971609</v>
      </c>
      <c r="CN137" s="67">
        <f t="shared" si="302"/>
        <v>-0.82601631678848886</v>
      </c>
      <c r="CO137" s="67">
        <f t="shared" si="302"/>
        <v>-1.7517341333409999</v>
      </c>
      <c r="CP137" s="67">
        <f t="shared" si="303"/>
        <v>-2.5777504501294888</v>
      </c>
    </row>
    <row r="138" spans="1:94" x14ac:dyDescent="0.2">
      <c r="A138" t="str">
        <f t="shared" si="285"/>
        <v>63 Community and civil enforcement occupations</v>
      </c>
      <c r="B138" s="26">
        <f t="shared" si="286"/>
        <v>-4.8890862412393973E-4</v>
      </c>
      <c r="C138" s="26">
        <f t="shared" si="286"/>
        <v>7.1906834808246993E-3</v>
      </c>
      <c r="D138" s="26">
        <f t="shared" si="286"/>
        <v>7.4802470194742336E-3</v>
      </c>
      <c r="E138" s="26">
        <f t="shared" si="286"/>
        <v>3.1002604904711885E-2</v>
      </c>
      <c r="F138" s="26">
        <f t="shared" si="287"/>
        <v>3.8482851924186115E-2</v>
      </c>
      <c r="L138" t="str">
        <f t="shared" si="304"/>
        <v>63 Community and civil enforcement occupations</v>
      </c>
      <c r="M138" s="26">
        <f t="shared" si="288"/>
        <v>3.0397845242213672E-2</v>
      </c>
      <c r="N138" s="26">
        <f t="shared" si="288"/>
        <v>0.20710798690421278</v>
      </c>
      <c r="O138" s="26">
        <f t="shared" si="288"/>
        <v>9.4844915209064684E-2</v>
      </c>
      <c r="P138" s="26">
        <f t="shared" si="288"/>
        <v>0.6648231138877283</v>
      </c>
      <c r="Q138" s="26">
        <f t="shared" si="289"/>
        <v>0.75966802909679298</v>
      </c>
      <c r="W138" t="str">
        <f t="shared" si="305"/>
        <v>63 Community and civil enforcement occupations</v>
      </c>
      <c r="X138" s="26">
        <f t="shared" si="290"/>
        <v>7.5745760363265857E-2</v>
      </c>
      <c r="Y138" s="26">
        <f t="shared" si="290"/>
        <v>0.23974842064832202</v>
      </c>
      <c r="Z138" s="26">
        <f t="shared" si="290"/>
        <v>3.9253822164736052E-2</v>
      </c>
      <c r="AA138" s="26">
        <f t="shared" si="290"/>
        <v>0.16688766836720226</v>
      </c>
      <c r="AB138" s="26">
        <f t="shared" si="291"/>
        <v>0.20614149053193831</v>
      </c>
      <c r="AH138" t="str">
        <f t="shared" si="306"/>
        <v>63 Community and civil enforcement occupations</v>
      </c>
      <c r="AI138" s="26">
        <f t="shared" si="292"/>
        <v>-1.1961206533875113E-2</v>
      </c>
      <c r="AJ138" s="26">
        <f t="shared" si="292"/>
        <v>0.14293117668136446</v>
      </c>
      <c r="AK138" s="26">
        <f t="shared" si="292"/>
        <v>-8.4326780924601275E-2</v>
      </c>
      <c r="AL138" s="26">
        <f t="shared" si="292"/>
        <v>3.4355393790368616E-2</v>
      </c>
      <c r="AM138" s="26">
        <f t="shared" si="293"/>
        <v>-4.9971387134232659E-2</v>
      </c>
      <c r="AS138" t="str">
        <f t="shared" si="307"/>
        <v>63 Community and civil enforcement occupations</v>
      </c>
      <c r="AT138" s="26">
        <f t="shared" si="294"/>
        <v>-4.6390856987483076E-2</v>
      </c>
      <c r="AU138" s="26">
        <f t="shared" si="294"/>
        <v>0.1013435296719119</v>
      </c>
      <c r="AV138" s="26">
        <f t="shared" si="294"/>
        <v>-0.10747785020757961</v>
      </c>
      <c r="AW138" s="26">
        <f t="shared" si="294"/>
        <v>-2.0472076927062988E-2</v>
      </c>
      <c r="AX138" s="26">
        <f t="shared" si="295"/>
        <v>-0.12794992713464259</v>
      </c>
      <c r="BD138" t="str">
        <f t="shared" si="308"/>
        <v>63 Community and civil enforcement occupations</v>
      </c>
      <c r="BE138" s="26">
        <f t="shared" si="296"/>
        <v>-0.27717983239615274</v>
      </c>
      <c r="BF138" s="26">
        <f t="shared" si="296"/>
        <v>0.31610028305547733</v>
      </c>
      <c r="BG138" s="26">
        <f t="shared" si="296"/>
        <v>-0.38514903604152784</v>
      </c>
      <c r="BH138" s="26">
        <f t="shared" si="296"/>
        <v>-0.13537576984730365</v>
      </c>
      <c r="BI138" s="26">
        <f t="shared" si="297"/>
        <v>-0.52052480588883143</v>
      </c>
      <c r="BO138" t="str">
        <f t="shared" si="309"/>
        <v>63 Community and civil enforcement occupations</v>
      </c>
      <c r="BP138" s="26">
        <f t="shared" si="298"/>
        <v>-6.969731351566133E-2</v>
      </c>
      <c r="BQ138" s="26">
        <f t="shared" si="298"/>
        <v>0.1181572499871173</v>
      </c>
      <c r="BR138" s="26">
        <f t="shared" si="298"/>
        <v>-0.32250447611257282</v>
      </c>
      <c r="BS138" s="26">
        <f t="shared" si="298"/>
        <v>-0.20107518646666456</v>
      </c>
      <c r="BT138" s="26">
        <f t="shared" si="299"/>
        <v>-0.52357966257923738</v>
      </c>
      <c r="BZ138" t="str">
        <f t="shared" si="310"/>
        <v>63 Community and civil enforcement occupations</v>
      </c>
      <c r="CA138" s="67">
        <f t="shared" si="300"/>
        <v>-0.10959615952485602</v>
      </c>
      <c r="CB138" s="67">
        <f t="shared" si="300"/>
        <v>0.235724740948281</v>
      </c>
      <c r="CC138" s="67">
        <f t="shared" si="300"/>
        <v>-0.20559000730521415</v>
      </c>
      <c r="CD138" s="67">
        <f t="shared" si="300"/>
        <v>-0.11126436512771987</v>
      </c>
      <c r="CE138" s="67">
        <f t="shared" si="301"/>
        <v>-0.31685437243293402</v>
      </c>
      <c r="CK138" t="str">
        <f t="shared" si="311"/>
        <v>63 Community and civil enforcement occupations</v>
      </c>
      <c r="CL138" s="67">
        <f t="shared" si="302"/>
        <v>-0.15849377516595009</v>
      </c>
      <c r="CM138" s="67">
        <f t="shared" si="302"/>
        <v>9.1168193486479421E-5</v>
      </c>
      <c r="CN138" s="67">
        <f t="shared" si="302"/>
        <v>-0.13979308431231141</v>
      </c>
      <c r="CO138" s="67">
        <f t="shared" si="302"/>
        <v>-7.4801543303285922E-2</v>
      </c>
      <c r="CP138" s="67">
        <f t="shared" si="303"/>
        <v>-0.21459462761559733</v>
      </c>
    </row>
    <row r="139" spans="1:94" x14ac:dyDescent="0.2">
      <c r="A139" t="str">
        <f t="shared" si="285"/>
        <v>71 Sales occupations</v>
      </c>
      <c r="B139" s="26">
        <f t="shared" si="286"/>
        <v>0.24912483934718987</v>
      </c>
      <c r="C139" s="26">
        <f t="shared" si="286"/>
        <v>-6.2820947929750348E-2</v>
      </c>
      <c r="D139" s="26">
        <f t="shared" si="286"/>
        <v>0.60423064800053172</v>
      </c>
      <c r="E139" s="26">
        <f t="shared" si="286"/>
        <v>1.5611470608011633</v>
      </c>
      <c r="F139" s="26">
        <f t="shared" si="287"/>
        <v>2.165377708801695</v>
      </c>
      <c r="L139" t="str">
        <f t="shared" si="304"/>
        <v>71 Sales occupations</v>
      </c>
      <c r="M139" s="26">
        <f t="shared" si="288"/>
        <v>3.9888145384270963</v>
      </c>
      <c r="N139" s="26">
        <f t="shared" si="288"/>
        <v>2.440288986856892</v>
      </c>
      <c r="O139" s="26">
        <f t="shared" si="288"/>
        <v>10.455597270187745</v>
      </c>
      <c r="P139" s="26">
        <f t="shared" si="288"/>
        <v>33.521516268662353</v>
      </c>
      <c r="Q139" s="26">
        <f t="shared" si="289"/>
        <v>43.977113538850098</v>
      </c>
      <c r="W139" t="str">
        <f t="shared" si="305"/>
        <v>71 Sales occupations</v>
      </c>
      <c r="X139" s="26">
        <f t="shared" si="290"/>
        <v>-1.1751772524974982</v>
      </c>
      <c r="Y139" s="26">
        <f t="shared" si="290"/>
        <v>4.1439683258911231</v>
      </c>
      <c r="Z139" s="26">
        <f t="shared" si="290"/>
        <v>0.61552739039863269</v>
      </c>
      <c r="AA139" s="26">
        <f t="shared" si="290"/>
        <v>6.2380403881609396</v>
      </c>
      <c r="AB139" s="26">
        <f t="shared" si="291"/>
        <v>6.8535677785595723</v>
      </c>
      <c r="AH139" t="str">
        <f t="shared" si="306"/>
        <v>71 Sales occupations</v>
      </c>
      <c r="AI139" s="26">
        <f t="shared" si="292"/>
        <v>-0.90187913137534181</v>
      </c>
      <c r="AJ139" s="26">
        <f t="shared" si="292"/>
        <v>1.7855899678882139</v>
      </c>
      <c r="AK139" s="26">
        <f t="shared" si="292"/>
        <v>-0.92594442252419817</v>
      </c>
      <c r="AL139" s="26">
        <f t="shared" si="292"/>
        <v>1.1438402770575369</v>
      </c>
      <c r="AM139" s="26">
        <f t="shared" si="293"/>
        <v>0.21789585453333871</v>
      </c>
      <c r="AS139" t="str">
        <f t="shared" si="307"/>
        <v>71 Sales occupations</v>
      </c>
      <c r="AT139" s="26">
        <f t="shared" si="294"/>
        <v>-1.6556370793545891</v>
      </c>
      <c r="AU139" s="26">
        <f t="shared" si="294"/>
        <v>0.81882719609481391</v>
      </c>
      <c r="AV139" s="26">
        <f t="shared" si="294"/>
        <v>-0.95236890176832922</v>
      </c>
      <c r="AW139" s="26">
        <f t="shared" si="294"/>
        <v>0.89577004248920211</v>
      </c>
      <c r="AX139" s="26">
        <f t="shared" si="295"/>
        <v>-5.6598859279127112E-2</v>
      </c>
      <c r="BD139" t="str">
        <f t="shared" si="308"/>
        <v>71 Sales occupations</v>
      </c>
      <c r="BE139" s="26">
        <f t="shared" si="296"/>
        <v>-8.8449701071483489</v>
      </c>
      <c r="BF139" s="26">
        <f t="shared" si="296"/>
        <v>1.7676124411464542</v>
      </c>
      <c r="BG139" s="26">
        <f t="shared" si="296"/>
        <v>-8.4132022312643997</v>
      </c>
      <c r="BH139" s="26">
        <f t="shared" si="296"/>
        <v>-10.910079824468113</v>
      </c>
      <c r="BI139" s="26">
        <f t="shared" si="297"/>
        <v>-19.323282055732513</v>
      </c>
      <c r="BO139" t="str">
        <f t="shared" si="309"/>
        <v>71 Sales occupations</v>
      </c>
      <c r="BP139" s="26">
        <f t="shared" si="298"/>
        <v>-8.5016663251881113</v>
      </c>
      <c r="BQ139" s="26">
        <f t="shared" si="298"/>
        <v>-8.498800900991597</v>
      </c>
      <c r="BR139" s="26">
        <f t="shared" si="298"/>
        <v>-8.3737716785063085</v>
      </c>
      <c r="BS139" s="26">
        <f t="shared" si="298"/>
        <v>-12.970078217085319</v>
      </c>
      <c r="BT139" s="26">
        <f t="shared" si="299"/>
        <v>-21.343849895591628</v>
      </c>
      <c r="BZ139" t="str">
        <f t="shared" si="310"/>
        <v>71 Sales occupations</v>
      </c>
      <c r="CA139" s="67">
        <f t="shared" si="300"/>
        <v>-9.1040848158410839</v>
      </c>
      <c r="CB139" s="67">
        <f t="shared" si="300"/>
        <v>-1.6053223937962287</v>
      </c>
      <c r="CC139" s="67">
        <f t="shared" si="300"/>
        <v>-10.336120957748619</v>
      </c>
      <c r="CD139" s="67">
        <f t="shared" si="300"/>
        <v>-24.761832249771672</v>
      </c>
      <c r="CE139" s="67">
        <f t="shared" si="301"/>
        <v>-35.097953207520291</v>
      </c>
      <c r="CK139" t="str">
        <f t="shared" si="311"/>
        <v>71 Sales occupations</v>
      </c>
      <c r="CL139" s="67">
        <f t="shared" si="302"/>
        <v>-7.8740400427911545</v>
      </c>
      <c r="CM139" s="67">
        <f t="shared" si="302"/>
        <v>-7.5188793873324151</v>
      </c>
      <c r="CN139" s="67">
        <f t="shared" si="302"/>
        <v>-4.5351515066881074</v>
      </c>
      <c r="CO139" s="67">
        <f t="shared" si="302"/>
        <v>-6.2817447762302221</v>
      </c>
      <c r="CP139" s="67">
        <f t="shared" si="303"/>
        <v>-10.816896282918329</v>
      </c>
    </row>
    <row r="140" spans="1:94" x14ac:dyDescent="0.2">
      <c r="A140" t="str">
        <f t="shared" si="285"/>
        <v>72 Customer service occupations</v>
      </c>
      <c r="B140" s="26">
        <f t="shared" si="286"/>
        <v>0.11996142343446314</v>
      </c>
      <c r="C140" s="26">
        <f t="shared" si="286"/>
        <v>0.11512847371446366</v>
      </c>
      <c r="D140" s="26">
        <f t="shared" si="286"/>
        <v>0.55418673484343206</v>
      </c>
      <c r="E140" s="26">
        <f t="shared" si="286"/>
        <v>1.114813503963124</v>
      </c>
      <c r="F140" s="26">
        <f t="shared" si="287"/>
        <v>1.6690002388065559</v>
      </c>
      <c r="L140" t="str">
        <f t="shared" si="304"/>
        <v>72 Customer service occupations</v>
      </c>
      <c r="M140" s="26">
        <f t="shared" si="288"/>
        <v>1.9028487458097718</v>
      </c>
      <c r="N140" s="26">
        <f t="shared" si="288"/>
        <v>1.0251110147646081</v>
      </c>
      <c r="O140" s="26">
        <f t="shared" si="288"/>
        <v>6.5108243243728499</v>
      </c>
      <c r="P140" s="26">
        <f t="shared" si="288"/>
        <v>11.493912646755978</v>
      </c>
      <c r="Q140" s="26">
        <f t="shared" si="289"/>
        <v>18.004736971128828</v>
      </c>
      <c r="W140" t="str">
        <f t="shared" si="305"/>
        <v>72 Customer service occupations</v>
      </c>
      <c r="X140" s="26">
        <f t="shared" si="290"/>
        <v>1.3927880526786254</v>
      </c>
      <c r="Y140" s="26">
        <f t="shared" si="290"/>
        <v>2.0541899277791664</v>
      </c>
      <c r="Z140" s="26">
        <f t="shared" si="290"/>
        <v>4.8633682667654199</v>
      </c>
      <c r="AA140" s="26">
        <f t="shared" si="290"/>
        <v>3.8100373492486099</v>
      </c>
      <c r="AB140" s="26">
        <f t="shared" si="291"/>
        <v>8.6734056160140298</v>
      </c>
      <c r="AH140" t="str">
        <f t="shared" si="306"/>
        <v>72 Customer service occupations</v>
      </c>
      <c r="AI140" s="26">
        <f t="shared" si="292"/>
        <v>0.74461510782926243</v>
      </c>
      <c r="AJ140" s="26">
        <f t="shared" si="292"/>
        <v>0.97610498781470589</v>
      </c>
      <c r="AK140" s="26">
        <f t="shared" si="292"/>
        <v>1.9613990016696876</v>
      </c>
      <c r="AL140" s="26">
        <f t="shared" si="292"/>
        <v>1.7530441282763825</v>
      </c>
      <c r="AM140" s="26">
        <f t="shared" si="293"/>
        <v>3.7144431299460701</v>
      </c>
      <c r="AS140" t="str">
        <f t="shared" si="307"/>
        <v>72 Customer service occupations</v>
      </c>
      <c r="AT140" s="26">
        <f t="shared" si="294"/>
        <v>0.57410704328865592</v>
      </c>
      <c r="AU140" s="26">
        <f t="shared" si="294"/>
        <v>0.30001368632101588</v>
      </c>
      <c r="AV140" s="26">
        <f t="shared" si="294"/>
        <v>1.9089519239309656</v>
      </c>
      <c r="AW140" s="26">
        <f t="shared" si="294"/>
        <v>0.4957942709718175</v>
      </c>
      <c r="AX140" s="26">
        <f t="shared" si="295"/>
        <v>2.4047461949027831</v>
      </c>
      <c r="BD140" t="str">
        <f t="shared" si="308"/>
        <v>72 Customer service occupations</v>
      </c>
      <c r="BE140" s="26">
        <f t="shared" si="296"/>
        <v>0.83199778144098069</v>
      </c>
      <c r="BF140" s="26">
        <f t="shared" si="296"/>
        <v>-0.37715093298809776</v>
      </c>
      <c r="BG140" s="26">
        <f t="shared" si="296"/>
        <v>2.4011910347427872</v>
      </c>
      <c r="BH140" s="26">
        <f t="shared" si="296"/>
        <v>-1.7155318597758011</v>
      </c>
      <c r="BI140" s="26">
        <f t="shared" si="297"/>
        <v>0.68565917496698603</v>
      </c>
      <c r="BO140" t="str">
        <f t="shared" si="309"/>
        <v>72 Customer service occupations</v>
      </c>
      <c r="BP140" s="26">
        <f t="shared" si="298"/>
        <v>1.6134958507179924</v>
      </c>
      <c r="BQ140" s="26">
        <f t="shared" si="298"/>
        <v>-2.6531907053277024</v>
      </c>
      <c r="BR140" s="26">
        <f t="shared" si="298"/>
        <v>3.9474759799142056</v>
      </c>
      <c r="BS140" s="26">
        <f t="shared" si="298"/>
        <v>-5.0501874023609989</v>
      </c>
      <c r="BT140" s="26">
        <f t="shared" si="299"/>
        <v>-1.1027114224467933</v>
      </c>
      <c r="BZ140" t="str">
        <f t="shared" si="310"/>
        <v>72 Customer service occupations</v>
      </c>
      <c r="CA140" s="67">
        <f t="shared" si="300"/>
        <v>-1.0208896403808421</v>
      </c>
      <c r="CB140" s="67">
        <f t="shared" si="300"/>
        <v>-1.7501024060347703E-2</v>
      </c>
      <c r="CC140" s="67">
        <f t="shared" si="300"/>
        <v>-8.7748078209539671E-3</v>
      </c>
      <c r="CD140" s="67">
        <f t="shared" si="300"/>
        <v>-1.7899637205168366</v>
      </c>
      <c r="CE140" s="67">
        <f t="shared" si="301"/>
        <v>-1.7987385283377906</v>
      </c>
      <c r="CK140" t="str">
        <f t="shared" si="311"/>
        <v>72 Customer service occupations</v>
      </c>
      <c r="CL140" s="67">
        <f t="shared" si="302"/>
        <v>0.15991367417706615</v>
      </c>
      <c r="CM140" s="67">
        <f t="shared" si="302"/>
        <v>-0.94268424573112952</v>
      </c>
      <c r="CN140" s="67">
        <f t="shared" si="302"/>
        <v>0.95408524927345617</v>
      </c>
      <c r="CO140" s="67">
        <f t="shared" si="302"/>
        <v>-0.37281017206108524</v>
      </c>
      <c r="CP140" s="67">
        <f t="shared" si="303"/>
        <v>0.58127507721237093</v>
      </c>
    </row>
    <row r="141" spans="1:94" x14ac:dyDescent="0.2">
      <c r="A141" t="str">
        <f t="shared" si="285"/>
        <v>81 Process, plant and machine operatives</v>
      </c>
      <c r="B141" s="26">
        <f t="shared" si="286"/>
        <v>3.5923817957253329E-2</v>
      </c>
      <c r="C141" s="26">
        <f t="shared" si="286"/>
        <v>2.1275118092913659E-2</v>
      </c>
      <c r="D141" s="26">
        <f t="shared" si="286"/>
        <v>0.23093022515612602</v>
      </c>
      <c r="E141" s="26">
        <f t="shared" si="286"/>
        <v>0.61031897176837646</v>
      </c>
      <c r="F141" s="26">
        <f t="shared" si="287"/>
        <v>0.84124919692450251</v>
      </c>
      <c r="L141" t="str">
        <f t="shared" si="304"/>
        <v>81 Process, plant and machine operatives</v>
      </c>
      <c r="M141" s="26">
        <f t="shared" si="288"/>
        <v>0.47866957251036579</v>
      </c>
      <c r="N141" s="26">
        <f t="shared" si="288"/>
        <v>0.18163510522564064</v>
      </c>
      <c r="O141" s="26">
        <f t="shared" si="288"/>
        <v>1.5624684327441329</v>
      </c>
      <c r="P141" s="26">
        <f t="shared" si="288"/>
        <v>4.1043616999418493</v>
      </c>
      <c r="Q141" s="26">
        <f t="shared" si="289"/>
        <v>5.6668301326859822</v>
      </c>
      <c r="W141" t="str">
        <f t="shared" si="305"/>
        <v>81 Process, plant and machine operatives</v>
      </c>
      <c r="X141" s="26">
        <f t="shared" si="290"/>
        <v>-0.24541353172207803</v>
      </c>
      <c r="Y141" s="26">
        <f t="shared" si="290"/>
        <v>9.9045524217618031E-2</v>
      </c>
      <c r="Z141" s="26">
        <f t="shared" si="290"/>
        <v>1.1019189505922093</v>
      </c>
      <c r="AA141" s="26">
        <f t="shared" si="290"/>
        <v>2.1165991514450395</v>
      </c>
      <c r="AB141" s="26">
        <f t="shared" si="291"/>
        <v>3.2185181020372489</v>
      </c>
      <c r="AH141" t="str">
        <f t="shared" si="306"/>
        <v>81 Process, plant and machine operatives</v>
      </c>
      <c r="AI141" s="26">
        <f t="shared" si="292"/>
        <v>-6.5910509529921169E-2</v>
      </c>
      <c r="AJ141" s="26">
        <f t="shared" si="292"/>
        <v>0.14111581895518732</v>
      </c>
      <c r="AK141" s="26">
        <f t="shared" si="292"/>
        <v>0.47178630979166791</v>
      </c>
      <c r="AL141" s="26">
        <f t="shared" si="292"/>
        <v>0.9648845872955869</v>
      </c>
      <c r="AM141" s="26">
        <f t="shared" si="293"/>
        <v>1.4366708970872548</v>
      </c>
      <c r="AS141" t="str">
        <f t="shared" si="307"/>
        <v>81 Process, plant and machine operatives</v>
      </c>
      <c r="AT141" s="26">
        <f t="shared" si="294"/>
        <v>4.3050721441087347E-2</v>
      </c>
      <c r="AU141" s="26">
        <f t="shared" si="294"/>
        <v>0.25453739073853399</v>
      </c>
      <c r="AV141" s="26">
        <f t="shared" si="294"/>
        <v>1.0113896072561075</v>
      </c>
      <c r="AW141" s="26">
        <f t="shared" si="294"/>
        <v>1.1738715213883197</v>
      </c>
      <c r="AX141" s="26">
        <f t="shared" si="295"/>
        <v>2.1852611286444272</v>
      </c>
      <c r="BD141" t="str">
        <f t="shared" si="308"/>
        <v>81 Process, plant and machine operatives</v>
      </c>
      <c r="BE141" s="26">
        <f t="shared" si="296"/>
        <v>-0.5595501677309187</v>
      </c>
      <c r="BF141" s="26">
        <f t="shared" si="296"/>
        <v>0.50891295043372686</v>
      </c>
      <c r="BG141" s="26">
        <f t="shared" si="296"/>
        <v>0.53273105526969111</v>
      </c>
      <c r="BH141" s="26">
        <f t="shared" si="296"/>
        <v>-0.48961265187775815</v>
      </c>
      <c r="BI141" s="26">
        <f t="shared" si="297"/>
        <v>4.3118403391932958E-2</v>
      </c>
      <c r="BO141" t="str">
        <f t="shared" si="309"/>
        <v>81 Process, plant and machine operatives</v>
      </c>
      <c r="BP141" s="26">
        <f t="shared" si="298"/>
        <v>0.87018116537160051</v>
      </c>
      <c r="BQ141" s="26">
        <f t="shared" si="298"/>
        <v>-1.7586550811201684</v>
      </c>
      <c r="BR141" s="26">
        <f t="shared" si="298"/>
        <v>1.9431253882560577</v>
      </c>
      <c r="BS141" s="26">
        <f t="shared" si="298"/>
        <v>-0.99804611468307503</v>
      </c>
      <c r="BT141" s="26">
        <f t="shared" si="299"/>
        <v>0.94507927357298271</v>
      </c>
      <c r="BZ141" t="str">
        <f t="shared" si="310"/>
        <v>81 Process, plant and machine operatives</v>
      </c>
      <c r="CA141" s="67">
        <f t="shared" si="300"/>
        <v>-0.67429221874581557</v>
      </c>
      <c r="CB141" s="67">
        <f t="shared" si="300"/>
        <v>-0.94632622094876329</v>
      </c>
      <c r="CC141" s="67">
        <f t="shared" si="300"/>
        <v>0.55552681016024597</v>
      </c>
      <c r="CD141" s="67">
        <f t="shared" si="300"/>
        <v>-3.4805188119776105</v>
      </c>
      <c r="CE141" s="67">
        <f t="shared" si="301"/>
        <v>-2.9249920018173645</v>
      </c>
      <c r="CK141" t="str">
        <f t="shared" si="311"/>
        <v>81 Process, plant and machine operatives</v>
      </c>
      <c r="CL141" s="67">
        <f t="shared" si="302"/>
        <v>-1.3493623347990784</v>
      </c>
      <c r="CM141" s="67">
        <f t="shared" si="302"/>
        <v>-1.3634168042567509</v>
      </c>
      <c r="CN141" s="67">
        <f t="shared" si="302"/>
        <v>-0.37655430984007676</v>
      </c>
      <c r="CO141" s="67">
        <f t="shared" si="302"/>
        <v>-1.1420853627595517</v>
      </c>
      <c r="CP141" s="67">
        <f t="shared" si="303"/>
        <v>-1.5186396725996285</v>
      </c>
    </row>
    <row r="142" spans="1:94" x14ac:dyDescent="0.2">
      <c r="A142" t="str">
        <f t="shared" si="285"/>
        <v>82 Transport and mobile machine drivers and operatives</v>
      </c>
      <c r="B142" s="26">
        <f t="shared" si="286"/>
        <v>0.52199046272387495</v>
      </c>
      <c r="C142" s="26">
        <f t="shared" si="286"/>
        <v>-3.5707314340656104E-2</v>
      </c>
      <c r="D142" s="26">
        <f t="shared" si="286"/>
        <v>1.2162119866476169</v>
      </c>
      <c r="E142" s="26">
        <f t="shared" si="286"/>
        <v>2.6571433311806669</v>
      </c>
      <c r="F142" s="26">
        <f t="shared" si="287"/>
        <v>3.8733553178282838</v>
      </c>
      <c r="L142" t="str">
        <f t="shared" si="304"/>
        <v>82 Transport and mobile machine drivers and operatives</v>
      </c>
      <c r="M142" s="26">
        <f t="shared" si="288"/>
        <v>2.8538084152094605</v>
      </c>
      <c r="N142" s="26">
        <f t="shared" si="288"/>
        <v>0.39732621143896374</v>
      </c>
      <c r="O142" s="26">
        <f t="shared" si="288"/>
        <v>6.4259736623263084</v>
      </c>
      <c r="P142" s="26">
        <f t="shared" si="288"/>
        <v>15.400322313880253</v>
      </c>
      <c r="Q142" s="26">
        <f t="shared" si="289"/>
        <v>21.826295976206559</v>
      </c>
      <c r="W142" t="str">
        <f t="shared" si="305"/>
        <v>82 Transport and mobile machine drivers and operatives</v>
      </c>
      <c r="X142" s="26">
        <f t="shared" si="290"/>
        <v>3.2049169581624319</v>
      </c>
      <c r="Y142" s="26">
        <f t="shared" si="290"/>
        <v>0.54136759736991458</v>
      </c>
      <c r="Z142" s="26">
        <f t="shared" si="290"/>
        <v>3.7132793866884839</v>
      </c>
      <c r="AA142" s="26">
        <f t="shared" si="290"/>
        <v>4.0722488107945338</v>
      </c>
      <c r="AB142" s="26">
        <f t="shared" si="291"/>
        <v>7.7855281974830177</v>
      </c>
      <c r="AH142" t="str">
        <f t="shared" si="306"/>
        <v>82 Transport and mobile machine drivers and operatives</v>
      </c>
      <c r="AI142" s="26">
        <f t="shared" si="292"/>
        <v>1.7186091043356653</v>
      </c>
      <c r="AJ142" s="26">
        <f t="shared" si="292"/>
        <v>0.5744968176144214</v>
      </c>
      <c r="AK142" s="26">
        <f t="shared" si="292"/>
        <v>1.9665833246858933</v>
      </c>
      <c r="AL142" s="26">
        <f t="shared" si="292"/>
        <v>2.0171078484329001</v>
      </c>
      <c r="AM142" s="26">
        <f t="shared" si="293"/>
        <v>3.9836911731187934</v>
      </c>
      <c r="AS142" t="str">
        <f t="shared" si="307"/>
        <v>82 Transport and mobile machine drivers and operatives</v>
      </c>
      <c r="AT142" s="26">
        <f t="shared" si="294"/>
        <v>1.737828109124127</v>
      </c>
      <c r="AU142" s="26">
        <f t="shared" si="294"/>
        <v>0.86944126650225328</v>
      </c>
      <c r="AV142" s="26">
        <f t="shared" si="294"/>
        <v>2.1941073075737645</v>
      </c>
      <c r="AW142" s="26">
        <f t="shared" si="294"/>
        <v>2.2265610198100578</v>
      </c>
      <c r="AX142" s="26">
        <f t="shared" si="295"/>
        <v>4.4206683273838223</v>
      </c>
      <c r="BD142" t="str">
        <f t="shared" si="308"/>
        <v>82 Transport and mobile machine drivers and operatives</v>
      </c>
      <c r="BE142" s="26">
        <f t="shared" si="296"/>
        <v>6.4115268688457405E-2</v>
      </c>
      <c r="BF142" s="26">
        <f t="shared" si="296"/>
        <v>4.3285456711613399</v>
      </c>
      <c r="BG142" s="26">
        <f t="shared" si="296"/>
        <v>-1.0994173374151401</v>
      </c>
      <c r="BH142" s="26">
        <f t="shared" si="296"/>
        <v>-4.2581282165019232</v>
      </c>
      <c r="BI142" s="26">
        <f t="shared" si="297"/>
        <v>-5.3575455539170633</v>
      </c>
      <c r="BO142" t="str">
        <f t="shared" si="309"/>
        <v>82 Transport and mobile machine drivers and operatives</v>
      </c>
      <c r="BP142" s="26">
        <f t="shared" si="298"/>
        <v>10.799106398046824</v>
      </c>
      <c r="BQ142" s="26">
        <f t="shared" si="298"/>
        <v>-12.44271346521527</v>
      </c>
      <c r="BR142" s="26">
        <f t="shared" si="298"/>
        <v>7.3352207648537373</v>
      </c>
      <c r="BS142" s="26">
        <f t="shared" si="298"/>
        <v>-5.4569787082218966</v>
      </c>
      <c r="BT142" s="26">
        <f t="shared" si="299"/>
        <v>1.8782420566318407</v>
      </c>
      <c r="BZ142" t="str">
        <f t="shared" si="310"/>
        <v>82 Transport and mobile machine drivers and operatives</v>
      </c>
      <c r="CA142" s="67">
        <f t="shared" si="300"/>
        <v>3.3142186989959441</v>
      </c>
      <c r="CB142" s="67">
        <f t="shared" si="300"/>
        <v>-7.4393810471623354</v>
      </c>
      <c r="CC142" s="67">
        <f t="shared" si="300"/>
        <v>2.5183130054190812</v>
      </c>
      <c r="CD142" s="67">
        <f t="shared" si="300"/>
        <v>-12.333743663750766</v>
      </c>
      <c r="CE142" s="67">
        <f t="shared" si="301"/>
        <v>-9.8154306583316853</v>
      </c>
      <c r="CK142" t="str">
        <f t="shared" si="311"/>
        <v>82 Transport and mobile machine drivers and operatives</v>
      </c>
      <c r="CL142" s="67">
        <f t="shared" si="302"/>
        <v>-4.6836460385229373E-2</v>
      </c>
      <c r="CM142" s="67">
        <f t="shared" si="302"/>
        <v>-9.7522040981334293</v>
      </c>
      <c r="CN142" s="67">
        <f t="shared" si="302"/>
        <v>-2.8625246974703114</v>
      </c>
      <c r="CO142" s="67">
        <f t="shared" si="302"/>
        <v>-7.4044557349429079</v>
      </c>
      <c r="CP142" s="67">
        <f t="shared" si="303"/>
        <v>-10.26698043241322</v>
      </c>
    </row>
    <row r="143" spans="1:94" x14ac:dyDescent="0.2">
      <c r="A143" t="str">
        <f t="shared" si="285"/>
        <v>91 Elementary trades and related occupations</v>
      </c>
      <c r="B143" s="26">
        <f t="shared" si="286"/>
        <v>5.8304346685769714E-4</v>
      </c>
      <c r="C143" s="26">
        <f t="shared" si="286"/>
        <v>5.6055936921678255E-4</v>
      </c>
      <c r="D143" s="26">
        <f t="shared" si="286"/>
        <v>1.3448421794238523E-3</v>
      </c>
      <c r="E143" s="26">
        <f t="shared" si="286"/>
        <v>7.8315098623188764E-3</v>
      </c>
      <c r="F143" s="26">
        <f t="shared" si="287"/>
        <v>9.1763520417427295E-3</v>
      </c>
      <c r="L143" t="str">
        <f t="shared" si="304"/>
        <v>91 Elementary trades and related occupations</v>
      </c>
      <c r="M143" s="26">
        <f t="shared" si="288"/>
        <v>0.13005646139969129</v>
      </c>
      <c r="N143" s="26">
        <f t="shared" si="288"/>
        <v>1.7557660966532662E-2</v>
      </c>
      <c r="O143" s="26">
        <f t="shared" si="288"/>
        <v>0.34508949438555769</v>
      </c>
      <c r="P143" s="26">
        <f t="shared" si="288"/>
        <v>1.5631811954198993</v>
      </c>
      <c r="Q143" s="26">
        <f t="shared" si="289"/>
        <v>1.9082706898054571</v>
      </c>
      <c r="W143" t="str">
        <f t="shared" si="305"/>
        <v>91 Elementary trades and related occupations</v>
      </c>
      <c r="X143" s="26">
        <f t="shared" si="290"/>
        <v>-1.4393322365657379E-2</v>
      </c>
      <c r="Y143" s="26">
        <f t="shared" si="290"/>
        <v>5.4011987061494793E-2</v>
      </c>
      <c r="Z143" s="26">
        <f t="shared" si="290"/>
        <v>-0.37042836459168438</v>
      </c>
      <c r="AA143" s="26">
        <f t="shared" si="290"/>
        <v>6.2969027684279588E-2</v>
      </c>
      <c r="AB143" s="26">
        <f t="shared" si="291"/>
        <v>-0.30745933690740479</v>
      </c>
      <c r="AH143" t="str">
        <f t="shared" si="306"/>
        <v>91 Elementary trades and related occupations</v>
      </c>
      <c r="AI143" s="26">
        <f t="shared" si="292"/>
        <v>-7.0870299260057612E-2</v>
      </c>
      <c r="AJ143" s="26">
        <f t="shared" si="292"/>
        <v>9.1547315195597445E-2</v>
      </c>
      <c r="AK143" s="26">
        <f t="shared" si="292"/>
        <v>-0.22834889489093424</v>
      </c>
      <c r="AL143" s="26">
        <f t="shared" si="292"/>
        <v>2.4483217604692742E-2</v>
      </c>
      <c r="AM143" s="26">
        <f t="shared" si="293"/>
        <v>-0.2038656772862415</v>
      </c>
      <c r="AS143" t="str">
        <f t="shared" si="307"/>
        <v>91 Elementary trades and related occupations</v>
      </c>
      <c r="AT143" s="26">
        <f t="shared" si="294"/>
        <v>6.2052941800248007E-2</v>
      </c>
      <c r="AU143" s="26">
        <f t="shared" si="294"/>
        <v>0.27343569332264073</v>
      </c>
      <c r="AV143" s="26">
        <f t="shared" si="294"/>
        <v>-0.25609035482562659</v>
      </c>
      <c r="AW143" s="26">
        <f t="shared" si="294"/>
        <v>0.21488912041137276</v>
      </c>
      <c r="AX143" s="26">
        <f t="shared" si="295"/>
        <v>-4.1201234414253829E-2</v>
      </c>
      <c r="BD143" t="str">
        <f t="shared" si="308"/>
        <v>91 Elementary trades and related occupations</v>
      </c>
      <c r="BE143" s="26">
        <f t="shared" si="296"/>
        <v>-1.1217157547466359</v>
      </c>
      <c r="BF143" s="26">
        <f t="shared" si="296"/>
        <v>0.39119243353863187</v>
      </c>
      <c r="BG143" s="26">
        <f t="shared" si="296"/>
        <v>-1.047530952433942</v>
      </c>
      <c r="BH143" s="26">
        <f t="shared" si="296"/>
        <v>-3.0075982810394475E-2</v>
      </c>
      <c r="BI143" s="26">
        <f t="shared" si="297"/>
        <v>-1.0776069352443365</v>
      </c>
      <c r="BO143" t="str">
        <f t="shared" si="309"/>
        <v>91 Elementary trades and related occupations</v>
      </c>
      <c r="BP143" s="26">
        <f t="shared" si="298"/>
        <v>0.25540089188636195</v>
      </c>
      <c r="BQ143" s="26">
        <f t="shared" si="298"/>
        <v>-1.779729363528693</v>
      </c>
      <c r="BR143" s="26">
        <f t="shared" si="298"/>
        <v>-1.1576032798403695</v>
      </c>
      <c r="BS143" s="26">
        <f t="shared" si="298"/>
        <v>-0.39236949212617311</v>
      </c>
      <c r="BT143" s="26">
        <f t="shared" si="299"/>
        <v>-1.5499727719665426</v>
      </c>
      <c r="BZ143" t="str">
        <f t="shared" si="310"/>
        <v>91 Elementary trades and related occupations</v>
      </c>
      <c r="CA143" s="67">
        <f t="shared" si="300"/>
        <v>-1.8251074462981514</v>
      </c>
      <c r="CB143" s="67">
        <f t="shared" si="300"/>
        <v>-1.2091863885913217</v>
      </c>
      <c r="CC143" s="67">
        <f t="shared" si="300"/>
        <v>-2.5070654726922577</v>
      </c>
      <c r="CD143" s="67">
        <f t="shared" si="300"/>
        <v>-2.3683890430942443</v>
      </c>
      <c r="CE143" s="67">
        <f t="shared" si="301"/>
        <v>-4.8754545157865019</v>
      </c>
      <c r="CK143" t="str">
        <f t="shared" si="311"/>
        <v>91 Elementary trades and related occupations</v>
      </c>
      <c r="CL143" s="67">
        <f t="shared" si="302"/>
        <v>-1.5314563876946643</v>
      </c>
      <c r="CM143" s="67">
        <f t="shared" si="302"/>
        <v>-1.9898411046096669</v>
      </c>
      <c r="CN143" s="67">
        <f t="shared" si="302"/>
        <v>-1.5486814907295581</v>
      </c>
      <c r="CO143" s="67">
        <f t="shared" si="302"/>
        <v>-0.90690131069310231</v>
      </c>
      <c r="CP143" s="67">
        <f t="shared" si="303"/>
        <v>-2.4555828014226604</v>
      </c>
    </row>
    <row r="144" spans="1:94" x14ac:dyDescent="0.2">
      <c r="A144" t="str">
        <f t="shared" si="285"/>
        <v>92 Elementary administration and service occupations</v>
      </c>
      <c r="B144" s="26">
        <f t="shared" si="286"/>
        <v>0.16374586906574257</v>
      </c>
      <c r="C144" s="26">
        <f t="shared" si="286"/>
        <v>9.2206755965768994E-2</v>
      </c>
      <c r="D144" s="26">
        <f t="shared" si="286"/>
        <v>0.42663861079296694</v>
      </c>
      <c r="E144" s="26">
        <f t="shared" si="286"/>
        <v>0.89320258895219129</v>
      </c>
      <c r="F144" s="26">
        <f t="shared" si="287"/>
        <v>1.3198411997451582</v>
      </c>
      <c r="L144" t="str">
        <f t="shared" ref="L144" si="312">A144</f>
        <v>92 Elementary administration and service occupations</v>
      </c>
      <c r="M144" s="26">
        <f t="shared" si="288"/>
        <v>8.9004325564462263</v>
      </c>
      <c r="N144" s="26">
        <f t="shared" si="288"/>
        <v>3.4821701300099974</v>
      </c>
      <c r="O144" s="26">
        <f t="shared" si="288"/>
        <v>20.374613098076725</v>
      </c>
      <c r="P144" s="26">
        <f t="shared" si="288"/>
        <v>60.204385113243603</v>
      </c>
      <c r="Q144" s="26">
        <f t="shared" si="289"/>
        <v>80.578998211320325</v>
      </c>
      <c r="W144" t="str">
        <f t="shared" ref="W144" si="313">A144</f>
        <v>92 Elementary administration and service occupations</v>
      </c>
      <c r="X144" s="26">
        <f t="shared" si="290"/>
        <v>11.86496416229874</v>
      </c>
      <c r="Y144" s="26">
        <f t="shared" si="290"/>
        <v>4.7673186744912996</v>
      </c>
      <c r="Z144" s="26">
        <f t="shared" si="290"/>
        <v>8.2589446183738318</v>
      </c>
      <c r="AA144" s="26">
        <f t="shared" si="290"/>
        <v>17.402831885061559</v>
      </c>
      <c r="AB144" s="26">
        <f t="shared" si="291"/>
        <v>25.661776503435391</v>
      </c>
      <c r="AH144" t="str">
        <f t="shared" ref="AH144" si="314">L144</f>
        <v>92 Elementary administration and service occupations</v>
      </c>
      <c r="AI144" s="26">
        <f t="shared" si="292"/>
        <v>4.9702510978185046</v>
      </c>
      <c r="AJ144" s="26">
        <f t="shared" si="292"/>
        <v>3.2344492625504877</v>
      </c>
      <c r="AK144" s="26">
        <f t="shared" si="292"/>
        <v>2.6173741851541514</v>
      </c>
      <c r="AL144" s="26">
        <f t="shared" si="292"/>
        <v>7.6435696259481247</v>
      </c>
      <c r="AM144" s="26">
        <f t="shared" si="293"/>
        <v>10.260943811102276</v>
      </c>
      <c r="AS144" t="str">
        <f t="shared" ref="AS144" si="315">W144</f>
        <v>92 Elementary administration and service occupations</v>
      </c>
      <c r="AT144" s="26">
        <f t="shared" si="294"/>
        <v>2.9277924688183425</v>
      </c>
      <c r="AU144" s="26">
        <f t="shared" si="294"/>
        <v>3.8341365854649716</v>
      </c>
      <c r="AV144" s="26">
        <f t="shared" si="294"/>
        <v>2.1355955019043797</v>
      </c>
      <c r="AW144" s="26">
        <f t="shared" si="294"/>
        <v>7.1485037162409952</v>
      </c>
      <c r="AX144" s="26">
        <f t="shared" si="295"/>
        <v>9.284099218145375</v>
      </c>
      <c r="BD144" t="str">
        <f t="shared" ref="BD144" si="316">AH144</f>
        <v>92 Elementary administration and service occupations</v>
      </c>
      <c r="BE144" s="26">
        <f t="shared" si="296"/>
        <v>0.84356753318743927</v>
      </c>
      <c r="BF144" s="26">
        <f t="shared" si="296"/>
        <v>-4.6780206683576466</v>
      </c>
      <c r="BG144" s="26">
        <f t="shared" si="296"/>
        <v>-5.6206093660004797</v>
      </c>
      <c r="BH144" s="26">
        <f t="shared" si="296"/>
        <v>-7.9501584045372908</v>
      </c>
      <c r="BI144" s="26">
        <f t="shared" si="297"/>
        <v>-13.570767770537771</v>
      </c>
      <c r="BO144" t="str">
        <f t="shared" ref="BO144" si="317">AS144</f>
        <v>92 Elementary administration and service occupations</v>
      </c>
      <c r="BP144" s="26">
        <f t="shared" si="298"/>
        <v>15.404965992272267</v>
      </c>
      <c r="BQ144" s="26">
        <f t="shared" si="298"/>
        <v>-24.184555090200305</v>
      </c>
      <c r="BR144" s="26">
        <f t="shared" si="298"/>
        <v>4.1485348077022763</v>
      </c>
      <c r="BS144" s="26">
        <f t="shared" si="298"/>
        <v>-27.290043476611871</v>
      </c>
      <c r="BT144" s="26">
        <f t="shared" si="299"/>
        <v>-23.141508668909594</v>
      </c>
      <c r="BZ144" t="str">
        <f t="shared" ref="BZ144" si="318">BD144</f>
        <v>92 Elementary administration and service occupations</v>
      </c>
      <c r="CA144" s="67">
        <f t="shared" si="300"/>
        <v>0.71464247376951562</v>
      </c>
      <c r="CB144" s="67">
        <f t="shared" si="300"/>
        <v>-7.0962135740757617</v>
      </c>
      <c r="CC144" s="67">
        <f t="shared" si="300"/>
        <v>-7.0680202255998239</v>
      </c>
      <c r="CD144" s="67">
        <f t="shared" si="300"/>
        <v>-44.281755962624402</v>
      </c>
      <c r="CE144" s="67">
        <f t="shared" si="301"/>
        <v>-51.349776188224226</v>
      </c>
      <c r="CK144" t="str">
        <f t="shared" ref="CK144" si="319">BO144</f>
        <v>92 Elementary administration and service occupations</v>
      </c>
      <c r="CL144" s="67">
        <f t="shared" si="302"/>
        <v>-16.851942799858335</v>
      </c>
      <c r="CM144" s="67">
        <f t="shared" si="302"/>
        <v>-22.833515395176008</v>
      </c>
      <c r="CN144" s="67">
        <f t="shared" si="302"/>
        <v>-11.505517594328985</v>
      </c>
      <c r="CO144" s="67">
        <f t="shared" si="302"/>
        <v>-15.7238001963805</v>
      </c>
      <c r="CP144" s="67">
        <f t="shared" si="303"/>
        <v>-27.229317790709487</v>
      </c>
    </row>
    <row r="145" spans="1:94" x14ac:dyDescent="0.2">
      <c r="C145" s="26"/>
      <c r="F145" s="26"/>
      <c r="N145" s="26"/>
      <c r="Q145" s="26"/>
      <c r="Y145" s="26"/>
      <c r="AB145" s="26"/>
      <c r="AJ145" s="26"/>
      <c r="AM145" s="26"/>
      <c r="AU145" s="26"/>
      <c r="AX145" s="26"/>
      <c r="BF145" s="26"/>
      <c r="BI145" s="26"/>
      <c r="BQ145" s="26"/>
      <c r="BT145" s="26"/>
      <c r="CA145" s="68"/>
      <c r="CB145" s="67"/>
      <c r="CC145" s="68"/>
      <c r="CD145" s="68"/>
      <c r="CE145" s="67"/>
      <c r="CL145" s="68"/>
      <c r="CM145" s="67"/>
      <c r="CN145" s="68"/>
      <c r="CO145" s="68"/>
      <c r="CP145" s="67"/>
    </row>
    <row r="146" spans="1:94" x14ac:dyDescent="0.2">
      <c r="A146" s="23" t="str">
        <f t="shared" ref="A146" si="320">A35</f>
        <v>All occupations</v>
      </c>
      <c r="B146" s="28">
        <f>C35-B35</f>
        <v>37.66984749085438</v>
      </c>
      <c r="C146" s="28">
        <f>D35-C35</f>
        <v>10.342471964451732</v>
      </c>
      <c r="D146" s="28">
        <f>E35-D35</f>
        <v>58.78051815374377</v>
      </c>
      <c r="E146" s="28">
        <f>F35-E35</f>
        <v>110.87560418627731</v>
      </c>
      <c r="F146" s="28">
        <f>F35-D35</f>
        <v>169.65612234002108</v>
      </c>
      <c r="L146" s="23" t="str">
        <f t="shared" ref="L146" si="321">L35</f>
        <v>All occupations</v>
      </c>
      <c r="M146" s="28">
        <f>N35-M35</f>
        <v>289.62269848568178</v>
      </c>
      <c r="N146" s="28">
        <f t="shared" ref="N146" si="322">O35-N35</f>
        <v>115.78701704513742</v>
      </c>
      <c r="O146" s="28">
        <f>P35-O35</f>
        <v>456.46831087149712</v>
      </c>
      <c r="P146" s="28">
        <f>Q35-P35</f>
        <v>891.29652354292784</v>
      </c>
      <c r="Q146" s="28">
        <f>Q35-O35</f>
        <v>1347.764834414425</v>
      </c>
      <c r="W146" s="23" t="str">
        <f t="shared" ref="W146" si="323">W35</f>
        <v>All occupations</v>
      </c>
      <c r="X146" s="28">
        <f>Y35-X35</f>
        <v>99.894989355361986</v>
      </c>
      <c r="Y146" s="28">
        <f t="shared" ref="Y146" si="324">Z35-Y35</f>
        <v>65.276076572305328</v>
      </c>
      <c r="Z146" s="28">
        <f>AA35-Z35</f>
        <v>-39.343775091309681</v>
      </c>
      <c r="AA146" s="28">
        <f>AB35-AA35</f>
        <v>-115.10259797121603</v>
      </c>
      <c r="AB146" s="28">
        <f>AB35-Z35</f>
        <v>-154.44637306252571</v>
      </c>
      <c r="AH146" s="23" t="str">
        <f t="shared" ref="AH146" si="325">AH35</f>
        <v>All occupations</v>
      </c>
      <c r="AI146" s="28">
        <f>AJ35-AI35</f>
        <v>-1.6811887048043559</v>
      </c>
      <c r="AJ146" s="28">
        <f t="shared" ref="AJ146" si="326">AK35-AJ35</f>
        <v>24.490115917146966</v>
      </c>
      <c r="AK146" s="28">
        <f>AL35-AK35</f>
        <v>-21.213306461502441</v>
      </c>
      <c r="AL146" s="28">
        <f>AM35-AL35</f>
        <v>-6.4307860069195613</v>
      </c>
      <c r="AM146" s="28">
        <f>AM35-AK35</f>
        <v>-27.644092468422002</v>
      </c>
      <c r="AS146" s="23" t="str">
        <f t="shared" ref="AS146" si="327">AS35</f>
        <v>All occupations</v>
      </c>
      <c r="AT146" s="28">
        <f>AU35-AT35</f>
        <v>19.388850911830161</v>
      </c>
      <c r="AU146" s="28">
        <f t="shared" ref="AU146" si="328">AV35-AU35</f>
        <v>25.065396713847122</v>
      </c>
      <c r="AV146" s="28">
        <f>AW35-AV35</f>
        <v>-7.5290746114385456</v>
      </c>
      <c r="AW146" s="28">
        <f>AX35-AW35</f>
        <v>5.0242451932149379E-2</v>
      </c>
      <c r="AX146" s="28">
        <f>AX35-AV35</f>
        <v>-7.4788321595063962</v>
      </c>
      <c r="BD146" s="23" t="str">
        <f t="shared" ref="BD146" si="329">BD35</f>
        <v>All occupations</v>
      </c>
      <c r="BE146" s="28">
        <f>BF35-BE35</f>
        <v>-24.220994955829951</v>
      </c>
      <c r="BF146" s="28">
        <f t="shared" ref="BF146" si="330">BG35-BF35</f>
        <v>-4.4584314645131826</v>
      </c>
      <c r="BG146" s="28">
        <f>BH35-BG35</f>
        <v>-82.405120797758741</v>
      </c>
      <c r="BH146" s="28">
        <f>BI35-BH35</f>
        <v>-148.85272782424158</v>
      </c>
      <c r="BI146" s="28">
        <f>BI35-BG35</f>
        <v>-231.25784862200032</v>
      </c>
      <c r="BO146" s="23" t="str">
        <f t="shared" ref="BO146" si="331">BO35</f>
        <v>All occupations</v>
      </c>
      <c r="BP146" s="28">
        <f>BQ35-BP35</f>
        <v>44.452018073228942</v>
      </c>
      <c r="BQ146" s="28">
        <f t="shared" ref="BQ146" si="332">BR35-BQ35</f>
        <v>-147.20747976949622</v>
      </c>
      <c r="BR146" s="28">
        <f>BS35-BR35</f>
        <v>-30.40324046914543</v>
      </c>
      <c r="BS146" s="28">
        <f>BT35-BS35</f>
        <v>-188.66242581569259</v>
      </c>
      <c r="BT146" s="28">
        <f>BT35-BR35</f>
        <v>-219.06566628483802</v>
      </c>
      <c r="BZ146" s="23" t="str">
        <f t="shared" ref="BZ146" si="333">BZ35</f>
        <v>All occupations</v>
      </c>
      <c r="CA146" s="69">
        <f>CB35-CA35</f>
        <v>-29.418565930998739</v>
      </c>
      <c r="CB146" s="69">
        <f t="shared" ref="CB146" si="334">CC35-CB35</f>
        <v>-41.04624017219578</v>
      </c>
      <c r="CC146" s="69">
        <f>CD35-CC35</f>
        <v>-64.775579339223214</v>
      </c>
      <c r="CD146" s="69">
        <f>CE35-CD35</f>
        <v>-184.9970789709713</v>
      </c>
      <c r="CE146" s="69">
        <f>CE35-CC35</f>
        <v>-249.77265831019452</v>
      </c>
      <c r="CK146" s="23" t="str">
        <f t="shared" ref="CK146" si="335">CK35</f>
        <v>All occupations</v>
      </c>
      <c r="CL146" s="69">
        <f>CM35-CL35</f>
        <v>-39.146654731167928</v>
      </c>
      <c r="CM146" s="69">
        <f t="shared" ref="CM146" si="336">CN35-CM35</f>
        <v>-80.984926799613703</v>
      </c>
      <c r="CN146" s="69">
        <f>CO35-CN35</f>
        <v>-27.661732249494065</v>
      </c>
      <c r="CO146" s="69">
        <f>CP35-CO35</f>
        <v>-56.739753595334037</v>
      </c>
      <c r="CP146" s="69">
        <f>CP35-CN35</f>
        <v>-84.401485844828102</v>
      </c>
    </row>
  </sheetData>
  <mergeCells count="36">
    <mergeCell ref="W1:AF1"/>
    <mergeCell ref="L1:U1"/>
    <mergeCell ref="A1:J1"/>
    <mergeCell ref="A38:J38"/>
    <mergeCell ref="L38:U38"/>
    <mergeCell ref="W38:AF38"/>
    <mergeCell ref="A75:J75"/>
    <mergeCell ref="L75:U75"/>
    <mergeCell ref="W75:AF75"/>
    <mergeCell ref="A112:J112"/>
    <mergeCell ref="L112:U112"/>
    <mergeCell ref="W112:AF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BZ1:CI1"/>
    <mergeCell ref="BZ38:CI38"/>
    <mergeCell ref="BZ75:CI75"/>
    <mergeCell ref="BZ112:CI112"/>
    <mergeCell ref="CK1:CT1"/>
    <mergeCell ref="CK38:CT38"/>
    <mergeCell ref="CK75:CT75"/>
    <mergeCell ref="CK112:CT112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0" customWidth="1"/>
    <col min="2" max="4" width="11.7109375" style="90" customWidth="1"/>
    <col min="5" max="5" width="14.7109375" style="90" customWidth="1"/>
    <col min="6" max="8" width="11.7109375" style="90" customWidth="1"/>
    <col min="9" max="9" width="16.5703125" style="90" customWidth="1"/>
    <col min="10" max="11" width="11.7109375" style="90" customWidth="1"/>
    <col min="12" max="12" width="2.7109375" style="90" customWidth="1"/>
    <col min="13" max="22" width="11.7109375" style="90" customWidth="1"/>
    <col min="23" max="23" width="2.7109375" style="90" customWidth="1"/>
    <col min="24" max="32" width="11.7109375" style="90" customWidth="1"/>
    <col min="33" max="33" width="12.85546875" style="90" customWidth="1"/>
    <col min="34" max="16384" width="9.140625" style="90"/>
  </cols>
  <sheetData>
    <row r="1" spans="1:33" ht="15.75" x14ac:dyDescent="0.25">
      <c r="A1" s="18" t="str">
        <f>CONCATENATE("Basic Table 3  Occupation by Qualification in ",A$6,", ",Info!B5)</f>
        <v>Basic Table 3  Occupation by Qualification in 2020, London</v>
      </c>
    </row>
    <row r="2" spans="1:33" x14ac:dyDescent="0.2">
      <c r="A2" s="181" t="s">
        <v>540</v>
      </c>
    </row>
    <row r="3" spans="1:33" x14ac:dyDescent="0.2">
      <c r="AG3" s="91"/>
    </row>
    <row r="4" spans="1:33" x14ac:dyDescent="0.2">
      <c r="A4" s="95"/>
      <c r="B4" s="94" t="s">
        <v>466</v>
      </c>
      <c r="C4" s="94"/>
      <c r="D4" s="94"/>
      <c r="E4" s="94"/>
      <c r="F4" s="94"/>
      <c r="G4" s="94"/>
      <c r="H4" s="94"/>
      <c r="I4" s="94"/>
      <c r="J4" s="94"/>
      <c r="K4" s="94"/>
      <c r="L4" s="95"/>
      <c r="M4" s="94" t="s">
        <v>464</v>
      </c>
      <c r="N4" s="94"/>
      <c r="O4" s="94"/>
      <c r="P4" s="94"/>
      <c r="Q4" s="94"/>
      <c r="R4" s="94"/>
      <c r="S4" s="94"/>
      <c r="T4" s="94"/>
      <c r="U4" s="94"/>
      <c r="V4" s="94"/>
      <c r="W4" s="95"/>
      <c r="X4" s="94" t="s">
        <v>465</v>
      </c>
      <c r="Y4" s="94"/>
      <c r="Z4" s="94"/>
      <c r="AA4" s="94"/>
      <c r="AB4" s="94"/>
      <c r="AC4" s="94"/>
      <c r="AD4" s="94"/>
      <c r="AE4" s="94"/>
      <c r="AF4" s="94"/>
    </row>
    <row r="5" spans="1:33" x14ac:dyDescent="0.2">
      <c r="B5" s="91"/>
      <c r="C5" s="91"/>
      <c r="D5" s="91"/>
      <c r="E5" s="91"/>
      <c r="F5" s="91"/>
      <c r="G5" s="91"/>
      <c r="H5" s="91"/>
      <c r="I5" s="91"/>
      <c r="J5" s="91"/>
      <c r="K5" s="91"/>
      <c r="M5" s="91"/>
      <c r="N5" s="91"/>
      <c r="O5" s="91"/>
      <c r="P5" s="91"/>
      <c r="Q5" s="91"/>
      <c r="R5" s="91"/>
      <c r="S5" s="91"/>
      <c r="T5" s="91"/>
      <c r="U5" s="91"/>
      <c r="V5" s="91"/>
      <c r="X5" s="91"/>
      <c r="Y5" s="91"/>
      <c r="Z5" s="91"/>
      <c r="AA5" s="91"/>
      <c r="AB5" s="91"/>
      <c r="AC5" s="91"/>
      <c r="AD5" s="91"/>
      <c r="AE5" s="91"/>
      <c r="AF5" s="91"/>
      <c r="AG5" s="91"/>
    </row>
    <row r="6" spans="1:33" ht="51" x14ac:dyDescent="0.2">
      <c r="A6" s="99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1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1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8">
        <f>'Basic T2'!D8</f>
        <v>14.461940910585088</v>
      </c>
      <c r="C8" s="68">
        <f>'Basic T2'!O8</f>
        <v>123.13672140516366</v>
      </c>
      <c r="D8" s="68">
        <f>'Basic T2'!Z8</f>
        <v>180.22626035275246</v>
      </c>
      <c r="E8" s="68">
        <f>'Basic T2'!AK8</f>
        <v>28.542800274104131</v>
      </c>
      <c r="F8" s="68">
        <f>'Basic T2'!AV8</f>
        <v>44.55149097224929</v>
      </c>
      <c r="G8" s="68">
        <f>'Basic T2'!BG8</f>
        <v>56.439359099443209</v>
      </c>
      <c r="H8" s="68">
        <f>'Basic T2'!BR8</f>
        <v>38.475667503143548</v>
      </c>
      <c r="I8" s="68">
        <f>'Basic T2'!CC8</f>
        <v>36.244020473880418</v>
      </c>
      <c r="J8" s="68">
        <f>'Basic T2'!CN8</f>
        <v>4.7927772944815707</v>
      </c>
      <c r="K8" s="309">
        <f>SUM(B8:J8)</f>
        <v>526.87103828580337</v>
      </c>
      <c r="L8" s="96"/>
      <c r="M8" s="96">
        <f t="shared" ref="M8:M33" si="0">B8/B$35*100</f>
        <v>8.9464128428291154</v>
      </c>
      <c r="N8" s="96">
        <f t="shared" ref="N8:N33" si="1">C8/C$35*100</f>
        <v>9.5690276560689806</v>
      </c>
      <c r="O8" s="96">
        <f t="shared" ref="O8:O33" si="2">D8/D$35*100</f>
        <v>11.043325830721022</v>
      </c>
      <c r="P8" s="96">
        <f t="shared" ref="P8:P33" si="3">E8/E$35*100</f>
        <v>7.4650111083512769</v>
      </c>
      <c r="Q8" s="96">
        <f t="shared" ref="Q8:Q33" si="4">F8/F$35*100</f>
        <v>11.358094327957051</v>
      </c>
      <c r="R8" s="96">
        <f t="shared" ref="R8:R33" si="5">G8/G$35*100</f>
        <v>7.444207617202081</v>
      </c>
      <c r="S8" s="96">
        <f t="shared" ref="S8:S33" si="6">H8/H$35*100</f>
        <v>6.1060405240580051</v>
      </c>
      <c r="T8" s="96">
        <f t="shared" ref="T8:T33" si="7">I8/I$35*100</f>
        <v>6.6048229676790235</v>
      </c>
      <c r="U8" s="96">
        <f t="shared" ref="U8:U33" si="8">J8/J$35*100</f>
        <v>3.2991582327760298</v>
      </c>
      <c r="V8" s="96">
        <f t="shared" ref="V8:V33" si="9">K8/K$35*100</f>
        <v>8.8737953364510425</v>
      </c>
      <c r="W8" s="96"/>
      <c r="X8" s="96">
        <f t="shared" ref="X8:X32" si="10">IF($K8&gt;0,B8/$K8*100,0)</f>
        <v>2.7448730068059177</v>
      </c>
      <c r="Y8" s="96">
        <f t="shared" ref="Y8:AG23" si="11">IF($K8&gt;0,C8/$K8*100,0)</f>
        <v>23.371320960399352</v>
      </c>
      <c r="Z8" s="96">
        <f t="shared" si="11"/>
        <v>34.206902117665464</v>
      </c>
      <c r="AA8" s="96">
        <f t="shared" si="11"/>
        <v>5.4174168249918058</v>
      </c>
      <c r="AB8" s="96">
        <f t="shared" si="11"/>
        <v>8.4558625801864924</v>
      </c>
      <c r="AC8" s="96">
        <f t="shared" si="11"/>
        <v>10.712177173957215</v>
      </c>
      <c r="AD8" s="96">
        <f t="shared" si="11"/>
        <v>7.3026727049423172</v>
      </c>
      <c r="AE8" s="96">
        <f t="shared" si="11"/>
        <v>6.8791066200567474</v>
      </c>
      <c r="AF8" s="96">
        <f>IF($K8&gt;0,J8/$K8*100,0)</f>
        <v>0.90966801099469607</v>
      </c>
      <c r="AG8" s="96">
        <f t="shared" si="11"/>
        <v>100</v>
      </c>
    </row>
    <row r="9" spans="1:33" x14ac:dyDescent="0.2">
      <c r="A9" s="10" t="str">
        <f>name!D5</f>
        <v>12 Other managers and proprietors</v>
      </c>
      <c r="B9" s="68">
        <f>'Basic T2'!D9</f>
        <v>4.5775901397419698</v>
      </c>
      <c r="C9" s="68">
        <f>'Basic T2'!O9</f>
        <v>41.193734284885188</v>
      </c>
      <c r="D9" s="68">
        <f>'Basic T2'!Z9</f>
        <v>58.448804210275128</v>
      </c>
      <c r="E9" s="68">
        <f>'Basic T2'!AK9</f>
        <v>13.572825573918719</v>
      </c>
      <c r="F9" s="68">
        <f>'Basic T2'!AV9</f>
        <v>18.690116210710254</v>
      </c>
      <c r="G9" s="68">
        <f>'Basic T2'!BG9</f>
        <v>22.464822398307785</v>
      </c>
      <c r="H9" s="68">
        <f>'Basic T2'!BR9</f>
        <v>18.212856268586286</v>
      </c>
      <c r="I9" s="68">
        <f>'Basic T2'!CC9</f>
        <v>17.026539450378216</v>
      </c>
      <c r="J9" s="68">
        <f>'Basic T2'!CN9</f>
        <v>4.0149055623496857</v>
      </c>
      <c r="K9" s="309">
        <f>SUM(B9:J9)</f>
        <v>198.20219409915322</v>
      </c>
      <c r="L9" s="96"/>
      <c r="M9" s="96">
        <f t="shared" si="0"/>
        <v>2.8317783531684091</v>
      </c>
      <c r="N9" s="96">
        <f t="shared" si="1"/>
        <v>3.2011895243809332</v>
      </c>
      <c r="O9" s="96">
        <f t="shared" si="2"/>
        <v>3.5814380659440292</v>
      </c>
      <c r="P9" s="96">
        <f t="shared" si="3"/>
        <v>3.5498021465308969</v>
      </c>
      <c r="Q9" s="96">
        <f t="shared" si="4"/>
        <v>4.7649157926938086</v>
      </c>
      <c r="R9" s="96">
        <f t="shared" si="5"/>
        <v>2.9630528178379785</v>
      </c>
      <c r="S9" s="96">
        <f t="shared" si="6"/>
        <v>2.890357611748926</v>
      </c>
      <c r="T9" s="96">
        <f t="shared" si="7"/>
        <v>3.1027815720111507</v>
      </c>
      <c r="U9" s="96">
        <f t="shared" si="8"/>
        <v>2.7637021138235518</v>
      </c>
      <c r="V9" s="96">
        <f t="shared" si="9"/>
        <v>3.3382091211423894</v>
      </c>
      <c r="W9" s="96"/>
      <c r="X9" s="96">
        <f t="shared" si="10"/>
        <v>2.3095557345101692</v>
      </c>
      <c r="Y9" s="96">
        <f t="shared" si="11"/>
        <v>20.78369236633046</v>
      </c>
      <c r="Z9" s="96">
        <f t="shared" si="11"/>
        <v>29.489483946396355</v>
      </c>
      <c r="AA9" s="96">
        <f t="shared" si="11"/>
        <v>6.8479693858125188</v>
      </c>
      <c r="AB9" s="96">
        <f t="shared" si="11"/>
        <v>9.4298230630889393</v>
      </c>
      <c r="AC9" s="96">
        <f t="shared" si="11"/>
        <v>11.334295515956532</v>
      </c>
      <c r="AD9" s="96">
        <f t="shared" si="11"/>
        <v>9.1890285833440721</v>
      </c>
      <c r="AE9" s="96">
        <f t="shared" si="11"/>
        <v>8.5904898922866977</v>
      </c>
      <c r="AF9" s="96">
        <f t="shared" si="11"/>
        <v>2.0256615122742674</v>
      </c>
      <c r="AG9" s="96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8">
        <f>'Basic T2'!D10</f>
        <v>26.755776053019293</v>
      </c>
      <c r="C10" s="68">
        <f>'Basic T2'!O10</f>
        <v>135.15460440212206</v>
      </c>
      <c r="D10" s="68">
        <f>'Basic T2'!Z10</f>
        <v>151.10260258774679</v>
      </c>
      <c r="E10" s="68">
        <f>'Basic T2'!AK10</f>
        <v>17.058868419809119</v>
      </c>
      <c r="F10" s="68">
        <f>'Basic T2'!AV10</f>
        <v>31.828906142966215</v>
      </c>
      <c r="G10" s="68">
        <f>'Basic T2'!BG10</f>
        <v>25.729731832248724</v>
      </c>
      <c r="H10" s="68">
        <f>'Basic T2'!BR10</f>
        <v>18.299253470914934</v>
      </c>
      <c r="I10" s="68">
        <f>'Basic T2'!CC10</f>
        <v>14.843486699094344</v>
      </c>
      <c r="J10" s="68">
        <f>'Basic T2'!CN10</f>
        <v>3.065628036016669</v>
      </c>
      <c r="K10" s="309">
        <f t="shared" ref="K10:K32" si="12">SUM(B10:J10)</f>
        <v>423.83885764393818</v>
      </c>
      <c r="L10" s="96"/>
      <c r="M10" s="96">
        <f t="shared" si="0"/>
        <v>16.551597049147908</v>
      </c>
      <c r="N10" s="96">
        <f t="shared" si="1"/>
        <v>10.50294447188956</v>
      </c>
      <c r="O10" s="96">
        <f t="shared" si="2"/>
        <v>9.2587798857967734</v>
      </c>
      <c r="P10" s="96">
        <f t="shared" si="3"/>
        <v>4.4615328918975452</v>
      </c>
      <c r="Q10" s="96">
        <f t="shared" si="4"/>
        <v>8.1145593657614441</v>
      </c>
      <c r="R10" s="96">
        <f t="shared" si="5"/>
        <v>3.3936860508411124</v>
      </c>
      <c r="S10" s="96">
        <f t="shared" si="6"/>
        <v>2.9040687401794036</v>
      </c>
      <c r="T10" s="96">
        <f t="shared" si="7"/>
        <v>2.7049593447081524</v>
      </c>
      <c r="U10" s="96">
        <f t="shared" si="8"/>
        <v>2.1102570289044538</v>
      </c>
      <c r="V10" s="96">
        <f t="shared" si="9"/>
        <v>7.1384817252515473</v>
      </c>
      <c r="W10" s="96"/>
      <c r="X10" s="96">
        <f t="shared" si="10"/>
        <v>6.3127237086639409</v>
      </c>
      <c r="Y10" s="96">
        <f t="shared" si="11"/>
        <v>31.888205143206523</v>
      </c>
      <c r="Z10" s="96">
        <f t="shared" si="11"/>
        <v>35.650955513542421</v>
      </c>
      <c r="AA10" s="96">
        <f t="shared" si="11"/>
        <v>4.0248476778738551</v>
      </c>
      <c r="AB10" s="96">
        <f t="shared" si="11"/>
        <v>7.5096715576997166</v>
      </c>
      <c r="AC10" s="96">
        <f t="shared" si="11"/>
        <v>6.0706401426421248</v>
      </c>
      <c r="AD10" s="96">
        <f t="shared" si="11"/>
        <v>4.317502546283265</v>
      </c>
      <c r="AE10" s="96">
        <f t="shared" si="11"/>
        <v>3.5021533376168574</v>
      </c>
      <c r="AF10" s="96">
        <f t="shared" si="11"/>
        <v>0.72330037247129086</v>
      </c>
      <c r="AG10" s="96">
        <f t="shared" si="11"/>
        <v>100</v>
      </c>
    </row>
    <row r="11" spans="1:33" x14ac:dyDescent="0.2">
      <c r="A11" s="10" t="str">
        <f>name!D7</f>
        <v>22 Health professionals</v>
      </c>
      <c r="B11" s="68">
        <f>'Basic T2'!D11</f>
        <v>25.466440555518659</v>
      </c>
      <c r="C11" s="68">
        <f>'Basic T2'!O11</f>
        <v>78.394938683136601</v>
      </c>
      <c r="D11" s="68">
        <f>'Basic T2'!Z11</f>
        <v>102.28838957052763</v>
      </c>
      <c r="E11" s="68">
        <f>'Basic T2'!AK11</f>
        <v>33.255387040998428</v>
      </c>
      <c r="F11" s="68">
        <f>'Basic T2'!AV11</f>
        <v>8.3847351221958508</v>
      </c>
      <c r="G11" s="68">
        <f>'Basic T2'!BG11</f>
        <v>20.409515877898365</v>
      </c>
      <c r="H11" s="68">
        <f>'Basic T2'!BR11</f>
        <v>11.780118317177539</v>
      </c>
      <c r="I11" s="68">
        <f>'Basic T2'!CC11</f>
        <v>8.889124925155576</v>
      </c>
      <c r="J11" s="68">
        <f>'Basic T2'!CN11</f>
        <v>0.99512169390655025</v>
      </c>
      <c r="K11" s="309">
        <f t="shared" si="12"/>
        <v>289.86377178651514</v>
      </c>
      <c r="L11" s="96"/>
      <c r="M11" s="96">
        <f t="shared" si="0"/>
        <v>15.753991269614371</v>
      </c>
      <c r="N11" s="96">
        <f t="shared" si="1"/>
        <v>6.0921171831955929</v>
      </c>
      <c r="O11" s="96">
        <f t="shared" si="2"/>
        <v>6.2676993492297743</v>
      </c>
      <c r="P11" s="96">
        <f t="shared" si="3"/>
        <v>8.6975290192113501</v>
      </c>
      <c r="Q11" s="96">
        <f t="shared" si="4"/>
        <v>2.1376301972060983</v>
      </c>
      <c r="R11" s="96">
        <f t="shared" si="5"/>
        <v>2.6919631261928467</v>
      </c>
      <c r="S11" s="96">
        <f t="shared" si="6"/>
        <v>1.8694901087033051</v>
      </c>
      <c r="T11" s="96">
        <f t="shared" si="7"/>
        <v>1.6198836580656475</v>
      </c>
      <c r="U11" s="96">
        <f t="shared" si="8"/>
        <v>0.68500239576037902</v>
      </c>
      <c r="V11" s="96">
        <f t="shared" si="9"/>
        <v>4.8820140022386109</v>
      </c>
      <c r="W11" s="96"/>
      <c r="X11" s="96">
        <f t="shared" si="10"/>
        <v>8.7856583106476336</v>
      </c>
      <c r="Y11" s="96">
        <f t="shared" si="11"/>
        <v>27.045442139928589</v>
      </c>
      <c r="Z11" s="96">
        <f t="shared" si="11"/>
        <v>35.28843530189868</v>
      </c>
      <c r="AA11" s="96">
        <f t="shared" si="11"/>
        <v>11.472764200933341</v>
      </c>
      <c r="AB11" s="96">
        <f t="shared" si="11"/>
        <v>2.8926468011225679</v>
      </c>
      <c r="AC11" s="96">
        <f t="shared" si="11"/>
        <v>7.0410716565607876</v>
      </c>
      <c r="AD11" s="96">
        <f t="shared" si="11"/>
        <v>4.0640188473962189</v>
      </c>
      <c r="AE11" s="96">
        <f t="shared" si="11"/>
        <v>3.0666560606623245</v>
      </c>
      <c r="AF11" s="96">
        <f t="shared" si="11"/>
        <v>0.34330668084987798</v>
      </c>
      <c r="AG11" s="96">
        <f t="shared" si="11"/>
        <v>100</v>
      </c>
    </row>
    <row r="12" spans="1:33" x14ac:dyDescent="0.2">
      <c r="A12" s="10" t="str">
        <f>name!D8</f>
        <v>23 Teaching and other educational professionals</v>
      </c>
      <c r="B12" s="68">
        <f>'Basic T2'!D12</f>
        <v>37.39001180991859</v>
      </c>
      <c r="C12" s="68">
        <f>'Basic T2'!O12</f>
        <v>211.71419939870535</v>
      </c>
      <c r="D12" s="68">
        <f>'Basic T2'!Z12</f>
        <v>84.318630702045596</v>
      </c>
      <c r="E12" s="68">
        <f>'Basic T2'!AK12</f>
        <v>7.537191078046293</v>
      </c>
      <c r="F12" s="68">
        <f>'Basic T2'!AV12</f>
        <v>5.434936683572932</v>
      </c>
      <c r="G12" s="68">
        <f>'Basic T2'!BG12</f>
        <v>10.912423703835092</v>
      </c>
      <c r="H12" s="68">
        <f>'Basic T2'!BR12</f>
        <v>6.7874041364796707</v>
      </c>
      <c r="I12" s="68">
        <f>'Basic T2'!CC12</f>
        <v>5.5577915961204551</v>
      </c>
      <c r="J12" s="68">
        <f>'Basic T2'!CN12</f>
        <v>1.0049451277653549</v>
      </c>
      <c r="K12" s="309">
        <f t="shared" si="12"/>
        <v>370.65753423648937</v>
      </c>
      <c r="L12" s="96"/>
      <c r="M12" s="96">
        <f t="shared" si="0"/>
        <v>23.130123675512571</v>
      </c>
      <c r="N12" s="96">
        <f t="shared" si="1"/>
        <v>16.452436008611802</v>
      </c>
      <c r="O12" s="96">
        <f t="shared" si="2"/>
        <v>5.1666061905761884</v>
      </c>
      <c r="P12" s="96">
        <f t="shared" si="3"/>
        <v>1.9712577106328681</v>
      </c>
      <c r="Q12" s="96">
        <f t="shared" si="4"/>
        <v>1.3855994978248156</v>
      </c>
      <c r="R12" s="96">
        <f t="shared" si="5"/>
        <v>1.4393208738443515</v>
      </c>
      <c r="S12" s="96">
        <f t="shared" si="6"/>
        <v>1.077152584997199</v>
      </c>
      <c r="T12" s="96">
        <f t="shared" si="7"/>
        <v>1.0128078812361327</v>
      </c>
      <c r="U12" s="96">
        <f t="shared" si="8"/>
        <v>0.69176445890208227</v>
      </c>
      <c r="V12" s="96">
        <f t="shared" si="9"/>
        <v>6.2427783266082564</v>
      </c>
      <c r="W12" s="96"/>
      <c r="X12" s="96">
        <f t="shared" si="10"/>
        <v>10.087481935835349</v>
      </c>
      <c r="Y12" s="96">
        <f t="shared" si="11"/>
        <v>57.118547403821573</v>
      </c>
      <c r="Z12" s="96">
        <f t="shared" si="11"/>
        <v>22.748392495442456</v>
      </c>
      <c r="AA12" s="96">
        <f t="shared" si="11"/>
        <v>2.0334649593922363</v>
      </c>
      <c r="AB12" s="96">
        <f t="shared" si="11"/>
        <v>1.466296023030601</v>
      </c>
      <c r="AC12" s="96">
        <f t="shared" si="11"/>
        <v>2.9440717362762889</v>
      </c>
      <c r="AD12" s="96">
        <f t="shared" si="11"/>
        <v>1.8311793258056712</v>
      </c>
      <c r="AE12" s="96">
        <f t="shared" si="11"/>
        <v>1.4994411505944019</v>
      </c>
      <c r="AF12" s="96">
        <f t="shared" si="11"/>
        <v>0.27112496980141598</v>
      </c>
      <c r="AG12" s="96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8">
        <f>'Basic T2'!D13</f>
        <v>21.010399183190227</v>
      </c>
      <c r="C13" s="68">
        <f>'Basic T2'!O13</f>
        <v>257.63487960270822</v>
      </c>
      <c r="D13" s="68">
        <f>'Basic T2'!Z13</f>
        <v>287.93312366830401</v>
      </c>
      <c r="E13" s="68">
        <f>'Basic T2'!AK13</f>
        <v>22.262060190497596</v>
      </c>
      <c r="F13" s="68">
        <f>'Basic T2'!AV13</f>
        <v>40.430365073106785</v>
      </c>
      <c r="G13" s="68">
        <f>'Basic T2'!BG13</f>
        <v>45.29355467578327</v>
      </c>
      <c r="H13" s="68">
        <f>'Basic T2'!BR13</f>
        <v>28.943937903842194</v>
      </c>
      <c r="I13" s="68">
        <f>'Basic T2'!CC13</f>
        <v>22.118898451400099</v>
      </c>
      <c r="J13" s="68">
        <f>'Basic T2'!CN13</f>
        <v>4.2259064644352247</v>
      </c>
      <c r="K13" s="309">
        <f t="shared" si="12"/>
        <v>729.85312521326762</v>
      </c>
      <c r="L13" s="96"/>
      <c r="M13" s="96">
        <f t="shared" si="0"/>
        <v>12.997405137223367</v>
      </c>
      <c r="N13" s="96">
        <f t="shared" si="1"/>
        <v>20.020959304045071</v>
      </c>
      <c r="O13" s="96">
        <f t="shared" si="2"/>
        <v>17.643041008023726</v>
      </c>
      <c r="P13" s="96">
        <f t="shared" si="3"/>
        <v>5.8223623828396551</v>
      </c>
      <c r="Q13" s="96">
        <f t="shared" si="4"/>
        <v>10.307441798078674</v>
      </c>
      <c r="R13" s="96">
        <f t="shared" si="5"/>
        <v>5.9741044212344905</v>
      </c>
      <c r="S13" s="96">
        <f t="shared" si="6"/>
        <v>4.5933669052587458</v>
      </c>
      <c r="T13" s="96">
        <f t="shared" si="7"/>
        <v>4.0307727068206862</v>
      </c>
      <c r="U13" s="96">
        <f t="shared" si="8"/>
        <v>2.9089467852252873</v>
      </c>
      <c r="V13" s="96">
        <f t="shared" si="9"/>
        <v>12.292509529245507</v>
      </c>
      <c r="W13" s="96"/>
      <c r="X13" s="96">
        <f t="shared" si="10"/>
        <v>2.8787160672979044</v>
      </c>
      <c r="Y13" s="96">
        <f t="shared" si="11"/>
        <v>35.299551471732855</v>
      </c>
      <c r="Z13" s="96">
        <f t="shared" si="11"/>
        <v>39.450831094840922</v>
      </c>
      <c r="AA13" s="96">
        <f t="shared" si="11"/>
        <v>3.0502109837499818</v>
      </c>
      <c r="AB13" s="96">
        <f t="shared" si="11"/>
        <v>5.539520716759661</v>
      </c>
      <c r="AC13" s="96">
        <f t="shared" si="11"/>
        <v>6.2058451366565306</v>
      </c>
      <c r="AD13" s="96">
        <f t="shared" si="11"/>
        <v>3.9657208969797306</v>
      </c>
      <c r="AE13" s="96">
        <f t="shared" si="11"/>
        <v>3.030595840079032</v>
      </c>
      <c r="AF13" s="96">
        <f t="shared" si="11"/>
        <v>0.57900779190338991</v>
      </c>
      <c r="AG13" s="96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8">
        <f>'Basic T2'!D14</f>
        <v>3.6950790862172043</v>
      </c>
      <c r="C14" s="68">
        <f>'Basic T2'!O14</f>
        <v>21.671518529790117</v>
      </c>
      <c r="D14" s="68">
        <f>'Basic T2'!Z14</f>
        <v>35.731451635184506</v>
      </c>
      <c r="E14" s="68">
        <f>'Basic T2'!AK14</f>
        <v>5.9104143687334654</v>
      </c>
      <c r="F14" s="68">
        <f>'Basic T2'!AV14</f>
        <v>11.106476640859558</v>
      </c>
      <c r="G14" s="68">
        <f>'Basic T2'!BG14</f>
        <v>9.6182881176568245</v>
      </c>
      <c r="H14" s="68">
        <f>'Basic T2'!BR14</f>
        <v>7.9371526782265329</v>
      </c>
      <c r="I14" s="68">
        <f>'Basic T2'!CC14</f>
        <v>7.7154256309976095</v>
      </c>
      <c r="J14" s="68">
        <f>'Basic T2'!CN14</f>
        <v>2.0564754884008893</v>
      </c>
      <c r="K14" s="309">
        <f t="shared" si="12"/>
        <v>105.44228217606673</v>
      </c>
      <c r="L14" s="96"/>
      <c r="M14" s="96">
        <f t="shared" si="0"/>
        <v>2.2858413816368892</v>
      </c>
      <c r="N14" s="96">
        <f t="shared" si="1"/>
        <v>1.684106558905643</v>
      </c>
      <c r="O14" s="96">
        <f t="shared" si="2"/>
        <v>2.1894371111050219</v>
      </c>
      <c r="P14" s="96">
        <f t="shared" si="3"/>
        <v>1.5457946835575209</v>
      </c>
      <c r="Q14" s="96">
        <f t="shared" si="4"/>
        <v>2.8315193629930615</v>
      </c>
      <c r="R14" s="96">
        <f t="shared" si="5"/>
        <v>1.2686276884141934</v>
      </c>
      <c r="S14" s="96">
        <f t="shared" si="6"/>
        <v>1.2596162469417087</v>
      </c>
      <c r="T14" s="96">
        <f t="shared" si="7"/>
        <v>1.4059980031673505</v>
      </c>
      <c r="U14" s="96">
        <f t="shared" si="8"/>
        <v>1.4155963486706902</v>
      </c>
      <c r="V14" s="96">
        <f t="shared" si="9"/>
        <v>1.7759056084824612</v>
      </c>
      <c r="W14" s="96"/>
      <c r="X14" s="96">
        <f t="shared" si="10"/>
        <v>3.5043618271152259</v>
      </c>
      <c r="Y14" s="96">
        <f t="shared" si="11"/>
        <v>20.552968014864454</v>
      </c>
      <c r="Z14" s="96">
        <f t="shared" si="11"/>
        <v>33.887213836590142</v>
      </c>
      <c r="AA14" s="96">
        <f t="shared" si="11"/>
        <v>5.605355125815942</v>
      </c>
      <c r="AB14" s="96">
        <f t="shared" si="11"/>
        <v>10.533228617258157</v>
      </c>
      <c r="AC14" s="96">
        <f t="shared" si="11"/>
        <v>9.121851233830732</v>
      </c>
      <c r="AD14" s="96">
        <f t="shared" si="11"/>
        <v>7.5274856674413932</v>
      </c>
      <c r="AE14" s="96">
        <f t="shared" si="11"/>
        <v>7.3172028068535635</v>
      </c>
      <c r="AF14" s="96">
        <f t="shared" si="11"/>
        <v>1.9503328702303713</v>
      </c>
      <c r="AG14" s="96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8">
        <f>'Basic T2'!D15</f>
        <v>0.86486135976137557</v>
      </c>
      <c r="C15" s="68">
        <f>'Basic T2'!O15</f>
        <v>21.045746005941353</v>
      </c>
      <c r="D15" s="68">
        <f>'Basic T2'!Z15</f>
        <v>38.178431831182131</v>
      </c>
      <c r="E15" s="68">
        <f>'Basic T2'!AK15</f>
        <v>18.22015371165989</v>
      </c>
      <c r="F15" s="68">
        <f>'Basic T2'!AV15</f>
        <v>5.7655610804634616</v>
      </c>
      <c r="G15" s="68">
        <f>'Basic T2'!BG15</f>
        <v>12.770117986854212</v>
      </c>
      <c r="H15" s="68">
        <f>'Basic T2'!BR15</f>
        <v>7.9803274011492045</v>
      </c>
      <c r="I15" s="68">
        <f>'Basic T2'!CC15</f>
        <v>4.179055937485689</v>
      </c>
      <c r="J15" s="68">
        <f>'Basic T2'!CN15</f>
        <v>0.65385289361620513</v>
      </c>
      <c r="K15" s="309">
        <f t="shared" si="12"/>
        <v>109.65810820811352</v>
      </c>
      <c r="L15" s="96"/>
      <c r="M15" s="96">
        <f t="shared" si="0"/>
        <v>0.5350185583024063</v>
      </c>
      <c r="N15" s="96">
        <f t="shared" si="1"/>
        <v>1.6354774049149816</v>
      </c>
      <c r="O15" s="96">
        <f t="shared" si="2"/>
        <v>2.3393753029802364</v>
      </c>
      <c r="P15" s="96">
        <f t="shared" si="3"/>
        <v>4.7652524821402746</v>
      </c>
      <c r="Q15" s="96">
        <f t="shared" si="4"/>
        <v>1.469889899897906</v>
      </c>
      <c r="R15" s="96">
        <f t="shared" si="5"/>
        <v>1.6843460150355829</v>
      </c>
      <c r="S15" s="96">
        <f t="shared" si="6"/>
        <v>1.2664680217097299</v>
      </c>
      <c r="T15" s="96">
        <f t="shared" si="7"/>
        <v>0.76155802469575506</v>
      </c>
      <c r="U15" s="96">
        <f t="shared" si="8"/>
        <v>0.4500864581131494</v>
      </c>
      <c r="V15" s="96">
        <f t="shared" si="9"/>
        <v>1.8469104173711448</v>
      </c>
      <c r="W15" s="96"/>
      <c r="X15" s="96">
        <f t="shared" si="10"/>
        <v>0.78868892952266445</v>
      </c>
      <c r="Y15" s="96">
        <f t="shared" si="11"/>
        <v>19.192147621222773</v>
      </c>
      <c r="Z15" s="96">
        <f t="shared" si="11"/>
        <v>34.81587677832777</v>
      </c>
      <c r="AA15" s="96">
        <f t="shared" si="11"/>
        <v>16.615418603684969</v>
      </c>
      <c r="AB15" s="96">
        <f t="shared" si="11"/>
        <v>5.2577608484010598</v>
      </c>
      <c r="AC15" s="96">
        <f t="shared" si="11"/>
        <v>11.645393300619936</v>
      </c>
      <c r="AD15" s="96">
        <f t="shared" si="11"/>
        <v>7.2774622246845819</v>
      </c>
      <c r="AE15" s="96">
        <f t="shared" si="11"/>
        <v>3.8109867165996612</v>
      </c>
      <c r="AF15" s="96">
        <f t="shared" si="11"/>
        <v>0.59626497693658653</v>
      </c>
      <c r="AG15" s="96">
        <f t="shared" si="11"/>
        <v>100</v>
      </c>
    </row>
    <row r="16" spans="1:33" x14ac:dyDescent="0.2">
      <c r="A16" s="10" t="str">
        <f>name!D12</f>
        <v>33 Protective service occupations</v>
      </c>
      <c r="B16" s="68">
        <f>'Basic T2'!D16</f>
        <v>0.42680778965538979</v>
      </c>
      <c r="C16" s="68">
        <f>'Basic T2'!O16</f>
        <v>8.9984721058527128</v>
      </c>
      <c r="D16" s="68">
        <f>'Basic T2'!Z16</f>
        <v>25.123549110413528</v>
      </c>
      <c r="E16" s="68">
        <f>'Basic T2'!AK16</f>
        <v>6.5255242885699438</v>
      </c>
      <c r="F16" s="68">
        <f>'Basic T2'!AV16</f>
        <v>4.8297121407536192</v>
      </c>
      <c r="G16" s="68">
        <f>'Basic T2'!BG16</f>
        <v>10.601587951727998</v>
      </c>
      <c r="H16" s="68">
        <f>'Basic T2'!BR16</f>
        <v>10.767253493766388</v>
      </c>
      <c r="I16" s="68">
        <f>'Basic T2'!CC16</f>
        <v>7.8233534264623437</v>
      </c>
      <c r="J16" s="68">
        <f>'Basic T2'!CN16</f>
        <v>0.70815541831086404</v>
      </c>
      <c r="K16" s="309">
        <f t="shared" si="12"/>
        <v>75.804415725512797</v>
      </c>
      <c r="L16" s="96"/>
      <c r="M16" s="96">
        <f t="shared" si="0"/>
        <v>0.26403085964745554</v>
      </c>
      <c r="N16" s="96">
        <f t="shared" si="1"/>
        <v>0.69927660457962348</v>
      </c>
      <c r="O16" s="96">
        <f t="shared" si="2"/>
        <v>1.5394401365670938</v>
      </c>
      <c r="P16" s="96">
        <f t="shared" si="3"/>
        <v>1.7066689614959176</v>
      </c>
      <c r="Q16" s="96">
        <f t="shared" si="4"/>
        <v>1.2313016887746469</v>
      </c>
      <c r="R16" s="96">
        <f t="shared" si="5"/>
        <v>1.3983224303741242</v>
      </c>
      <c r="S16" s="96">
        <f t="shared" si="6"/>
        <v>1.7087497224153727</v>
      </c>
      <c r="T16" s="96">
        <f t="shared" si="7"/>
        <v>1.4256659090181973</v>
      </c>
      <c r="U16" s="96">
        <f t="shared" si="8"/>
        <v>0.48746616728786624</v>
      </c>
      <c r="V16" s="96">
        <f t="shared" si="9"/>
        <v>1.2767315374479882</v>
      </c>
      <c r="W16" s="96"/>
      <c r="X16" s="96">
        <f t="shared" si="10"/>
        <v>0.56303816284378139</v>
      </c>
      <c r="Y16" s="96">
        <f t="shared" si="11"/>
        <v>11.870643708192555</v>
      </c>
      <c r="Z16" s="96">
        <f t="shared" si="11"/>
        <v>33.142593172125622</v>
      </c>
      <c r="AA16" s="96">
        <f t="shared" si="11"/>
        <v>8.6083696129244203</v>
      </c>
      <c r="AB16" s="96">
        <f t="shared" si="11"/>
        <v>6.3712807420638518</v>
      </c>
      <c r="AC16" s="96">
        <f t="shared" si="11"/>
        <v>13.985449066867378</v>
      </c>
      <c r="AD16" s="96">
        <f t="shared" si="11"/>
        <v>14.203992459693286</v>
      </c>
      <c r="AE16" s="96">
        <f t="shared" si="11"/>
        <v>10.320445519678756</v>
      </c>
      <c r="AF16" s="96">
        <f t="shared" si="11"/>
        <v>0.93418755561033451</v>
      </c>
      <c r="AG16" s="96">
        <f t="shared" si="11"/>
        <v>100</v>
      </c>
    </row>
    <row r="17" spans="1:33" x14ac:dyDescent="0.2">
      <c r="A17" s="10" t="str">
        <f>name!D13</f>
        <v>34 Culture, media and sports occupations</v>
      </c>
      <c r="B17" s="68">
        <f>'Basic T2'!D17</f>
        <v>2.9018364050871486</v>
      </c>
      <c r="C17" s="68">
        <f>'Basic T2'!O17</f>
        <v>70.0987478124853</v>
      </c>
      <c r="D17" s="68">
        <f>'Basic T2'!Z17</f>
        <v>98.051298913238483</v>
      </c>
      <c r="E17" s="68">
        <f>'Basic T2'!AK17</f>
        <v>15.850395797999212</v>
      </c>
      <c r="F17" s="68">
        <f>'Basic T2'!AV17</f>
        <v>13.55326085817212</v>
      </c>
      <c r="G17" s="68">
        <f>'Basic T2'!BG17</f>
        <v>22.347872709294215</v>
      </c>
      <c r="H17" s="68">
        <f>'Basic T2'!BR17</f>
        <v>9.4310753129524194</v>
      </c>
      <c r="I17" s="68">
        <f>'Basic T2'!CC17</f>
        <v>9.6191255179408852</v>
      </c>
      <c r="J17" s="68">
        <f>'Basic T2'!CN17</f>
        <v>2.661781050294989</v>
      </c>
      <c r="K17" s="309">
        <f t="shared" si="12"/>
        <v>244.51539437746482</v>
      </c>
      <c r="L17" s="96"/>
      <c r="M17" s="96">
        <f t="shared" si="0"/>
        <v>1.7951274066718912</v>
      </c>
      <c r="N17" s="96">
        <f t="shared" si="1"/>
        <v>5.4474152699452025</v>
      </c>
      <c r="O17" s="96">
        <f t="shared" si="2"/>
        <v>6.0080725189822628</v>
      </c>
      <c r="P17" s="96">
        <f t="shared" si="3"/>
        <v>4.1454720478557636</v>
      </c>
      <c r="Q17" s="96">
        <f t="shared" si="4"/>
        <v>3.4553100674995232</v>
      </c>
      <c r="R17" s="96">
        <f t="shared" si="5"/>
        <v>2.9476274519288745</v>
      </c>
      <c r="S17" s="96">
        <f t="shared" si="6"/>
        <v>1.4966999088872355</v>
      </c>
      <c r="T17" s="96">
        <f t="shared" si="7"/>
        <v>1.75291317903511</v>
      </c>
      <c r="U17" s="96">
        <f t="shared" si="8"/>
        <v>1.8322647447105802</v>
      </c>
      <c r="V17" s="96">
        <f t="shared" si="9"/>
        <v>4.1182365486945383</v>
      </c>
      <c r="W17" s="96"/>
      <c r="X17" s="96">
        <f t="shared" si="10"/>
        <v>1.1867704331971458</v>
      </c>
      <c r="Y17" s="96">
        <f t="shared" si="11"/>
        <v>28.668439462045498</v>
      </c>
      <c r="Z17" s="96">
        <f t="shared" si="11"/>
        <v>40.10025592166771</v>
      </c>
      <c r="AA17" s="96">
        <f t="shared" si="11"/>
        <v>6.4823713199548259</v>
      </c>
      <c r="AB17" s="96">
        <f t="shared" si="11"/>
        <v>5.54290697838419</v>
      </c>
      <c r="AC17" s="96">
        <f t="shared" si="11"/>
        <v>9.1396587794366919</v>
      </c>
      <c r="AD17" s="96">
        <f t="shared" si="11"/>
        <v>3.8570476664522078</v>
      </c>
      <c r="AE17" s="96">
        <f t="shared" si="11"/>
        <v>3.933954973440891</v>
      </c>
      <c r="AF17" s="96">
        <f t="shared" si="11"/>
        <v>1.0885944654208266</v>
      </c>
      <c r="AG17" s="96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8">
        <f>'Basic T2'!D18</f>
        <v>12.879770803960131</v>
      </c>
      <c r="C18" s="68">
        <f>'Basic T2'!O18</f>
        <v>136.87695367757865</v>
      </c>
      <c r="D18" s="68">
        <f>'Basic T2'!Z18</f>
        <v>176.50779523517124</v>
      </c>
      <c r="E18" s="68">
        <f>'Basic T2'!AK18</f>
        <v>44.137580810812061</v>
      </c>
      <c r="F18" s="68">
        <f>'Basic T2'!AV18</f>
        <v>37.819068440428396</v>
      </c>
      <c r="G18" s="68">
        <f>'Basic T2'!BG18</f>
        <v>59.21841271322554</v>
      </c>
      <c r="H18" s="68">
        <f>'Basic T2'!BR18</f>
        <v>43.944660244072409</v>
      </c>
      <c r="I18" s="68">
        <f>'Basic T2'!CC18</f>
        <v>33.021327416301155</v>
      </c>
      <c r="J18" s="68">
        <f>'Basic T2'!CN18</f>
        <v>5.6521572002953127</v>
      </c>
      <c r="K18" s="309">
        <f t="shared" si="12"/>
        <v>550.05772654184477</v>
      </c>
      <c r="L18" s="96"/>
      <c r="M18" s="96">
        <f t="shared" si="0"/>
        <v>7.9676543864804534</v>
      </c>
      <c r="N18" s="96">
        <f t="shared" si="1"/>
        <v>10.636789255656584</v>
      </c>
      <c r="O18" s="96">
        <f t="shared" si="2"/>
        <v>10.815477670285102</v>
      </c>
      <c r="P18" s="96">
        <f t="shared" si="3"/>
        <v>11.543630193404553</v>
      </c>
      <c r="Q18" s="96">
        <f t="shared" si="4"/>
        <v>9.6417097916972878</v>
      </c>
      <c r="R18" s="96">
        <f t="shared" si="5"/>
        <v>7.8107577058358038</v>
      </c>
      <c r="S18" s="96">
        <f t="shared" si="6"/>
        <v>6.9739628622256884</v>
      </c>
      <c r="T18" s="96">
        <f t="shared" si="7"/>
        <v>6.0175449326768442</v>
      </c>
      <c r="U18" s="96">
        <f t="shared" si="8"/>
        <v>3.8907213531013145</v>
      </c>
      <c r="V18" s="96">
        <f t="shared" si="9"/>
        <v>9.2643158076153593</v>
      </c>
      <c r="W18" s="96"/>
      <c r="X18" s="96">
        <f t="shared" si="10"/>
        <v>2.341530748951369</v>
      </c>
      <c r="Y18" s="96">
        <f t="shared" si="11"/>
        <v>24.884107080562199</v>
      </c>
      <c r="Z18" s="96">
        <f t="shared" si="11"/>
        <v>32.088958434391465</v>
      </c>
      <c r="AA18" s="96">
        <f t="shared" si="11"/>
        <v>8.0241724970032511</v>
      </c>
      <c r="AB18" s="96">
        <f t="shared" si="11"/>
        <v>6.8754726305169669</v>
      </c>
      <c r="AC18" s="96">
        <f t="shared" si="11"/>
        <v>10.76585417416559</v>
      </c>
      <c r="AD18" s="96">
        <f t="shared" si="11"/>
        <v>7.9890997114698994</v>
      </c>
      <c r="AE18" s="96">
        <f t="shared" si="11"/>
        <v>6.0032476270995723</v>
      </c>
      <c r="AF18" s="96">
        <f t="shared" si="11"/>
        <v>1.0275570958397098</v>
      </c>
      <c r="AG18" s="96">
        <f t="shared" si="11"/>
        <v>100</v>
      </c>
    </row>
    <row r="19" spans="1:33" x14ac:dyDescent="0.2">
      <c r="A19" s="10" t="str">
        <f>name!D15</f>
        <v>41 Administrative occupations</v>
      </c>
      <c r="B19" s="68">
        <f>'Basic T2'!D19</f>
        <v>4.2159814385508305</v>
      </c>
      <c r="C19" s="68">
        <f>'Basic T2'!O19</f>
        <v>52.750269142579064</v>
      </c>
      <c r="D19" s="68">
        <f>'Basic T2'!Z19</f>
        <v>109.91389749432282</v>
      </c>
      <c r="E19" s="68">
        <f>'Basic T2'!AK19</f>
        <v>34.541934579091865</v>
      </c>
      <c r="F19" s="68">
        <f>'Basic T2'!AV19</f>
        <v>34.649020143200637</v>
      </c>
      <c r="G19" s="68">
        <f>'Basic T2'!BG19</f>
        <v>63.291731793891159</v>
      </c>
      <c r="H19" s="68">
        <f>'Basic T2'!BR19</f>
        <v>56.587278139049772</v>
      </c>
      <c r="I19" s="68">
        <f>'Basic T2'!CC19</f>
        <v>40.130228508653197</v>
      </c>
      <c r="J19" s="68">
        <f>'Basic T2'!CN19</f>
        <v>7.5594805499164197</v>
      </c>
      <c r="K19" s="309">
        <f t="shared" si="12"/>
        <v>403.63982178925579</v>
      </c>
      <c r="L19" s="96"/>
      <c r="M19" s="96">
        <f t="shared" si="0"/>
        <v>2.6080808046569706</v>
      </c>
      <c r="N19" s="96">
        <f t="shared" si="1"/>
        <v>4.099254702661379</v>
      </c>
      <c r="O19" s="96">
        <f t="shared" si="2"/>
        <v>6.7349507279267042</v>
      </c>
      <c r="P19" s="96">
        <f t="shared" si="3"/>
        <v>9.0340093775174317</v>
      </c>
      <c r="Q19" s="96">
        <f t="shared" si="4"/>
        <v>8.8335279149892756</v>
      </c>
      <c r="R19" s="96">
        <f t="shared" si="5"/>
        <v>8.3480181108336478</v>
      </c>
      <c r="S19" s="96">
        <f t="shared" si="6"/>
        <v>8.9803305799684825</v>
      </c>
      <c r="T19" s="96">
        <f t="shared" si="7"/>
        <v>7.3130147121281173</v>
      </c>
      <c r="U19" s="96">
        <f t="shared" si="8"/>
        <v>5.2036472715898956</v>
      </c>
      <c r="V19" s="96">
        <f t="shared" si="9"/>
        <v>6.7982806188266061</v>
      </c>
      <c r="W19" s="96"/>
      <c r="X19" s="96">
        <f t="shared" si="10"/>
        <v>1.0444909572752796</v>
      </c>
      <c r="Y19" s="96">
        <f t="shared" si="11"/>
        <v>13.068648407569777</v>
      </c>
      <c r="Z19" s="96">
        <f t="shared" si="11"/>
        <v>27.230687251593803</v>
      </c>
      <c r="AA19" s="96">
        <f t="shared" si="11"/>
        <v>8.5576131775042104</v>
      </c>
      <c r="AB19" s="96">
        <f t="shared" si="11"/>
        <v>8.5841431575329619</v>
      </c>
      <c r="AC19" s="96">
        <f t="shared" si="11"/>
        <v>15.680249662516296</v>
      </c>
      <c r="AD19" s="96">
        <f t="shared" si="11"/>
        <v>14.01925060025285</v>
      </c>
      <c r="AE19" s="96">
        <f t="shared" si="11"/>
        <v>9.942088550818351</v>
      </c>
      <c r="AF19" s="96">
        <f t="shared" si="11"/>
        <v>1.8728282349364669</v>
      </c>
      <c r="AG19" s="96">
        <f t="shared" si="11"/>
        <v>100</v>
      </c>
    </row>
    <row r="20" spans="1:33" x14ac:dyDescent="0.2">
      <c r="A20" s="10" t="str">
        <f>name!D16</f>
        <v>42 Secretarial and related occupations</v>
      </c>
      <c r="B20" s="68">
        <f>'Basic T2'!D20</f>
        <v>0.44453072540564342</v>
      </c>
      <c r="C20" s="68">
        <f>'Basic T2'!O20</f>
        <v>7.9116109709290718</v>
      </c>
      <c r="D20" s="68">
        <f>'Basic T2'!Z20</f>
        <v>20.231420177567824</v>
      </c>
      <c r="E20" s="68">
        <f>'Basic T2'!AK20</f>
        <v>8.9975048535047648</v>
      </c>
      <c r="F20" s="68">
        <f>'Basic T2'!AV20</f>
        <v>5.885660128618496</v>
      </c>
      <c r="G20" s="68">
        <f>'Basic T2'!BG20</f>
        <v>11.600819953117918</v>
      </c>
      <c r="H20" s="68">
        <f>'Basic T2'!BR20</f>
        <v>12.086538116464823</v>
      </c>
      <c r="I20" s="68">
        <f>'Basic T2'!CC20</f>
        <v>17.551964198549964</v>
      </c>
      <c r="J20" s="68">
        <f>'Basic T2'!CN20</f>
        <v>4.0077598367939133</v>
      </c>
      <c r="K20" s="309">
        <f t="shared" si="12"/>
        <v>88.717808960952411</v>
      </c>
      <c r="L20" s="96"/>
      <c r="M20" s="96">
        <f t="shared" si="0"/>
        <v>0.27499458166713636</v>
      </c>
      <c r="N20" s="96">
        <f t="shared" si="1"/>
        <v>0.61481598113837999</v>
      </c>
      <c r="O20" s="96">
        <f t="shared" si="2"/>
        <v>1.2396759750871293</v>
      </c>
      <c r="P20" s="96">
        <f t="shared" si="3"/>
        <v>2.3531844470002952</v>
      </c>
      <c r="Q20" s="96">
        <f t="shared" si="4"/>
        <v>1.500508321142044</v>
      </c>
      <c r="R20" s="96">
        <f t="shared" si="5"/>
        <v>1.5301185845967953</v>
      </c>
      <c r="S20" s="96">
        <f t="shared" si="6"/>
        <v>1.9181185493059016</v>
      </c>
      <c r="T20" s="96">
        <f t="shared" si="7"/>
        <v>3.1985308128276513</v>
      </c>
      <c r="U20" s="96">
        <f t="shared" si="8"/>
        <v>2.7587832791170808</v>
      </c>
      <c r="V20" s="96">
        <f t="shared" si="9"/>
        <v>1.4942246246429653</v>
      </c>
      <c r="W20" s="96"/>
      <c r="X20" s="96">
        <f t="shared" si="10"/>
        <v>0.50106143356323851</v>
      </c>
      <c r="Y20" s="96">
        <f t="shared" si="11"/>
        <v>8.9177258360959168</v>
      </c>
      <c r="Z20" s="96">
        <f t="shared" si="11"/>
        <v>22.804237857668834</v>
      </c>
      <c r="AA20" s="96">
        <f t="shared" si="11"/>
        <v>10.141712198353387</v>
      </c>
      <c r="AB20" s="96">
        <f t="shared" si="11"/>
        <v>6.6341360292260658</v>
      </c>
      <c r="AC20" s="96">
        <f t="shared" si="11"/>
        <v>13.076089331989497</v>
      </c>
      <c r="AD20" s="96">
        <f t="shared" si="11"/>
        <v>13.623575985498585</v>
      </c>
      <c r="AE20" s="96">
        <f t="shared" si="11"/>
        <v>19.784037054245957</v>
      </c>
      <c r="AF20" s="96">
        <f t="shared" si="11"/>
        <v>4.5174242733585297</v>
      </c>
      <c r="AG20" s="96">
        <f t="shared" si="11"/>
        <v>100</v>
      </c>
    </row>
    <row r="21" spans="1:33" x14ac:dyDescent="0.2">
      <c r="A21" s="10" t="str">
        <f>name!D17</f>
        <v>51 Skilled agricultural and related trades</v>
      </c>
      <c r="B21" s="68">
        <f>'Basic T2'!D21</f>
        <v>0.12205349398198176</v>
      </c>
      <c r="C21" s="68">
        <f>'Basic T2'!O21</f>
        <v>1.0696287629646655</v>
      </c>
      <c r="D21" s="68">
        <f>'Basic T2'!Z21</f>
        <v>5.3966196892948801</v>
      </c>
      <c r="E21" s="68">
        <f>'Basic T2'!AK21</f>
        <v>2.7242844180045873</v>
      </c>
      <c r="F21" s="68">
        <f>'Basic T2'!AV21</f>
        <v>2.8517149837018754</v>
      </c>
      <c r="G21" s="68">
        <f>'Basic T2'!BG21</f>
        <v>2.522231111293725</v>
      </c>
      <c r="H21" s="68">
        <f>'Basic T2'!BR21</f>
        <v>4.3135659801163895</v>
      </c>
      <c r="I21" s="68">
        <f>'Basic T2'!CC21</f>
        <v>4.4621208968253132</v>
      </c>
      <c r="J21" s="68">
        <f>'Basic T2'!CN21</f>
        <v>1.7625669582022372</v>
      </c>
      <c r="K21" s="309">
        <f t="shared" si="12"/>
        <v>25.224786294385652</v>
      </c>
      <c r="L21" s="96"/>
      <c r="M21" s="96">
        <f t="shared" si="0"/>
        <v>7.5504453573956076E-2</v>
      </c>
      <c r="N21" s="96">
        <f t="shared" si="1"/>
        <v>8.3121485595332126E-2</v>
      </c>
      <c r="O21" s="96">
        <f t="shared" si="2"/>
        <v>0.33067672544900378</v>
      </c>
      <c r="P21" s="96">
        <f t="shared" si="3"/>
        <v>0.71250239105528146</v>
      </c>
      <c r="Q21" s="96">
        <f t="shared" si="4"/>
        <v>0.72702500128469016</v>
      </c>
      <c r="R21" s="96">
        <f t="shared" si="5"/>
        <v>0.33267585512362863</v>
      </c>
      <c r="S21" s="96">
        <f t="shared" si="6"/>
        <v>0.68455754992780105</v>
      </c>
      <c r="T21" s="96">
        <f t="shared" si="7"/>
        <v>0.81314153889608543</v>
      </c>
      <c r="U21" s="96">
        <f t="shared" si="8"/>
        <v>1.2132813468439942</v>
      </c>
      <c r="V21" s="96">
        <f t="shared" si="9"/>
        <v>0.42484702083903664</v>
      </c>
      <c r="W21" s="96"/>
      <c r="X21" s="96">
        <f t="shared" si="10"/>
        <v>0.48386334202223763</v>
      </c>
      <c r="Y21" s="96">
        <f t="shared" si="11"/>
        <v>4.2403878093616818</v>
      </c>
      <c r="Z21" s="96">
        <f t="shared" si="11"/>
        <v>21.394114607409062</v>
      </c>
      <c r="AA21" s="96">
        <f t="shared" si="11"/>
        <v>10.80002972556774</v>
      </c>
      <c r="AB21" s="96">
        <f t="shared" si="11"/>
        <v>11.305209687094909</v>
      </c>
      <c r="AC21" s="96">
        <f t="shared" si="11"/>
        <v>9.9990187502801753</v>
      </c>
      <c r="AD21" s="96">
        <f t="shared" si="11"/>
        <v>17.100505549481984</v>
      </c>
      <c r="AE21" s="96">
        <f t="shared" si="11"/>
        <v>17.689429931140623</v>
      </c>
      <c r="AF21" s="96">
        <f t="shared" si="11"/>
        <v>6.9874405976416005</v>
      </c>
      <c r="AG21" s="96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8">
        <f>'Basic T2'!D22</f>
        <v>0.49798199905233664</v>
      </c>
      <c r="C22" s="68">
        <f>'Basic T2'!O22</f>
        <v>6.2502370376631422</v>
      </c>
      <c r="D22" s="68">
        <f>'Basic T2'!Z22</f>
        <v>11.391482684952548</v>
      </c>
      <c r="E22" s="68">
        <f>'Basic T2'!AK22</f>
        <v>4.0226830426133997</v>
      </c>
      <c r="F22" s="68">
        <f>'Basic T2'!AV22</f>
        <v>14.092709484843692</v>
      </c>
      <c r="G22" s="68">
        <f>'Basic T2'!BG22</f>
        <v>37.293539207839771</v>
      </c>
      <c r="H22" s="68">
        <f>'Basic T2'!BR22</f>
        <v>21.328579834322127</v>
      </c>
      <c r="I22" s="68">
        <f>'Basic T2'!CC22</f>
        <v>12.035489308886014</v>
      </c>
      <c r="J22" s="68">
        <f>'Basic T2'!CN22</f>
        <v>4.2280130103165448</v>
      </c>
      <c r="K22" s="309">
        <f t="shared" si="12"/>
        <v>111.14071561048958</v>
      </c>
      <c r="L22" s="96"/>
      <c r="M22" s="96">
        <f t="shared" si="0"/>
        <v>0.30806048644263878</v>
      </c>
      <c r="N22" s="96">
        <f t="shared" si="1"/>
        <v>0.48570962737909334</v>
      </c>
      <c r="O22" s="96">
        <f t="shared" si="2"/>
        <v>0.69801068245394837</v>
      </c>
      <c r="P22" s="96">
        <f t="shared" si="3"/>
        <v>1.0520822522704587</v>
      </c>
      <c r="Q22" s="96">
        <f t="shared" si="4"/>
        <v>3.5928387618958362</v>
      </c>
      <c r="R22" s="96">
        <f t="shared" si="5"/>
        <v>4.9189227707967387</v>
      </c>
      <c r="S22" s="96">
        <f t="shared" si="6"/>
        <v>3.3848190620302288</v>
      </c>
      <c r="T22" s="96">
        <f t="shared" si="7"/>
        <v>2.1932521606390911</v>
      </c>
      <c r="U22" s="96">
        <f t="shared" si="8"/>
        <v>2.9103968480510898</v>
      </c>
      <c r="V22" s="96">
        <f t="shared" si="9"/>
        <v>1.8718811477718842</v>
      </c>
      <c r="W22" s="96"/>
      <c r="X22" s="96">
        <f t="shared" si="10"/>
        <v>0.44806441664240698</v>
      </c>
      <c r="Y22" s="96">
        <f t="shared" si="11"/>
        <v>5.6237149485055493</v>
      </c>
      <c r="Z22" s="96">
        <f t="shared" si="11"/>
        <v>10.249603507031411</v>
      </c>
      <c r="AA22" s="96">
        <f t="shared" si="11"/>
        <v>3.6194503702059433</v>
      </c>
      <c r="AB22" s="96">
        <f t="shared" si="11"/>
        <v>12.680060054889196</v>
      </c>
      <c r="AC22" s="96">
        <f t="shared" si="11"/>
        <v>33.55524481103842</v>
      </c>
      <c r="AD22" s="96">
        <f t="shared" si="11"/>
        <v>19.190608695621098</v>
      </c>
      <c r="AE22" s="96">
        <f t="shared" si="11"/>
        <v>10.829055079208157</v>
      </c>
      <c r="AF22" s="96">
        <f t="shared" si="11"/>
        <v>3.8041981168578154</v>
      </c>
      <c r="AG22" s="96">
        <f t="shared" si="11"/>
        <v>100</v>
      </c>
    </row>
    <row r="23" spans="1:33" x14ac:dyDescent="0.2">
      <c r="A23" s="10" t="str">
        <f>name!D19</f>
        <v>53 Skilled construction and building trades</v>
      </c>
      <c r="B23" s="68">
        <f>'Basic T2'!D23</f>
        <v>0.10173336356650668</v>
      </c>
      <c r="C23" s="68">
        <f>'Basic T2'!O23</f>
        <v>3.5764778405180264</v>
      </c>
      <c r="D23" s="68">
        <f>'Basic T2'!Z23</f>
        <v>7.2624540440612675</v>
      </c>
      <c r="E23" s="68">
        <f>'Basic T2'!AK23</f>
        <v>4.8290768549880498</v>
      </c>
      <c r="F23" s="68">
        <f>'Basic T2'!AV23</f>
        <v>7.1593244417535606</v>
      </c>
      <c r="G23" s="68">
        <f>'Basic T2'!BG23</f>
        <v>34.230324554235736</v>
      </c>
      <c r="H23" s="68">
        <f>'Basic T2'!BR23</f>
        <v>30.364169942663096</v>
      </c>
      <c r="I23" s="68">
        <f>'Basic T2'!CC23</f>
        <v>17.858929941994305</v>
      </c>
      <c r="J23" s="68">
        <f>'Basic T2'!CN23</f>
        <v>6.8768632529672695</v>
      </c>
      <c r="K23" s="309">
        <f t="shared" si="12"/>
        <v>112.25935423674782</v>
      </c>
      <c r="L23" s="96"/>
      <c r="M23" s="96">
        <f t="shared" si="0"/>
        <v>6.2934060924660293E-2</v>
      </c>
      <c r="N23" s="96">
        <f t="shared" si="1"/>
        <v>0.2779302142910533</v>
      </c>
      <c r="O23" s="96">
        <f t="shared" si="2"/>
        <v>0.44500532931343861</v>
      </c>
      <c r="P23" s="96">
        <f t="shared" si="3"/>
        <v>1.262984431078191</v>
      </c>
      <c r="Q23" s="96">
        <f t="shared" si="4"/>
        <v>1.8252202240445006</v>
      </c>
      <c r="R23" s="96">
        <f t="shared" si="5"/>
        <v>4.5148925652569112</v>
      </c>
      <c r="S23" s="96">
        <f t="shared" si="6"/>
        <v>4.8187559613913633</v>
      </c>
      <c r="T23" s="96">
        <f t="shared" si="7"/>
        <v>3.2544698164504124</v>
      </c>
      <c r="U23" s="96">
        <f t="shared" si="8"/>
        <v>4.7337605364690827</v>
      </c>
      <c r="V23" s="96">
        <f t="shared" si="9"/>
        <v>1.8907217548721738</v>
      </c>
      <c r="W23" s="96"/>
      <c r="X23" s="96">
        <f t="shared" si="10"/>
        <v>9.0623506841093618E-2</v>
      </c>
      <c r="Y23" s="96">
        <f t="shared" si="11"/>
        <v>3.1859063013808746</v>
      </c>
      <c r="Z23" s="96">
        <f t="shared" si="11"/>
        <v>6.4693531273529459</v>
      </c>
      <c r="AA23" s="96">
        <f t="shared" si="11"/>
        <v>4.3017144431490619</v>
      </c>
      <c r="AB23" s="96">
        <f t="shared" si="11"/>
        <v>6.3774858589111441</v>
      </c>
      <c r="AC23" s="96">
        <f t="shared" si="11"/>
        <v>30.492180172394512</v>
      </c>
      <c r="AD23" s="96">
        <f t="shared" si="11"/>
        <v>27.048231436132259</v>
      </c>
      <c r="AE23" s="96">
        <f t="shared" si="11"/>
        <v>15.908634129794619</v>
      </c>
      <c r="AF23" s="96">
        <f t="shared" si="11"/>
        <v>6.1258710240434864</v>
      </c>
      <c r="AG23" s="96">
        <f t="shared" si="11"/>
        <v>100</v>
      </c>
    </row>
    <row r="24" spans="1:33" x14ac:dyDescent="0.2">
      <c r="A24" s="10" t="str">
        <f>name!D20</f>
        <v>54 Textiles, printing and other skilled trades</v>
      </c>
      <c r="B24" s="68">
        <f>'Basic T2'!D24</f>
        <v>0.60383382270356178</v>
      </c>
      <c r="C24" s="68">
        <f>'Basic T2'!O24</f>
        <v>6.9880106420425196</v>
      </c>
      <c r="D24" s="68">
        <f>'Basic T2'!Z24</f>
        <v>14.64583448727317</v>
      </c>
      <c r="E24" s="68">
        <f>'Basic T2'!AK24</f>
        <v>5.1977532394417816</v>
      </c>
      <c r="F24" s="68">
        <f>'Basic T2'!AV24</f>
        <v>6.8410601012300969</v>
      </c>
      <c r="G24" s="68">
        <f>'Basic T2'!BG24</f>
        <v>27.256417302615265</v>
      </c>
      <c r="H24" s="68">
        <f>'Basic T2'!BR24</f>
        <v>18.346916919612198</v>
      </c>
      <c r="I24" s="68">
        <f>'Basic T2'!CC24</f>
        <v>25.681854673059402</v>
      </c>
      <c r="J24" s="68">
        <f>'Basic T2'!CN24</f>
        <v>7.616906089497367</v>
      </c>
      <c r="K24" s="309">
        <f t="shared" si="12"/>
        <v>113.17858727747536</v>
      </c>
      <c r="L24" s="96"/>
      <c r="M24" s="96">
        <f t="shared" si="0"/>
        <v>0.37354229973486935</v>
      </c>
      <c r="N24" s="96">
        <f t="shared" si="1"/>
        <v>0.5430424517686171</v>
      </c>
      <c r="O24" s="96">
        <f t="shared" si="2"/>
        <v>0.89742039805520757</v>
      </c>
      <c r="P24" s="96">
        <f t="shared" si="3"/>
        <v>1.3594071113654802</v>
      </c>
      <c r="Q24" s="96">
        <f t="shared" si="4"/>
        <v>1.7440809328108535</v>
      </c>
      <c r="R24" s="96">
        <f t="shared" si="5"/>
        <v>3.5950519732916111</v>
      </c>
      <c r="S24" s="96">
        <f t="shared" si="6"/>
        <v>2.9116328701386323</v>
      </c>
      <c r="T24" s="96">
        <f t="shared" si="7"/>
        <v>4.680057603417886</v>
      </c>
      <c r="U24" s="96">
        <f t="shared" si="8"/>
        <v>5.2431767406303678</v>
      </c>
      <c r="V24" s="96">
        <f t="shared" si="9"/>
        <v>1.9062038847999434</v>
      </c>
      <c r="W24" s="96"/>
      <c r="X24" s="96">
        <f t="shared" si="10"/>
        <v>0.53352302518423111</v>
      </c>
      <c r="Y24" s="96">
        <f t="shared" ref="Y24:AG32" si="13">IF($K24&gt;0,C24/$K24*100,0)</f>
        <v>6.174322201875782</v>
      </c>
      <c r="Z24" s="96">
        <f t="shared" si="13"/>
        <v>12.940464128047976</v>
      </c>
      <c r="AA24" s="96">
        <f t="shared" si="13"/>
        <v>4.5925235192224658</v>
      </c>
      <c r="AB24" s="96">
        <f t="shared" si="13"/>
        <v>6.044482676266445</v>
      </c>
      <c r="AC24" s="96">
        <f t="shared" si="13"/>
        <v>24.08266259393379</v>
      </c>
      <c r="AD24" s="96">
        <f t="shared" si="13"/>
        <v>16.210590148675212</v>
      </c>
      <c r="AE24" s="96">
        <f t="shared" si="13"/>
        <v>22.69144304663941</v>
      </c>
      <c r="AF24" s="96">
        <f t="shared" si="13"/>
        <v>6.729988660154687</v>
      </c>
      <c r="AG24" s="96">
        <f t="shared" si="13"/>
        <v>100</v>
      </c>
    </row>
    <row r="25" spans="1:33" x14ac:dyDescent="0.2">
      <c r="A25" s="10" t="str">
        <f>name!D21</f>
        <v>61 Caring personal service occupations</v>
      </c>
      <c r="B25" s="68">
        <f>'Basic T2'!D25</f>
        <v>0.55682983834151001</v>
      </c>
      <c r="C25" s="68">
        <f>'Basic T2'!O25</f>
        <v>24.327553671337235</v>
      </c>
      <c r="D25" s="68">
        <f>'Basic T2'!Z25</f>
        <v>44.02523081375093</v>
      </c>
      <c r="E25" s="68">
        <f>'Basic T2'!AK25</f>
        <v>35.406062983851285</v>
      </c>
      <c r="F25" s="68">
        <f>'Basic T2'!AV25</f>
        <v>20.682170850399046</v>
      </c>
      <c r="G25" s="68">
        <f>'Basic T2'!BG25</f>
        <v>69.066728643681259</v>
      </c>
      <c r="H25" s="68">
        <f>'Basic T2'!BR25</f>
        <v>44.096247893939115</v>
      </c>
      <c r="I25" s="68">
        <f>'Basic T2'!CC25</f>
        <v>11.369846898305711</v>
      </c>
      <c r="J25" s="68">
        <f>'Basic T2'!CN25</f>
        <v>2.6325383300457976</v>
      </c>
      <c r="K25" s="309">
        <f t="shared" si="12"/>
        <v>252.16320992365192</v>
      </c>
      <c r="L25" s="96"/>
      <c r="M25" s="96">
        <f t="shared" si="0"/>
        <v>0.34446480232558241</v>
      </c>
      <c r="N25" s="96">
        <f t="shared" si="1"/>
        <v>1.8905086251205527</v>
      </c>
      <c r="O25" s="96">
        <f t="shared" si="2"/>
        <v>2.6976366690256612</v>
      </c>
      <c r="P25" s="96">
        <f t="shared" si="3"/>
        <v>9.2600113142097982</v>
      </c>
      <c r="Q25" s="96">
        <f t="shared" si="4"/>
        <v>5.2727763381045847</v>
      </c>
      <c r="R25" s="96">
        <f t="shared" si="5"/>
        <v>9.1097254764821276</v>
      </c>
      <c r="S25" s="96">
        <f t="shared" si="6"/>
        <v>6.9980196335073614</v>
      </c>
      <c r="T25" s="96">
        <f t="shared" si="7"/>
        <v>2.0719507645969397</v>
      </c>
      <c r="U25" s="96">
        <f t="shared" si="8"/>
        <v>1.8121352132654263</v>
      </c>
      <c r="V25" s="96">
        <f t="shared" si="9"/>
        <v>4.2470444447379316</v>
      </c>
      <c r="W25" s="96"/>
      <c r="X25" s="96">
        <f t="shared" si="10"/>
        <v>0.22082120484986797</v>
      </c>
      <c r="Y25" s="96">
        <f t="shared" si="13"/>
        <v>9.6475428270059496</v>
      </c>
      <c r="Z25" s="96">
        <f t="shared" si="13"/>
        <v>17.459022205134744</v>
      </c>
      <c r="AA25" s="96">
        <f t="shared" si="13"/>
        <v>14.040931266131674</v>
      </c>
      <c r="AB25" s="96">
        <f t="shared" si="13"/>
        <v>8.2018986261560674</v>
      </c>
      <c r="AC25" s="96">
        <f t="shared" si="13"/>
        <v>27.389692836077383</v>
      </c>
      <c r="AD25" s="96">
        <f t="shared" si="13"/>
        <v>17.487185346066241</v>
      </c>
      <c r="AE25" s="96">
        <f t="shared" si="13"/>
        <v>4.5089237647903468</v>
      </c>
      <c r="AF25" s="96">
        <f t="shared" si="13"/>
        <v>1.0439819237877159</v>
      </c>
      <c r="AG25" s="96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8">
        <f>'Basic T2'!D26</f>
        <v>0.24865534597130201</v>
      </c>
      <c r="C26" s="68">
        <f>'Basic T2'!O26</f>
        <v>4.6841391964006762</v>
      </c>
      <c r="D26" s="68">
        <f>'Basic T2'!Z26</f>
        <v>15.689622073215595</v>
      </c>
      <c r="E26" s="68">
        <f>'Basic T2'!AK26</f>
        <v>9.980234758489372</v>
      </c>
      <c r="F26" s="68">
        <f>'Basic T2'!AV26</f>
        <v>12.480998903609693</v>
      </c>
      <c r="G26" s="68">
        <f>'Basic T2'!BG26</f>
        <v>20.180874676045466</v>
      </c>
      <c r="H26" s="68">
        <f>'Basic T2'!BR26</f>
        <v>17.033178863483418</v>
      </c>
      <c r="I26" s="68">
        <f>'Basic T2'!CC26</f>
        <v>14.333456500866403</v>
      </c>
      <c r="J26" s="68">
        <f>'Basic T2'!CN26</f>
        <v>4.8608128399564867</v>
      </c>
      <c r="K26" s="309">
        <f t="shared" si="12"/>
        <v>99.491973158038405</v>
      </c>
      <c r="L26" s="96"/>
      <c r="M26" s="96">
        <f t="shared" si="0"/>
        <v>0.15382260198612399</v>
      </c>
      <c r="N26" s="96">
        <f t="shared" si="1"/>
        <v>0.36400723524018719</v>
      </c>
      <c r="O26" s="96">
        <f t="shared" si="2"/>
        <v>0.96137826072773169</v>
      </c>
      <c r="P26" s="96">
        <f t="shared" si="3"/>
        <v>2.6102051172487868</v>
      </c>
      <c r="Q26" s="96">
        <f t="shared" si="4"/>
        <v>3.1819443022149057</v>
      </c>
      <c r="R26" s="96">
        <f t="shared" si="5"/>
        <v>2.6618059344104124</v>
      </c>
      <c r="S26" s="96">
        <f t="shared" si="6"/>
        <v>2.703144276456297</v>
      </c>
      <c r="T26" s="96">
        <f t="shared" si="7"/>
        <v>2.6120154846335382</v>
      </c>
      <c r="U26" s="96">
        <f t="shared" si="8"/>
        <v>3.3459912100214826</v>
      </c>
      <c r="V26" s="96">
        <f t="shared" si="9"/>
        <v>1.6756878690781181</v>
      </c>
      <c r="W26" s="96"/>
      <c r="X26" s="96">
        <f t="shared" si="10"/>
        <v>0.24992503221975956</v>
      </c>
      <c r="Y26" s="96">
        <f t="shared" si="13"/>
        <v>4.7080573916853945</v>
      </c>
      <c r="Z26" s="96">
        <f t="shared" si="13"/>
        <v>15.769736567887094</v>
      </c>
      <c r="AA26" s="96">
        <f t="shared" si="13"/>
        <v>10.031195926365065</v>
      </c>
      <c r="AB26" s="96">
        <f t="shared" si="13"/>
        <v>12.544729496704427</v>
      </c>
      <c r="AC26" s="96">
        <f t="shared" si="13"/>
        <v>20.283922446677259</v>
      </c>
      <c r="AD26" s="96">
        <f t="shared" si="13"/>
        <v>17.120153840377654</v>
      </c>
      <c r="AE26" s="96">
        <f t="shared" si="13"/>
        <v>14.406646130234416</v>
      </c>
      <c r="AF26" s="96">
        <f t="shared" si="13"/>
        <v>4.8856331678489378</v>
      </c>
      <c r="AG26" s="96">
        <f t="shared" si="13"/>
        <v>100</v>
      </c>
    </row>
    <row r="27" spans="1:33" x14ac:dyDescent="0.2">
      <c r="A27" s="10" t="str">
        <f>name!D23</f>
        <v>63 Community and civil enforcement occupations</v>
      </c>
      <c r="B27" s="68">
        <f>'Basic T2'!D27</f>
        <v>2.6119991039928053E-2</v>
      </c>
      <c r="C27" s="68">
        <f>'Basic T2'!O27</f>
        <v>0.6099451391804136</v>
      </c>
      <c r="D27" s="68">
        <f>'Basic T2'!Z27</f>
        <v>1.6664791952496909</v>
      </c>
      <c r="E27" s="68">
        <f>'Basic T2'!AK27</f>
        <v>0.50500137968260994</v>
      </c>
      <c r="F27" s="68">
        <f>'Basic T2'!AV27</f>
        <v>0.42205054190750918</v>
      </c>
      <c r="G27" s="68">
        <f>'Basic T2'!BG27</f>
        <v>0.86042800045677381</v>
      </c>
      <c r="H27" s="68">
        <f>'Basic T2'!BR27</f>
        <v>1.1691916557592201</v>
      </c>
      <c r="I27" s="68">
        <f>'Basic T2'!CC27</f>
        <v>1.2094310371447023</v>
      </c>
      <c r="J27" s="68">
        <f>'Basic T2'!CN27</f>
        <v>0.27037957385921751</v>
      </c>
      <c r="K27" s="309">
        <f t="shared" si="12"/>
        <v>6.7390265142800638</v>
      </c>
      <c r="L27" s="96"/>
      <c r="M27" s="96">
        <f t="shared" si="0"/>
        <v>1.6158289177018892E-2</v>
      </c>
      <c r="N27" s="96">
        <f t="shared" si="1"/>
        <v>4.7399198540440175E-2</v>
      </c>
      <c r="O27" s="96">
        <f t="shared" si="2"/>
        <v>0.10211315879960792</v>
      </c>
      <c r="P27" s="96">
        <f t="shared" si="3"/>
        <v>0.1320767714751396</v>
      </c>
      <c r="Q27" s="96">
        <f t="shared" si="4"/>
        <v>0.10759886507809187</v>
      </c>
      <c r="R27" s="96">
        <f t="shared" si="5"/>
        <v>0.11348826027185452</v>
      </c>
      <c r="S27" s="96">
        <f t="shared" si="6"/>
        <v>0.18554925992831683</v>
      </c>
      <c r="T27" s="96">
        <f t="shared" si="7"/>
        <v>0.22039712447778451</v>
      </c>
      <c r="U27" s="96">
        <f t="shared" si="8"/>
        <v>0.18611859935557498</v>
      </c>
      <c r="V27" s="96">
        <f t="shared" si="9"/>
        <v>0.11350166873700732</v>
      </c>
      <c r="W27" s="96"/>
      <c r="X27" s="96">
        <f t="shared" si="10"/>
        <v>0.38759294068037176</v>
      </c>
      <c r="Y27" s="96">
        <f t="shared" si="13"/>
        <v>9.0509384091000946</v>
      </c>
      <c r="Z27" s="96">
        <f t="shared" si="13"/>
        <v>24.728782291009022</v>
      </c>
      <c r="AA27" s="96">
        <f t="shared" si="13"/>
        <v>7.4936844158797573</v>
      </c>
      <c r="AB27" s="96">
        <f t="shared" si="13"/>
        <v>6.2627820355533537</v>
      </c>
      <c r="AC27" s="96">
        <f t="shared" si="13"/>
        <v>12.767838183059798</v>
      </c>
      <c r="AD27" s="96">
        <f t="shared" si="13"/>
        <v>17.349563075344658</v>
      </c>
      <c r="AE27" s="96">
        <f t="shared" si="13"/>
        <v>17.946672781030109</v>
      </c>
      <c r="AF27" s="96">
        <f t="shared" si="13"/>
        <v>4.012145868342861</v>
      </c>
      <c r="AG27" s="96">
        <f t="shared" si="13"/>
        <v>100</v>
      </c>
    </row>
    <row r="28" spans="1:33" x14ac:dyDescent="0.2">
      <c r="A28" s="10" t="str">
        <f>name!D24</f>
        <v>71 Sales occupations</v>
      </c>
      <c r="B28" s="68">
        <f>'Basic T2'!D28</f>
        <v>1.4952514878618666</v>
      </c>
      <c r="C28" s="68">
        <f>'Basic T2'!O28</f>
        <v>23.178482044294832</v>
      </c>
      <c r="D28" s="68">
        <f>'Basic T2'!Z28</f>
        <v>56.278011557006622</v>
      </c>
      <c r="E28" s="68">
        <f>'Basic T2'!AK28</f>
        <v>16.238070366844802</v>
      </c>
      <c r="F28" s="68">
        <f>'Basic T2'!AV28</f>
        <v>13.688461276398929</v>
      </c>
      <c r="G28" s="68">
        <f>'Basic T2'!BG28</f>
        <v>61.83639558948331</v>
      </c>
      <c r="H28" s="68">
        <f>'Basic T2'!BR28</f>
        <v>46.918456576968659</v>
      </c>
      <c r="I28" s="68">
        <f>'Basic T2'!CC28</f>
        <v>44.517994667406604</v>
      </c>
      <c r="J28" s="68">
        <f>'Basic T2'!CN28</f>
        <v>12.959013437888547</v>
      </c>
      <c r="K28" s="309">
        <f t="shared" si="12"/>
        <v>277.11013700415413</v>
      </c>
      <c r="L28" s="96"/>
      <c r="M28" s="96">
        <f t="shared" si="0"/>
        <v>0.92498905900491246</v>
      </c>
      <c r="N28" s="96">
        <f t="shared" si="1"/>
        <v>1.8012135874380579</v>
      </c>
      <c r="O28" s="96">
        <f t="shared" si="2"/>
        <v>3.4484232070990521</v>
      </c>
      <c r="P28" s="96">
        <f t="shared" si="3"/>
        <v>4.2468634647828285</v>
      </c>
      <c r="Q28" s="96">
        <f t="shared" si="4"/>
        <v>3.4897784785422838</v>
      </c>
      <c r="R28" s="96">
        <f t="shared" si="5"/>
        <v>8.1560629747139366</v>
      </c>
      <c r="S28" s="96">
        <f t="shared" si="6"/>
        <v>7.4459006373786742</v>
      </c>
      <c r="T28" s="96">
        <f t="shared" si="7"/>
        <v>8.1126064330031298</v>
      </c>
      <c r="U28" s="96">
        <f t="shared" si="8"/>
        <v>8.9204720447770853</v>
      </c>
      <c r="V28" s="96">
        <f t="shared" si="9"/>
        <v>4.6672116376548054</v>
      </c>
      <c r="W28" s="96"/>
      <c r="X28" s="96">
        <f t="shared" si="10"/>
        <v>0.53958743769790396</v>
      </c>
      <c r="Y28" s="96">
        <f t="shared" si="13"/>
        <v>8.3643573255305945</v>
      </c>
      <c r="Z28" s="96">
        <f t="shared" si="13"/>
        <v>20.308896731613597</v>
      </c>
      <c r="AA28" s="96">
        <f t="shared" si="13"/>
        <v>5.8597893755872885</v>
      </c>
      <c r="AB28" s="96">
        <f t="shared" si="13"/>
        <v>4.9397187069319397</v>
      </c>
      <c r="AC28" s="96">
        <f t="shared" si="13"/>
        <v>22.314736031672609</v>
      </c>
      <c r="AD28" s="96">
        <f t="shared" si="13"/>
        <v>16.931338955768808</v>
      </c>
      <c r="AE28" s="96">
        <f t="shared" si="13"/>
        <v>16.065090634609025</v>
      </c>
      <c r="AF28" s="96">
        <f t="shared" si="13"/>
        <v>4.6764848005882511</v>
      </c>
      <c r="AG28" s="96">
        <f t="shared" si="13"/>
        <v>100</v>
      </c>
    </row>
    <row r="29" spans="1:33" x14ac:dyDescent="0.2">
      <c r="A29" s="10" t="str">
        <f>name!D25</f>
        <v>72 Customer service occupations</v>
      </c>
      <c r="B29" s="68">
        <f>'Basic T2'!D29</f>
        <v>0.65163369722838194</v>
      </c>
      <c r="C29" s="68">
        <f>'Basic T2'!O29</f>
        <v>8.2216971115135316</v>
      </c>
      <c r="D29" s="68">
        <f>'Basic T2'!Z29</f>
        <v>19.38796736088262</v>
      </c>
      <c r="E29" s="68">
        <f>'Basic T2'!AK29</f>
        <v>6.4621480491615033</v>
      </c>
      <c r="F29" s="68">
        <f>'Basic T2'!AV29</f>
        <v>7.5215887739341767</v>
      </c>
      <c r="G29" s="68">
        <f>'Basic T2'!BG29</f>
        <v>16.024639684780322</v>
      </c>
      <c r="H29" s="68">
        <f>'Basic T2'!BR29</f>
        <v>15.727253041385946</v>
      </c>
      <c r="I29" s="68">
        <f>'Basic T2'!CC29</f>
        <v>8.4804298629314285</v>
      </c>
      <c r="J29" s="68">
        <f>'Basic T2'!CN29</f>
        <v>2.436973668114355</v>
      </c>
      <c r="K29" s="309">
        <f t="shared" si="12"/>
        <v>84.914331249932275</v>
      </c>
      <c r="L29" s="96"/>
      <c r="M29" s="96">
        <f t="shared" si="0"/>
        <v>0.40311214889816332</v>
      </c>
      <c r="N29" s="96">
        <f t="shared" si="1"/>
        <v>0.63891295904355883</v>
      </c>
      <c r="O29" s="96">
        <f t="shared" si="2"/>
        <v>1.1879935828582553</v>
      </c>
      <c r="P29" s="96">
        <f t="shared" si="3"/>
        <v>1.6900937016529383</v>
      </c>
      <c r="Q29" s="96">
        <f t="shared" si="4"/>
        <v>1.9175770086720851</v>
      </c>
      <c r="R29" s="96">
        <f t="shared" si="5"/>
        <v>2.1136091321337713</v>
      </c>
      <c r="S29" s="96">
        <f t="shared" si="6"/>
        <v>2.4958954745871829</v>
      </c>
      <c r="T29" s="96">
        <f t="shared" si="7"/>
        <v>1.5454063098448458</v>
      </c>
      <c r="U29" s="96">
        <f t="shared" si="8"/>
        <v>1.6775162387526601</v>
      </c>
      <c r="V29" s="96">
        <f t="shared" si="9"/>
        <v>1.4301647687735726</v>
      </c>
      <c r="W29" s="96"/>
      <c r="X29" s="96">
        <f t="shared" si="10"/>
        <v>0.76740131805360201</v>
      </c>
      <c r="Y29" s="96">
        <f t="shared" si="13"/>
        <v>9.6823433577003986</v>
      </c>
      <c r="Z29" s="96">
        <f t="shared" si="13"/>
        <v>22.832385388300498</v>
      </c>
      <c r="AA29" s="96">
        <f t="shared" si="13"/>
        <v>7.6101971882003809</v>
      </c>
      <c r="AB29" s="96">
        <f t="shared" si="13"/>
        <v>8.8578555153376133</v>
      </c>
      <c r="AC29" s="96">
        <f t="shared" si="13"/>
        <v>18.87153728811013</v>
      </c>
      <c r="AD29" s="96">
        <f t="shared" si="13"/>
        <v>18.521317673803726</v>
      </c>
      <c r="AE29" s="96">
        <f t="shared" si="13"/>
        <v>9.9870419257858689</v>
      </c>
      <c r="AF29" s="96">
        <f t="shared" si="13"/>
        <v>2.8699203447077712</v>
      </c>
      <c r="AG29" s="96">
        <f t="shared" si="13"/>
        <v>100</v>
      </c>
    </row>
    <row r="30" spans="1:33" x14ac:dyDescent="0.2">
      <c r="A30" s="10" t="str">
        <f>name!D26</f>
        <v>81 Process, plant and machine operatives</v>
      </c>
      <c r="B30" s="68">
        <f>'Basic T2'!D30</f>
        <v>0.23025170249878016</v>
      </c>
      <c r="C30" s="68">
        <f>'Basic T2'!O30</f>
        <v>1.7061741453347898</v>
      </c>
      <c r="D30" s="68">
        <f>'Basic T2'!Z30</f>
        <v>2.4890497526014994</v>
      </c>
      <c r="E30" s="68">
        <f>'Basic T2'!AK30</f>
        <v>1.0720237107886763</v>
      </c>
      <c r="F30" s="68">
        <f>'Basic T2'!AV30</f>
        <v>2.5556076945705648</v>
      </c>
      <c r="G30" s="68">
        <f>'Basic T2'!BG30</f>
        <v>6.0957017034273004</v>
      </c>
      <c r="H30" s="68">
        <f>'Basic T2'!BR30</f>
        <v>6.7437163561331745</v>
      </c>
      <c r="I30" s="68">
        <f>'Basic T2'!CC30</f>
        <v>7.675615858251418</v>
      </c>
      <c r="J30" s="68">
        <f>'Basic T2'!CN30</f>
        <v>2.5377321950849856</v>
      </c>
      <c r="K30" s="309">
        <f t="shared" si="12"/>
        <v>31.105873118691189</v>
      </c>
      <c r="L30" s="96"/>
      <c r="M30" s="96">
        <f t="shared" si="0"/>
        <v>0.14243778211060448</v>
      </c>
      <c r="N30" s="96">
        <f t="shared" si="1"/>
        <v>0.13258780481135843</v>
      </c>
      <c r="O30" s="96">
        <f t="shared" si="2"/>
        <v>0.15251599502233201</v>
      </c>
      <c r="P30" s="96">
        <f t="shared" si="3"/>
        <v>0.2803743442339805</v>
      </c>
      <c r="Q30" s="96">
        <f t="shared" si="4"/>
        <v>0.65153449697712407</v>
      </c>
      <c r="R30" s="96">
        <f t="shared" si="5"/>
        <v>0.80400751845697127</v>
      </c>
      <c r="S30" s="96">
        <f t="shared" si="6"/>
        <v>1.0702193886548601</v>
      </c>
      <c r="T30" s="96">
        <f t="shared" si="7"/>
        <v>1.3987433857729692</v>
      </c>
      <c r="U30" s="96">
        <f t="shared" si="8"/>
        <v>1.7468744215666809</v>
      </c>
      <c r="V30" s="96">
        <f t="shared" si="9"/>
        <v>0.52389888940364882</v>
      </c>
      <c r="W30" s="96"/>
      <c r="X30" s="96">
        <f t="shared" si="10"/>
        <v>0.74021938435936185</v>
      </c>
      <c r="Y30" s="96">
        <f t="shared" si="13"/>
        <v>5.4850546674080274</v>
      </c>
      <c r="Z30" s="96">
        <f t="shared" si="13"/>
        <v>8.0018642881490312</v>
      </c>
      <c r="AA30" s="96">
        <f t="shared" si="13"/>
        <v>3.4463707438725089</v>
      </c>
      <c r="AB30" s="96">
        <f t="shared" si="13"/>
        <v>8.2158365554282646</v>
      </c>
      <c r="AC30" s="96">
        <f t="shared" si="13"/>
        <v>19.596626271083377</v>
      </c>
      <c r="AD30" s="96">
        <f t="shared" si="13"/>
        <v>21.679881257153806</v>
      </c>
      <c r="AE30" s="96">
        <f t="shared" si="13"/>
        <v>24.675776915065025</v>
      </c>
      <c r="AF30" s="96">
        <f t="shared" si="13"/>
        <v>8.1583699174805968</v>
      </c>
      <c r="AG30" s="96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8">
        <f>'Basic T2'!D31</f>
        <v>1.2796729045970716</v>
      </c>
      <c r="C31" s="68">
        <f>'Basic T2'!O31</f>
        <v>8.5339024803685657</v>
      </c>
      <c r="D31" s="68">
        <f>'Basic T2'!Z31</f>
        <v>16.226574911703683</v>
      </c>
      <c r="E31" s="68">
        <f>'Basic T2'!AK31</f>
        <v>7.8793325637352885</v>
      </c>
      <c r="F31" s="68">
        <f>'Basic T2'!AV31</f>
        <v>12.586758073910321</v>
      </c>
      <c r="G31" s="68">
        <f>'Basic T2'!BG31</f>
        <v>33.904702619782327</v>
      </c>
      <c r="H31" s="68">
        <f>'Basic T2'!BR31</f>
        <v>41.316517193154858</v>
      </c>
      <c r="I31" s="68">
        <f>'Basic T2'!CC31</f>
        <v>46.085453350305187</v>
      </c>
      <c r="J31" s="68">
        <f>'Basic T2'!CN31</f>
        <v>15.632831842515856</v>
      </c>
      <c r="K31" s="309">
        <f t="shared" si="12"/>
        <v>183.44574594007315</v>
      </c>
      <c r="L31" s="96"/>
      <c r="M31" s="96">
        <f t="shared" si="0"/>
        <v>0.7916283283890494</v>
      </c>
      <c r="N31" s="96">
        <f t="shared" si="1"/>
        <v>0.66317462343461475</v>
      </c>
      <c r="O31" s="96">
        <f t="shared" si="2"/>
        <v>0.99427993188013919</v>
      </c>
      <c r="P31" s="96">
        <f t="shared" si="3"/>
        <v>2.0607405212460019</v>
      </c>
      <c r="Q31" s="96">
        <f t="shared" si="4"/>
        <v>3.2089068708317279</v>
      </c>
      <c r="R31" s="96">
        <f t="shared" si="5"/>
        <v>4.471943862021015</v>
      </c>
      <c r="S31" s="96">
        <f t="shared" si="6"/>
        <v>6.5568798325261284</v>
      </c>
      <c r="T31" s="96">
        <f t="shared" si="7"/>
        <v>8.3982476773887331</v>
      </c>
      <c r="U31" s="96">
        <f t="shared" si="8"/>
        <v>10.761022827875479</v>
      </c>
      <c r="V31" s="96">
        <f t="shared" si="9"/>
        <v>3.0896744867797503</v>
      </c>
      <c r="W31" s="96"/>
      <c r="X31" s="96">
        <f t="shared" si="10"/>
        <v>0.69757567723326042</v>
      </c>
      <c r="Y31" s="96">
        <f t="shared" si="13"/>
        <v>4.6520034774512382</v>
      </c>
      <c r="Z31" s="96">
        <f t="shared" si="13"/>
        <v>8.8454353784821329</v>
      </c>
      <c r="AA31" s="96">
        <f t="shared" si="13"/>
        <v>4.2951841283412788</v>
      </c>
      <c r="AB31" s="96">
        <f t="shared" si="13"/>
        <v>6.8612973331210858</v>
      </c>
      <c r="AC31" s="96">
        <f t="shared" si="13"/>
        <v>18.482141652310702</v>
      </c>
      <c r="AD31" s="96">
        <f t="shared" si="13"/>
        <v>22.522472233644418</v>
      </c>
      <c r="AE31" s="96">
        <f t="shared" si="13"/>
        <v>25.122116140736278</v>
      </c>
      <c r="AF31" s="96">
        <f t="shared" si="13"/>
        <v>8.5217739786796081</v>
      </c>
      <c r="AG31" s="96">
        <f t="shared" si="13"/>
        <v>100</v>
      </c>
    </row>
    <row r="32" spans="1:33" x14ac:dyDescent="0.2">
      <c r="A32" s="10" t="str">
        <f>name!D28</f>
        <v>91 Elementary trades and related occupations</v>
      </c>
      <c r="B32" s="68">
        <f>'Basic T2'!D32</f>
        <v>4.6962381754077501E-3</v>
      </c>
      <c r="C32" s="68">
        <f>'Basic T2'!O32</f>
        <v>0.90643689928774995</v>
      </c>
      <c r="D32" s="68">
        <f>'Basic T2'!Z32</f>
        <v>2.2777434825301079</v>
      </c>
      <c r="E32" s="68">
        <f>'Basic T2'!AK32</f>
        <v>1.2791927817786628</v>
      </c>
      <c r="F32" s="68">
        <f>'Basic T2'!AV32</f>
        <v>2.0836701836420488</v>
      </c>
      <c r="G32" s="68">
        <f>'Basic T2'!BG32</f>
        <v>5.0118943960278379</v>
      </c>
      <c r="H32" s="68">
        <f>'Basic T2'!BR32</f>
        <v>8.2190744809452045</v>
      </c>
      <c r="I32" s="68">
        <f>'Basic T2'!CC32</f>
        <v>11.194626037422303</v>
      </c>
      <c r="J32" s="68">
        <f>'Basic T2'!CN32</f>
        <v>4.8753065093678423</v>
      </c>
      <c r="K32" s="309">
        <f t="shared" si="12"/>
        <v>35.852641009177162</v>
      </c>
      <c r="L32" s="96"/>
      <c r="M32" s="96">
        <f t="shared" si="0"/>
        <v>2.9051761298997374E-3</v>
      </c>
      <c r="N32" s="96">
        <f t="shared" si="1"/>
        <v>7.0439749075552088E-2</v>
      </c>
      <c r="O32" s="96">
        <f t="shared" si="2"/>
        <v>0.13956824819617381</v>
      </c>
      <c r="P32" s="96">
        <f t="shared" si="3"/>
        <v>0.33455681411764376</v>
      </c>
      <c r="Q32" s="96">
        <f t="shared" si="4"/>
        <v>0.53121729436394483</v>
      </c>
      <c r="R32" s="96">
        <f t="shared" si="5"/>
        <v>0.66105609693025247</v>
      </c>
      <c r="S32" s="96">
        <f t="shared" si="6"/>
        <v>1.3043568859930015</v>
      </c>
      <c r="T32" s="96">
        <f t="shared" si="7"/>
        <v>2.0400199039681293</v>
      </c>
      <c r="U32" s="96">
        <f t="shared" si="8"/>
        <v>3.3559680785099606</v>
      </c>
      <c r="V32" s="96">
        <f t="shared" si="9"/>
        <v>0.60384605618445175</v>
      </c>
      <c r="W32" s="96"/>
      <c r="X32" s="96">
        <f t="shared" si="10"/>
        <v>1.309872311555977E-2</v>
      </c>
      <c r="Y32" s="96">
        <f t="shared" si="13"/>
        <v>2.5282290893318855</v>
      </c>
      <c r="Z32" s="96">
        <f t="shared" si="13"/>
        <v>6.3530702855253436</v>
      </c>
      <c r="AA32" s="96">
        <f t="shared" si="13"/>
        <v>3.5679178598062808</v>
      </c>
      <c r="AB32" s="96">
        <f t="shared" si="13"/>
        <v>5.8117620487391539</v>
      </c>
      <c r="AC32" s="96">
        <f t="shared" si="13"/>
        <v>13.979149805853769</v>
      </c>
      <c r="AD32" s="96">
        <f t="shared" si="13"/>
        <v>22.92459983308169</v>
      </c>
      <c r="AE32" s="96">
        <f t="shared" si="13"/>
        <v>31.223992772406433</v>
      </c>
      <c r="AF32" s="96">
        <f t="shared" si="13"/>
        <v>13.598179582139892</v>
      </c>
      <c r="AG32" s="96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8">
        <f>'Basic T2'!D33</f>
        <v>0.74098137430138933</v>
      </c>
      <c r="C33" s="68">
        <f>'Basic T2'!O33</f>
        <v>30.190768309328529</v>
      </c>
      <c r="D33" s="68">
        <f>'Basic T2'!Z33</f>
        <v>67.199874472300124</v>
      </c>
      <c r="E33" s="68">
        <f>'Basic T2'!AK33</f>
        <v>30.345919522372494</v>
      </c>
      <c r="F33" s="68">
        <f>'Basic T2'!AV33</f>
        <v>26.348992873749285</v>
      </c>
      <c r="G33" s="68">
        <f>'Basic T2'!BG33</f>
        <v>73.182647519902389</v>
      </c>
      <c r="H33" s="68">
        <f>'Basic T2'!BR33</f>
        <v>103.31427501427731</v>
      </c>
      <c r="I33" s="68">
        <f>'Basic T2'!CC33</f>
        <v>119.12523296129595</v>
      </c>
      <c r="J33" s="68">
        <f>'Basic T2'!CN33</f>
        <v>37.183847576329455</v>
      </c>
      <c r="K33" s="309">
        <f>SUM(B33:J33)</f>
        <v>487.63253962385699</v>
      </c>
      <c r="L33" s="96"/>
      <c r="M33" s="96">
        <f t="shared" si="0"/>
        <v>0.45838420474357494</v>
      </c>
      <c r="N33" s="96">
        <f t="shared" si="1"/>
        <v>2.3461425122678388</v>
      </c>
      <c r="O33" s="96">
        <f t="shared" si="2"/>
        <v>4.1176580378944116</v>
      </c>
      <c r="P33" s="96">
        <f t="shared" si="3"/>
        <v>7.9365943128281478</v>
      </c>
      <c r="Q33" s="96">
        <f t="shared" si="4"/>
        <v>6.7174933986637555</v>
      </c>
      <c r="R33" s="96">
        <f t="shared" si="5"/>
        <v>9.6526046859388739</v>
      </c>
      <c r="S33" s="96">
        <f t="shared" si="6"/>
        <v>16.395846801080442</v>
      </c>
      <c r="T33" s="96">
        <f t="shared" si="7"/>
        <v>21.708438092840641</v>
      </c>
      <c r="U33" s="96">
        <f t="shared" si="8"/>
        <v>25.595889255898758</v>
      </c>
      <c r="V33" s="96">
        <f t="shared" si="9"/>
        <v>8.2129231663492543</v>
      </c>
      <c r="W33" s="96"/>
      <c r="X33" s="96">
        <f>IF($K33&gt;0,B33/$K33*100,0)</f>
        <v>0.1519548664395852</v>
      </c>
      <c r="Y33" s="96">
        <f t="shared" ref="Y33" si="14">IF($K33&gt;0,C33/$K33*100,0)</f>
        <v>6.1912948493176136</v>
      </c>
      <c r="Z33" s="96">
        <f t="shared" ref="Z33" si="15">IF($K33&gt;0,D33/$K33*100,0)</f>
        <v>13.780842952797162</v>
      </c>
      <c r="AA33" s="96">
        <f t="shared" ref="AA33" si="16">IF($K33&gt;0,E33/$K33*100,0)</f>
        <v>6.2231120888241582</v>
      </c>
      <c r="AB33" s="96">
        <f t="shared" ref="AB33" si="17">IF($K33&gt;0,F33/$K33*100,0)</f>
        <v>5.4034525452452362</v>
      </c>
      <c r="AC33" s="96">
        <f t="shared" ref="AC33" si="18">IF($K33&gt;0,G33/$K33*100,0)</f>
        <v>15.007744884365792</v>
      </c>
      <c r="AD33" s="96">
        <f t="shared" ref="AD33" si="19">IF($K33&gt;0,H33/$K33*100,0)</f>
        <v>21.186911581817409</v>
      </c>
      <c r="AE33" s="96">
        <f t="shared" ref="AE33" si="20">IF($K33&gt;0,I33/$K33*100,0)</f>
        <v>24.429303477816529</v>
      </c>
      <c r="AF33" s="96">
        <f>IF($K33&gt;0,J33/$K33*100,0)</f>
        <v>7.6253827533765071</v>
      </c>
      <c r="AG33" s="96">
        <f t="shared" ref="AG33" si="21">IF($K33&gt;0,K33/$K33*100,0)</f>
        <v>100</v>
      </c>
    </row>
    <row r="34" spans="1:33" x14ac:dyDescent="0.2">
      <c r="B34" s="309"/>
      <c r="C34" s="309"/>
      <c r="D34" s="309"/>
      <c r="E34" s="68"/>
      <c r="F34" s="68"/>
      <c r="G34" s="68"/>
      <c r="H34" s="68"/>
      <c r="I34" s="68"/>
      <c r="J34" s="68"/>
      <c r="K34" s="309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</row>
    <row r="35" spans="1:33" x14ac:dyDescent="0.2">
      <c r="A35" s="107" t="str">
        <f>name!D3</f>
        <v>All occupations</v>
      </c>
      <c r="B35" s="310">
        <f>SUM(B8:B33)</f>
        <v>161.65072151993158</v>
      </c>
      <c r="C35" s="310">
        <f t="shared" ref="C35:K35" si="22">SUM(C8:C33)</f>
        <v>1286.8258493021121</v>
      </c>
      <c r="D35" s="310">
        <f t="shared" si="22"/>
        <v>1631.9926000135545</v>
      </c>
      <c r="E35" s="310">
        <f t="shared" si="22"/>
        <v>382.35442465949791</v>
      </c>
      <c r="F35" s="310">
        <f t="shared" si="22"/>
        <v>392.24441782094834</v>
      </c>
      <c r="G35" s="310">
        <f t="shared" si="22"/>
        <v>758.16476382285589</v>
      </c>
      <c r="H35" s="310">
        <f t="shared" si="22"/>
        <v>630.12466673858648</v>
      </c>
      <c r="I35" s="310">
        <f t="shared" si="22"/>
        <v>548.75082422711466</v>
      </c>
      <c r="J35" s="310">
        <f t="shared" si="22"/>
        <v>145.27273190072961</v>
      </c>
      <c r="K35" s="310">
        <f t="shared" si="22"/>
        <v>5937.3810000053318</v>
      </c>
      <c r="L35" s="310"/>
      <c r="M35" s="97">
        <f>B35/B$35*100</f>
        <v>100</v>
      </c>
      <c r="N35" s="97">
        <f>C35/C$35*100</f>
        <v>100</v>
      </c>
      <c r="O35" s="97">
        <f>D35/D$35*100</f>
        <v>100</v>
      </c>
      <c r="P35" s="97">
        <f t="shared" ref="P35:U35" si="23">E35/E$35*100</f>
        <v>100</v>
      </c>
      <c r="Q35" s="97">
        <f t="shared" si="23"/>
        <v>100</v>
      </c>
      <c r="R35" s="97">
        <f t="shared" si="23"/>
        <v>100</v>
      </c>
      <c r="S35" s="97">
        <f t="shared" si="23"/>
        <v>100</v>
      </c>
      <c r="T35" s="97">
        <f t="shared" si="23"/>
        <v>100</v>
      </c>
      <c r="U35" s="97">
        <f t="shared" si="23"/>
        <v>100</v>
      </c>
      <c r="V35" s="97">
        <f>K35/K$35*100</f>
        <v>100</v>
      </c>
      <c r="W35" s="97"/>
      <c r="X35" s="97">
        <f>IF($K35&gt;0,B35/$K35*100,0)</f>
        <v>2.7225930341978462</v>
      </c>
      <c r="Y35" s="97">
        <f t="shared" ref="Y35:AG35" si="24">IF($K35&gt;0,C35/$K35*100,0)</f>
        <v>21.673290787654633</v>
      </c>
      <c r="Z35" s="97">
        <f t="shared" si="24"/>
        <v>27.486742050275854</v>
      </c>
      <c r="AA35" s="97">
        <f t="shared" si="24"/>
        <v>6.4397825347430881</v>
      </c>
      <c r="AB35" s="97">
        <f t="shared" si="24"/>
        <v>6.6063541790664289</v>
      </c>
      <c r="AC35" s="97">
        <f t="shared" si="24"/>
        <v>12.769346683700695</v>
      </c>
      <c r="AD35" s="97">
        <f t="shared" si="24"/>
        <v>10.612838669743791</v>
      </c>
      <c r="AE35" s="97">
        <f t="shared" si="24"/>
        <v>9.2423043801066829</v>
      </c>
      <c r="AF35" s="97">
        <f t="shared" si="24"/>
        <v>2.4467476805109722</v>
      </c>
      <c r="AG35" s="97">
        <f t="shared" si="24"/>
        <v>100</v>
      </c>
    </row>
    <row r="37" spans="1:33" x14ac:dyDescent="0.2">
      <c r="A37" s="90" t="str">
        <f ca="1">CELL("filename")</f>
        <v>M:\IE\Projects\Nuffield via NFER AI and automation\Data\Results\Workbooks\LO\[LO_MainTables.Main.xlsm]Manager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0" customWidth="1"/>
    <col min="2" max="2" width="5.7109375" style="90" customWidth="1"/>
    <col min="3" max="3" width="11.7109375" style="90" customWidth="1"/>
    <col min="4" max="4" width="7.85546875" style="90" customWidth="1"/>
    <col min="5" max="5" width="9.85546875" style="90" customWidth="1"/>
    <col min="6" max="6" width="10" style="90" customWidth="1"/>
    <col min="7" max="7" width="2.7109375" style="90" customWidth="1"/>
    <col min="8" max="8" width="5.7109375" style="90" customWidth="1"/>
    <col min="9" max="9" width="10.7109375" style="90" customWidth="1"/>
    <col min="10" max="12" width="8.7109375" style="90" customWidth="1"/>
    <col min="13" max="13" width="2.7109375" style="90" customWidth="1"/>
    <col min="14" max="14" width="5.7109375" style="90" customWidth="1"/>
    <col min="15" max="15" width="10.7109375" style="90" customWidth="1"/>
    <col min="16" max="18" width="8.7109375" style="90" customWidth="1"/>
    <col min="19" max="19" width="2.7109375" style="90" customWidth="1"/>
    <col min="20" max="20" width="5.7109375" style="90" customWidth="1"/>
    <col min="21" max="21" width="10.7109375" style="90" customWidth="1"/>
    <col min="22" max="24" width="8.7109375" style="90" customWidth="1"/>
    <col min="25" max="25" width="33.7109375" style="90" customWidth="1"/>
    <col min="26" max="26" width="5.7109375" style="90" customWidth="1"/>
    <col min="27" max="27" width="11.7109375" style="90" customWidth="1"/>
    <col min="28" max="28" width="7.42578125" style="90" customWidth="1"/>
    <col min="29" max="30" width="8.7109375" style="90" customWidth="1"/>
    <col min="31" max="31" width="2.7109375" style="90" customWidth="1"/>
    <col min="32" max="32" width="5.7109375" style="90" customWidth="1"/>
    <col min="33" max="33" width="10.7109375" style="90" customWidth="1"/>
    <col min="34" max="36" width="8.7109375" style="90" customWidth="1"/>
    <col min="37" max="37" width="2.7109375" style="90" customWidth="1"/>
    <col min="38" max="38" width="5.7109375" style="90" customWidth="1"/>
    <col min="39" max="39" width="10.7109375" style="90" customWidth="1"/>
    <col min="40" max="42" width="8.7109375" style="90" customWidth="1"/>
    <col min="43" max="43" width="2.7109375" style="90" customWidth="1"/>
    <col min="44" max="44" width="5.7109375" style="90" customWidth="1"/>
    <col min="45" max="45" width="10.7109375" style="90" customWidth="1"/>
    <col min="46" max="48" width="8.7109375" style="90" customWidth="1"/>
    <col min="49" max="49" width="33.7109375" style="90" customWidth="1"/>
    <col min="50" max="50" width="5.7109375" style="90" customWidth="1"/>
    <col min="51" max="51" width="11.7109375" style="90" customWidth="1"/>
    <col min="52" max="52" width="7.42578125" style="90" customWidth="1"/>
    <col min="53" max="54" width="8.7109375" style="90" customWidth="1"/>
    <col min="55" max="55" width="2.7109375" style="90" customWidth="1"/>
    <col min="56" max="56" width="5.7109375" style="90" customWidth="1"/>
    <col min="57" max="57" width="10.7109375" style="90" customWidth="1"/>
    <col min="58" max="60" width="8.7109375" style="90" customWidth="1"/>
    <col min="61" max="61" width="2.7109375" style="90" customWidth="1"/>
    <col min="62" max="62" width="5.7109375" style="90" customWidth="1"/>
    <col min="63" max="63" width="10.7109375" style="90" customWidth="1"/>
    <col min="64" max="66" width="8.7109375" style="90" customWidth="1"/>
    <col min="67" max="67" width="2.7109375" style="90" customWidth="1"/>
    <col min="68" max="68" width="5.7109375" style="90" customWidth="1"/>
    <col min="69" max="69" width="10.7109375" style="90" customWidth="1"/>
    <col min="70" max="72" width="8.7109375" style="90" customWidth="1"/>
    <col min="73" max="73" width="33.7109375" style="90" customWidth="1"/>
    <col min="74" max="74" width="5.7109375" style="90" customWidth="1"/>
    <col min="75" max="75" width="11.7109375" style="90" customWidth="1"/>
    <col min="76" max="76" width="7.42578125" style="90" customWidth="1"/>
    <col min="77" max="78" width="8.7109375" style="90" customWidth="1"/>
    <col min="79" max="79" width="2.7109375" style="90" customWidth="1"/>
    <col min="80" max="80" width="5.7109375" style="90" customWidth="1"/>
    <col min="81" max="81" width="10.7109375" style="90" customWidth="1"/>
    <col min="82" max="84" width="8.7109375" style="90" customWidth="1"/>
    <col min="85" max="85" width="2.7109375" style="90" customWidth="1"/>
    <col min="86" max="86" width="5.7109375" style="90" customWidth="1"/>
    <col min="87" max="87" width="10.7109375" style="90" customWidth="1"/>
    <col min="88" max="90" width="8.7109375" style="90" customWidth="1"/>
    <col min="91" max="91" width="2.7109375" style="90" customWidth="1"/>
    <col min="92" max="92" width="5.7109375" style="90" customWidth="1"/>
    <col min="93" max="93" width="10.7109375" style="90" customWidth="1"/>
    <col min="94" max="96" width="8.7109375" style="90" customWidth="1"/>
    <col min="97" max="97" width="33.7109375" style="90" customWidth="1"/>
    <col min="98" max="98" width="5.7109375" style="90" customWidth="1"/>
    <col min="99" max="99" width="11.7109375" style="90" customWidth="1"/>
    <col min="100" max="100" width="7.42578125" style="90" customWidth="1"/>
    <col min="101" max="102" width="8.7109375" style="90" customWidth="1"/>
    <col min="103" max="103" width="2.7109375" style="90" customWidth="1"/>
    <col min="104" max="104" width="5.7109375" style="90" customWidth="1"/>
    <col min="105" max="105" width="10.7109375" style="90" customWidth="1"/>
    <col min="106" max="108" width="8.7109375" style="90" customWidth="1"/>
    <col min="109" max="109" width="2.7109375" style="90" customWidth="1"/>
    <col min="110" max="110" width="5.7109375" style="90" customWidth="1"/>
    <col min="111" max="111" width="10.7109375" style="90" customWidth="1"/>
    <col min="112" max="114" width="8.7109375" style="90" customWidth="1"/>
    <col min="115" max="115" width="2.7109375" style="90" customWidth="1"/>
    <col min="116" max="116" width="5.7109375" style="90" customWidth="1"/>
    <col min="117" max="117" width="10.7109375" style="90" customWidth="1"/>
    <col min="118" max="120" width="8.7109375" style="90" customWidth="1"/>
    <col min="121" max="16384" width="9.140625" style="90"/>
  </cols>
  <sheetData>
    <row r="1" spans="1:120" ht="15.75" x14ac:dyDescent="0.25">
      <c r="A1" s="18" t="str">
        <f>CONCATENATE("Basic Table 5  Replacement Demand, ",A100,"-",A101,", by Industry and Qualification for ",name!$H$3)</f>
        <v>Basic Table 5  Replacement Demand, 2015-2025, by Industry and Qualification for M</v>
      </c>
      <c r="Y1" s="18" t="str">
        <f>CONCATENATE("Basic Table 5  Replacement Demand, ",A100,"-",A101,", by Industry and Qualification for ",name!$H$4)</f>
        <v>Basic Table 5  Replacement Demand, 2015-2025, by Industry and Qualification for F</v>
      </c>
      <c r="AW1" s="18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8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8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8"/>
      <c r="Y2" s="18"/>
      <c r="AW2" s="18"/>
      <c r="BU2" s="18"/>
      <c r="CS2" s="18"/>
    </row>
    <row r="3" spans="1:120" x14ac:dyDescent="0.2"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115" t="s">
        <v>35</v>
      </c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115" t="str">
        <f>$X$3</f>
        <v>thousands</v>
      </c>
      <c r="AX3" s="91"/>
      <c r="AY3" s="91"/>
      <c r="AZ3" s="91"/>
      <c r="BA3" s="91"/>
      <c r="BB3" s="91"/>
      <c r="BC3" s="91"/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115" t="str">
        <f>$X$3</f>
        <v>thousands</v>
      </c>
      <c r="BV3" s="91"/>
      <c r="BW3" s="91"/>
      <c r="BX3" s="91"/>
      <c r="BY3" s="91"/>
      <c r="BZ3" s="91"/>
      <c r="CA3" s="91"/>
      <c r="CB3" s="91"/>
      <c r="CC3" s="91"/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115" t="str">
        <f>$X$3</f>
        <v>thousands</v>
      </c>
      <c r="CT3" s="91"/>
      <c r="CU3" s="91"/>
      <c r="CV3" s="91"/>
      <c r="CW3" s="91"/>
      <c r="CX3" s="91"/>
      <c r="CY3" s="91"/>
      <c r="CZ3" s="91"/>
      <c r="DA3" s="91"/>
      <c r="DB3" s="91"/>
      <c r="DC3" s="91"/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115" t="str">
        <f>$X$3</f>
        <v>thousands</v>
      </c>
    </row>
    <row r="4" spans="1:120" x14ac:dyDescent="0.2">
      <c r="A4" s="95"/>
      <c r="B4" s="381" t="str">
        <f>name!F3</f>
        <v>All qualifications</v>
      </c>
      <c r="C4" s="381"/>
      <c r="D4" s="381"/>
      <c r="E4" s="381"/>
      <c r="F4" s="381"/>
      <c r="G4" s="102"/>
      <c r="H4" s="381" t="str">
        <f>name!F4</f>
        <v>RQF8 Doctorate</v>
      </c>
      <c r="I4" s="381"/>
      <c r="J4" s="381"/>
      <c r="K4" s="381"/>
      <c r="L4" s="381"/>
      <c r="N4" s="382" t="str">
        <f>name!F5</f>
        <v>RQF7 Other higher degree</v>
      </c>
      <c r="O4" s="382"/>
      <c r="P4" s="382"/>
      <c r="Q4" s="382"/>
      <c r="R4" s="382"/>
      <c r="S4" s="110"/>
      <c r="T4" s="382" t="str">
        <f>name!F6</f>
        <v>RQF6 First degree</v>
      </c>
      <c r="U4" s="382"/>
      <c r="V4" s="382"/>
      <c r="W4" s="382"/>
      <c r="X4" s="382"/>
      <c r="Y4" s="95"/>
      <c r="Z4" s="381" t="str">
        <f>$B$4</f>
        <v>All qualifications</v>
      </c>
      <c r="AA4" s="381"/>
      <c r="AB4" s="381"/>
      <c r="AC4" s="381"/>
      <c r="AD4" s="381"/>
      <c r="AE4" s="102"/>
      <c r="AF4" s="381" t="str">
        <f>$H$4</f>
        <v>RQF8 Doctorate</v>
      </c>
      <c r="AG4" s="381"/>
      <c r="AH4" s="381"/>
      <c r="AI4" s="381"/>
      <c r="AJ4" s="381"/>
      <c r="AL4" s="382" t="str">
        <f>$N$4</f>
        <v>RQF7 Other higher degree</v>
      </c>
      <c r="AM4" s="382"/>
      <c r="AN4" s="382"/>
      <c r="AO4" s="382"/>
      <c r="AP4" s="382"/>
      <c r="AQ4" s="110"/>
      <c r="AR4" s="382" t="str">
        <f>$T$4</f>
        <v>RQF6 First degree</v>
      </c>
      <c r="AS4" s="382"/>
      <c r="AT4" s="382"/>
      <c r="AU4" s="382"/>
      <c r="AV4" s="382"/>
      <c r="AW4" s="95"/>
      <c r="AX4" s="381" t="str">
        <f>$B$4</f>
        <v>All qualifications</v>
      </c>
      <c r="AY4" s="381"/>
      <c r="AZ4" s="381"/>
      <c r="BA4" s="381"/>
      <c r="BB4" s="381"/>
      <c r="BC4" s="102"/>
      <c r="BD4" s="381" t="str">
        <f>$H$4</f>
        <v>RQF8 Doctorate</v>
      </c>
      <c r="BE4" s="381"/>
      <c r="BF4" s="381"/>
      <c r="BG4" s="381"/>
      <c r="BH4" s="381"/>
      <c r="BJ4" s="382" t="str">
        <f>$N$4</f>
        <v>RQF7 Other higher degree</v>
      </c>
      <c r="BK4" s="382"/>
      <c r="BL4" s="382"/>
      <c r="BM4" s="382"/>
      <c r="BN4" s="382"/>
      <c r="BO4" s="110"/>
      <c r="BP4" s="382" t="str">
        <f>$T$4</f>
        <v>RQF6 First degree</v>
      </c>
      <c r="BQ4" s="382"/>
      <c r="BR4" s="382"/>
      <c r="BS4" s="382"/>
      <c r="BT4" s="382"/>
      <c r="BU4" s="95"/>
      <c r="BV4" s="381" t="str">
        <f>$B$4</f>
        <v>All qualifications</v>
      </c>
      <c r="BW4" s="381"/>
      <c r="BX4" s="381"/>
      <c r="BY4" s="381"/>
      <c r="BZ4" s="381"/>
      <c r="CA4" s="102"/>
      <c r="CB4" s="381" t="str">
        <f>$H$4</f>
        <v>RQF8 Doctorate</v>
      </c>
      <c r="CC4" s="381"/>
      <c r="CD4" s="381"/>
      <c r="CE4" s="381"/>
      <c r="CF4" s="381"/>
      <c r="CH4" s="382" t="str">
        <f>$N$4</f>
        <v>RQF7 Other higher degree</v>
      </c>
      <c r="CI4" s="382"/>
      <c r="CJ4" s="382"/>
      <c r="CK4" s="382"/>
      <c r="CL4" s="382"/>
      <c r="CM4" s="110"/>
      <c r="CN4" s="382" t="str">
        <f>$T$4</f>
        <v>RQF6 First degree</v>
      </c>
      <c r="CO4" s="382"/>
      <c r="CP4" s="382"/>
      <c r="CQ4" s="382"/>
      <c r="CR4" s="382"/>
      <c r="CS4" s="95"/>
      <c r="CT4" s="381" t="str">
        <f>$B$4</f>
        <v>All qualifications</v>
      </c>
      <c r="CU4" s="381"/>
      <c r="CV4" s="381"/>
      <c r="CW4" s="381"/>
      <c r="CX4" s="381"/>
      <c r="CY4" s="102"/>
      <c r="CZ4" s="381" t="str">
        <f>$H$4</f>
        <v>RQF8 Doctorate</v>
      </c>
      <c r="DA4" s="381"/>
      <c r="DB4" s="381"/>
      <c r="DC4" s="381"/>
      <c r="DD4" s="381"/>
      <c r="DF4" s="382" t="str">
        <f>$N$4</f>
        <v>RQF7 Other higher degree</v>
      </c>
      <c r="DG4" s="382"/>
      <c r="DH4" s="382"/>
      <c r="DI4" s="382"/>
      <c r="DJ4" s="382"/>
      <c r="DK4" s="110"/>
      <c r="DL4" s="382" t="str">
        <f>$T$4</f>
        <v>RQF6 First degree</v>
      </c>
      <c r="DM4" s="382"/>
      <c r="DN4" s="382"/>
      <c r="DO4" s="382"/>
      <c r="DP4" s="382"/>
    </row>
    <row r="6" spans="1:120" s="101" customFormat="1" ht="38.25" x14ac:dyDescent="0.2">
      <c r="A6" s="100"/>
      <c r="B6" s="105" t="s">
        <v>42</v>
      </c>
      <c r="C6" s="114" t="str">
        <f>CONCATENATE($A$100," Level")</f>
        <v>2015 Level</v>
      </c>
      <c r="D6" s="104" t="s">
        <v>40</v>
      </c>
      <c r="E6" s="114" t="s">
        <v>43</v>
      </c>
      <c r="F6" s="114" t="s">
        <v>44</v>
      </c>
      <c r="G6" s="103"/>
      <c r="H6" s="104" t="str">
        <f>B6</f>
        <v>RD p.a%</v>
      </c>
      <c r="I6" s="104" t="str">
        <f>C6</f>
        <v>2015 Level</v>
      </c>
      <c r="J6" s="104" t="str">
        <f>D6</f>
        <v>Net Change</v>
      </c>
      <c r="K6" s="104" t="str">
        <f>E6</f>
        <v>Replace-ment Demand</v>
      </c>
      <c r="L6" s="104" t="str">
        <f>F6</f>
        <v>Total Require-ment</v>
      </c>
      <c r="M6" s="103"/>
      <c r="N6" s="105" t="str">
        <f>H6</f>
        <v>RD p.a%</v>
      </c>
      <c r="O6" s="105" t="str">
        <f>I6</f>
        <v>2015 Level</v>
      </c>
      <c r="P6" s="105" t="str">
        <f>J6</f>
        <v>Net Change</v>
      </c>
      <c r="Q6" s="105" t="str">
        <f>K6</f>
        <v>Replace-ment Demand</v>
      </c>
      <c r="R6" s="105" t="str">
        <f>L6</f>
        <v>Total Require-ment</v>
      </c>
      <c r="S6" s="103"/>
      <c r="T6" s="105" t="str">
        <f>N6</f>
        <v>RD p.a%</v>
      </c>
      <c r="U6" s="105" t="str">
        <f>O6</f>
        <v>2015 Level</v>
      </c>
      <c r="V6" s="105" t="str">
        <f>P6</f>
        <v>Net Change</v>
      </c>
      <c r="W6" s="105" t="str">
        <f>Q6</f>
        <v>Replace-ment Demand</v>
      </c>
      <c r="X6" s="105" t="str">
        <f>R6</f>
        <v>Total Require-ment</v>
      </c>
      <c r="Y6" s="100"/>
      <c r="Z6" s="105" t="s">
        <v>42</v>
      </c>
      <c r="AA6" s="114" t="str">
        <f>CONCATENATE($A$100," Level")</f>
        <v>2015 Level</v>
      </c>
      <c r="AB6" s="104" t="s">
        <v>40</v>
      </c>
      <c r="AC6" s="114" t="s">
        <v>43</v>
      </c>
      <c r="AD6" s="114" t="s">
        <v>44</v>
      </c>
      <c r="AE6" s="103"/>
      <c r="AF6" s="104" t="str">
        <f>Z6</f>
        <v>RD p.a%</v>
      </c>
      <c r="AG6" s="104" t="str">
        <f>AA6</f>
        <v>2015 Level</v>
      </c>
      <c r="AH6" s="104" t="str">
        <f>AB6</f>
        <v>Net Change</v>
      </c>
      <c r="AI6" s="104" t="str">
        <f>AC6</f>
        <v>Replace-ment Demand</v>
      </c>
      <c r="AJ6" s="104" t="str">
        <f>AD6</f>
        <v>Total Require-ment</v>
      </c>
      <c r="AK6" s="103"/>
      <c r="AL6" s="105" t="str">
        <f>AF6</f>
        <v>RD p.a%</v>
      </c>
      <c r="AM6" s="105" t="str">
        <f>AG6</f>
        <v>2015 Level</v>
      </c>
      <c r="AN6" s="105" t="str">
        <f>AH6</f>
        <v>Net Change</v>
      </c>
      <c r="AO6" s="105" t="str">
        <f>AI6</f>
        <v>Replace-ment Demand</v>
      </c>
      <c r="AP6" s="105" t="str">
        <f>AJ6</f>
        <v>Total Require-ment</v>
      </c>
      <c r="AQ6" s="103"/>
      <c r="AR6" s="105" t="str">
        <f>AL6</f>
        <v>RD p.a%</v>
      </c>
      <c r="AS6" s="105" t="str">
        <f>AM6</f>
        <v>2015 Level</v>
      </c>
      <c r="AT6" s="105" t="str">
        <f>AN6</f>
        <v>Net Change</v>
      </c>
      <c r="AU6" s="105" t="str">
        <f>AO6</f>
        <v>Replace-ment Demand</v>
      </c>
      <c r="AV6" s="105" t="str">
        <f>AP6</f>
        <v>Total Require-ment</v>
      </c>
      <c r="AW6" s="100"/>
      <c r="AX6" s="105" t="s">
        <v>42</v>
      </c>
      <c r="AY6" s="114" t="str">
        <f>CONCATENATE($A$100," Level")</f>
        <v>2015 Level</v>
      </c>
      <c r="AZ6" s="104" t="s">
        <v>40</v>
      </c>
      <c r="BA6" s="114" t="s">
        <v>43</v>
      </c>
      <c r="BB6" s="114" t="s">
        <v>44</v>
      </c>
      <c r="BC6" s="103"/>
      <c r="BD6" s="104" t="str">
        <f>AX6</f>
        <v>RD p.a%</v>
      </c>
      <c r="BE6" s="104" t="str">
        <f>AY6</f>
        <v>2015 Level</v>
      </c>
      <c r="BF6" s="104" t="str">
        <f>AZ6</f>
        <v>Net Change</v>
      </c>
      <c r="BG6" s="104" t="str">
        <f>BA6</f>
        <v>Replace-ment Demand</v>
      </c>
      <c r="BH6" s="104" t="str">
        <f>BB6</f>
        <v>Total Require-ment</v>
      </c>
      <c r="BI6" s="103"/>
      <c r="BJ6" s="105" t="str">
        <f>BD6</f>
        <v>RD p.a%</v>
      </c>
      <c r="BK6" s="105" t="str">
        <f>BE6</f>
        <v>2015 Level</v>
      </c>
      <c r="BL6" s="105" t="str">
        <f>BF6</f>
        <v>Net Change</v>
      </c>
      <c r="BM6" s="105" t="str">
        <f>BG6</f>
        <v>Replace-ment Demand</v>
      </c>
      <c r="BN6" s="105" t="str">
        <f>BH6</f>
        <v>Total Require-ment</v>
      </c>
      <c r="BO6" s="103"/>
      <c r="BP6" s="105" t="str">
        <f>BJ6</f>
        <v>RD p.a%</v>
      </c>
      <c r="BQ6" s="105" t="str">
        <f>BK6</f>
        <v>2015 Level</v>
      </c>
      <c r="BR6" s="105" t="str">
        <f>BL6</f>
        <v>Net Change</v>
      </c>
      <c r="BS6" s="105" t="str">
        <f>BM6</f>
        <v>Replace-ment Demand</v>
      </c>
      <c r="BT6" s="105" t="str">
        <f>BN6</f>
        <v>Total Require-ment</v>
      </c>
      <c r="BU6" s="100"/>
      <c r="BV6" s="105" t="s">
        <v>42</v>
      </c>
      <c r="BW6" s="114" t="str">
        <f>CONCATENATE($A$100," Level")</f>
        <v>2015 Level</v>
      </c>
      <c r="BX6" s="104" t="s">
        <v>40</v>
      </c>
      <c r="BY6" s="114" t="s">
        <v>43</v>
      </c>
      <c r="BZ6" s="114" t="s">
        <v>44</v>
      </c>
      <c r="CA6" s="103"/>
      <c r="CB6" s="104" t="str">
        <f>BV6</f>
        <v>RD p.a%</v>
      </c>
      <c r="CC6" s="104" t="str">
        <f>BW6</f>
        <v>2015 Level</v>
      </c>
      <c r="CD6" s="104" t="str">
        <f>BX6</f>
        <v>Net Change</v>
      </c>
      <c r="CE6" s="104" t="str">
        <f>BY6</f>
        <v>Replace-ment Demand</v>
      </c>
      <c r="CF6" s="104" t="str">
        <f>BZ6</f>
        <v>Total Require-ment</v>
      </c>
      <c r="CG6" s="103"/>
      <c r="CH6" s="105" t="str">
        <f>CB6</f>
        <v>RD p.a%</v>
      </c>
      <c r="CI6" s="105" t="str">
        <f>CC6</f>
        <v>2015 Level</v>
      </c>
      <c r="CJ6" s="105" t="str">
        <f>CD6</f>
        <v>Net Change</v>
      </c>
      <c r="CK6" s="105" t="str">
        <f>CE6</f>
        <v>Replace-ment Demand</v>
      </c>
      <c r="CL6" s="105" t="str">
        <f>CF6</f>
        <v>Total Require-ment</v>
      </c>
      <c r="CM6" s="103"/>
      <c r="CN6" s="105" t="str">
        <f>CH6</f>
        <v>RD p.a%</v>
      </c>
      <c r="CO6" s="105" t="str">
        <f>CI6</f>
        <v>2015 Level</v>
      </c>
      <c r="CP6" s="105" t="str">
        <f>CJ6</f>
        <v>Net Change</v>
      </c>
      <c r="CQ6" s="105" t="str">
        <f>CK6</f>
        <v>Replace-ment Demand</v>
      </c>
      <c r="CR6" s="105" t="str">
        <f>CL6</f>
        <v>Total Require-ment</v>
      </c>
      <c r="CS6" s="100"/>
      <c r="CT6" s="105" t="s">
        <v>42</v>
      </c>
      <c r="CU6" s="114" t="str">
        <f>CONCATENATE($A$100," Level")</f>
        <v>2015 Level</v>
      </c>
      <c r="CV6" s="104" t="s">
        <v>40</v>
      </c>
      <c r="CW6" s="114" t="s">
        <v>43</v>
      </c>
      <c r="CX6" s="114" t="s">
        <v>44</v>
      </c>
      <c r="CY6" s="103"/>
      <c r="CZ6" s="104" t="str">
        <f>CT6</f>
        <v>RD p.a%</v>
      </c>
      <c r="DA6" s="104" t="str">
        <f>CU6</f>
        <v>2015 Level</v>
      </c>
      <c r="DB6" s="104" t="str">
        <f>CV6</f>
        <v>Net Change</v>
      </c>
      <c r="DC6" s="104" t="str">
        <f>CW6</f>
        <v>Replace-ment Demand</v>
      </c>
      <c r="DD6" s="104" t="str">
        <f>CX6</f>
        <v>Total Require-ment</v>
      </c>
      <c r="DE6" s="103"/>
      <c r="DF6" s="105" t="str">
        <f>CZ6</f>
        <v>RD p.a%</v>
      </c>
      <c r="DG6" s="105" t="str">
        <f>DA6</f>
        <v>2015 Level</v>
      </c>
      <c r="DH6" s="105" t="str">
        <f>DB6</f>
        <v>Net Change</v>
      </c>
      <c r="DI6" s="105" t="str">
        <f>DC6</f>
        <v>Replace-ment Demand</v>
      </c>
      <c r="DJ6" s="105" t="str">
        <f>DD6</f>
        <v>Total Require-ment</v>
      </c>
      <c r="DK6" s="103"/>
      <c r="DL6" s="105" t="str">
        <f>DF6</f>
        <v>RD p.a%</v>
      </c>
      <c r="DM6" s="105" t="str">
        <f>DG6</f>
        <v>2015 Level</v>
      </c>
      <c r="DN6" s="105" t="str">
        <f>DH6</f>
        <v>Net Change</v>
      </c>
      <c r="DO6" s="105" t="str">
        <f>DI6</f>
        <v>Replace-ment Demand</v>
      </c>
      <c r="DP6" s="105" t="str">
        <f>DJ6</f>
        <v>Total Require-ment</v>
      </c>
    </row>
    <row r="8" spans="1:120" x14ac:dyDescent="0.2">
      <c r="A8" s="90" t="str">
        <f>name!B4</f>
        <v>Agriculture</v>
      </c>
      <c r="B8" s="39">
        <f>IF(C8&gt;0,((1+(E8/C8))^(1/($A$101-$A$100))-1)*100,0)</f>
        <v>3.6286528043839583</v>
      </c>
      <c r="C8" s="11">
        <v>55.936999999999848</v>
      </c>
      <c r="D8" s="93">
        <v>-6.9799999999999773</v>
      </c>
      <c r="E8" s="93">
        <v>23.953969842292668</v>
      </c>
      <c r="F8" s="93">
        <f>SUM(D8:E8)</f>
        <v>16.973969842292689</v>
      </c>
      <c r="G8" s="93"/>
      <c r="H8" s="39">
        <f>IF(I8&gt;0,((1+(K8/I8))^(1/($A$101-$A$100))-1)*100,0)</f>
        <v>3.5263839839017708</v>
      </c>
      <c r="I8" s="93">
        <v>17.246149343314809</v>
      </c>
      <c r="J8" s="93">
        <v>-6.8895887133768028</v>
      </c>
      <c r="K8" s="93">
        <v>7.1433335785126539</v>
      </c>
      <c r="L8" s="93">
        <f>SUM(J8:K8)</f>
        <v>0.25374486513585115</v>
      </c>
      <c r="N8" s="39">
        <f>IF(O8&gt;0,((1+(Q8/O8))^(1/($A$101-$A$100))-1)*100,0)</f>
        <v>3.688575763403712</v>
      </c>
      <c r="O8" s="93">
        <v>26.89476620234856</v>
      </c>
      <c r="P8" s="93">
        <v>-1.7755328024279793</v>
      </c>
      <c r="Q8" s="93">
        <v>11.739873371498375</v>
      </c>
      <c r="R8" s="93">
        <f>SUM(P8:Q8)</f>
        <v>9.9643405690703943</v>
      </c>
      <c r="S8" s="106"/>
      <c r="T8" s="39">
        <f>IF(U8&gt;0,((1+(W8/U8))^(1/($A$101-$A$100))-1)*100,0)</f>
        <v>3.6405249613346236</v>
      </c>
      <c r="U8" s="93">
        <v>11.79608445433648</v>
      </c>
      <c r="V8" s="93">
        <v>1.6851215158048036</v>
      </c>
      <c r="W8" s="93">
        <v>5.0707628922816417</v>
      </c>
      <c r="X8" s="93">
        <f>SUM(V8:W8)</f>
        <v>6.7558844080864455</v>
      </c>
      <c r="Y8" s="90" t="str">
        <f t="shared" ref="Y8:Y48" si="0">A8</f>
        <v>Agriculture</v>
      </c>
      <c r="Z8" s="39">
        <f>IF(AA8&gt;0,((1+(AC8/AA8))^(1/($A$101-$A$100))-1)*100,0)</f>
        <v>3.2278133961415545</v>
      </c>
      <c r="AA8" s="11">
        <v>4.3826960714462242</v>
      </c>
      <c r="AB8" s="93">
        <v>3.8928451595904385</v>
      </c>
      <c r="AC8" s="93">
        <v>1.6388586204918438</v>
      </c>
      <c r="AD8" s="93">
        <f>SUM(AB8:AC8)</f>
        <v>5.5317037800822826</v>
      </c>
      <c r="AE8" s="93"/>
      <c r="AF8" s="39">
        <f>IF(AG8&gt;0,((1+(AI8/AG8))^(1/($A$101-$A$100))-1)*100,0)</f>
        <v>3.7281488295962228</v>
      </c>
      <c r="AG8" s="93">
        <v>0.36786575366769064</v>
      </c>
      <c r="AH8" s="93">
        <v>0.72586367094203585</v>
      </c>
      <c r="AI8" s="93">
        <v>0.16259790102888269</v>
      </c>
      <c r="AJ8" s="93">
        <f>SUM(AH8:AI8)</f>
        <v>0.88846157197091857</v>
      </c>
      <c r="AL8" s="39">
        <f>IF(AM8&gt;0,((1+(AO8/AM8))^(1/($A$101-$A$100))-1)*100,0)</f>
        <v>3.4098436752145078</v>
      </c>
      <c r="AM8" s="93">
        <v>1.6324139933768864</v>
      </c>
      <c r="AN8" s="93">
        <v>2.2923856880061342</v>
      </c>
      <c r="AO8" s="93">
        <v>0.65028751093123516</v>
      </c>
      <c r="AP8" s="93">
        <f>SUM(AN8:AO8)</f>
        <v>2.9426731989373693</v>
      </c>
      <c r="AQ8" s="106"/>
      <c r="AR8" s="39">
        <f>IF(AS8&gt;0,((1+(AU8/AS8))^(1/($A$101-$A$100))-1)*100,0)</f>
        <v>3.0212804601292831</v>
      </c>
      <c r="AS8" s="93">
        <v>2.382416324401647</v>
      </c>
      <c r="AT8" s="93">
        <v>0.87459580064226849</v>
      </c>
      <c r="AU8" s="93">
        <v>0.82597320853172596</v>
      </c>
      <c r="AV8" s="93">
        <f>SUM(AT8:AU8)</f>
        <v>1.7005690091739945</v>
      </c>
      <c r="AW8" s="90" t="str">
        <f>Y8</f>
        <v>Agriculture</v>
      </c>
      <c r="AX8" s="39">
        <f>IF(AY8&gt;0,((1+(BA8/AY8))^(1/($A$101-$A$100))-1)*100,0)</f>
        <v>2.6560490695816119</v>
      </c>
      <c r="AY8" s="11">
        <v>1.9992749386487922</v>
      </c>
      <c r="AZ8" s="93">
        <v>0.50024802314102146</v>
      </c>
      <c r="BA8" s="93">
        <v>0.59919667769333007</v>
      </c>
      <c r="BB8" s="93">
        <f>SUM(AZ8:BA8)</f>
        <v>1.0994447008343515</v>
      </c>
      <c r="BC8" s="93"/>
      <c r="BD8" s="39">
        <f>IF(BE8&gt;0,((1+(BG8/BE8))^(1/($A$101-$A$100))-1)*100,0)</f>
        <v>2.5886964610706498</v>
      </c>
      <c r="BE8" s="93">
        <v>0.35374225719986674</v>
      </c>
      <c r="BF8" s="93">
        <v>0.49967527486298247</v>
      </c>
      <c r="BG8" s="93">
        <v>0.1030114256045692</v>
      </c>
      <c r="BH8" s="93">
        <f>SUM(BF8:BG8)</f>
        <v>0.60268670046755168</v>
      </c>
      <c r="BJ8" s="39">
        <f>IF(BK8&gt;0,((1+(BM8/BK8))^(1/($A$101-$A$100))-1)*100,0)</f>
        <v>2.6156756899814892</v>
      </c>
      <c r="BK8" s="93">
        <v>0.79083739900797367</v>
      </c>
      <c r="BL8" s="93">
        <v>8.9741026511377109E-2</v>
      </c>
      <c r="BM8" s="93">
        <v>0.2329842080987119</v>
      </c>
      <c r="BN8" s="93">
        <f>SUM(BL8:BM8)</f>
        <v>0.32272523461008901</v>
      </c>
      <c r="BO8" s="106"/>
      <c r="BP8" s="39">
        <f>IF(BQ8&gt;0,((1+(BS8/BQ8))^(1/($A$101-$A$100))-1)*100,0)</f>
        <v>2.7209488084197098</v>
      </c>
      <c r="BQ8" s="93">
        <v>0.85469528244095183</v>
      </c>
      <c r="BR8" s="93">
        <v>-8.91682782333382E-2</v>
      </c>
      <c r="BS8" s="93">
        <v>0.26320104399004901</v>
      </c>
      <c r="BT8" s="93">
        <f>SUM(BR8:BS8)</f>
        <v>0.17403276575671081</v>
      </c>
      <c r="BU8" s="90" t="str">
        <f>AW8</f>
        <v>Agriculture</v>
      </c>
      <c r="BV8" s="39">
        <f>IF(BW8&gt;0,((1+(BY8/BW8))^(1/($A$101-$A$100))-1)*100,0)</f>
        <v>4.0147443282656514</v>
      </c>
      <c r="BW8" s="11">
        <v>39.351032099647234</v>
      </c>
      <c r="BX8" s="93">
        <v>-10.192568070379561</v>
      </c>
      <c r="BY8" s="93">
        <v>18.980742173027217</v>
      </c>
      <c r="BZ8" s="93">
        <f>SUM(BX8:BY8)</f>
        <v>8.7881741026476554</v>
      </c>
      <c r="CA8" s="93"/>
      <c r="CB8" s="39">
        <f>IF(CC8&gt;0,((1+(CE8/CC8))^(1/($A$101-$A$100))-1)*100,0)</f>
        <v>3.9264502862225381</v>
      </c>
      <c r="CC8" s="93">
        <v>12.261822191887621</v>
      </c>
      <c r="CD8" s="93">
        <v>-6.5032966118226403</v>
      </c>
      <c r="CE8" s="93">
        <v>5.7607158890505197</v>
      </c>
      <c r="CF8" s="93">
        <f>SUM(CD8:CE8)</f>
        <v>-0.74258072277212062</v>
      </c>
      <c r="CH8" s="39">
        <f>IF(CI8&gt;0,((1+(CK8/CI8))^(1/($A$101-$A$100))-1)*100,0)</f>
        <v>3.9924360846625317</v>
      </c>
      <c r="CI8" s="93">
        <v>20.383214444648981</v>
      </c>
      <c r="CJ8" s="93">
        <v>-4.2877513599355161</v>
      </c>
      <c r="CK8" s="93">
        <v>9.7669852444241734</v>
      </c>
      <c r="CL8" s="93">
        <f>SUM(CJ8:CK8)</f>
        <v>5.4792338844886572</v>
      </c>
      <c r="CM8" s="106"/>
      <c r="CN8" s="39">
        <f>IF(CO8&gt;0,((1+(CQ8/CO8))^(1/($A$101-$A$100))-1)*100,0)</f>
        <v>4.2410858263209894</v>
      </c>
      <c r="CO8" s="93">
        <v>6.7059954631106375</v>
      </c>
      <c r="CP8" s="93">
        <v>0.59847990137859675</v>
      </c>
      <c r="CQ8" s="93">
        <v>3.4530410395525251</v>
      </c>
      <c r="CR8" s="93">
        <f>SUM(CP8:CQ8)</f>
        <v>4.0515209409311215</v>
      </c>
      <c r="CS8" s="90" t="str">
        <f>BU8</f>
        <v>Agriculture</v>
      </c>
      <c r="CT8" s="39">
        <f>IF(CU8&gt;0,((1+(CW8/CU8))^(1/($A$101-$A$100))-1)*100,0)</f>
        <v>2.4032187492160517</v>
      </c>
      <c r="CU8" s="11">
        <v>10.203996890257596</v>
      </c>
      <c r="CV8" s="93">
        <v>-1.1805251123518785</v>
      </c>
      <c r="CW8" s="93">
        <v>2.7351723710802771</v>
      </c>
      <c r="CX8" s="93">
        <f>SUM(CV8:CW8)</f>
        <v>1.5546472587283986</v>
      </c>
      <c r="CY8" s="93"/>
      <c r="CZ8" s="39">
        <f>IF(DA8&gt;0,((1+(DC8/DA8))^(1/($A$101-$A$100))-1)*100,0)</f>
        <v>2.3545977595102796</v>
      </c>
      <c r="DA8" s="93">
        <v>4.2627191405596321</v>
      </c>
      <c r="DB8" s="93">
        <v>-1.6118310473591806</v>
      </c>
      <c r="DC8" s="93">
        <v>1.1170083628286818</v>
      </c>
      <c r="DD8" s="93">
        <f>SUM(DB8:DC8)</f>
        <v>-0.49482268453049882</v>
      </c>
      <c r="DF8" s="39">
        <f>IF(DG8&gt;0,((1+(DI8/DG8))^(1/($A$101-$A$100))-1)*100,0)</f>
        <v>2.3908685473913449</v>
      </c>
      <c r="DG8" s="93">
        <v>4.088300365314721</v>
      </c>
      <c r="DH8" s="93">
        <v>0.13009184299002535</v>
      </c>
      <c r="DI8" s="93">
        <v>1.0896164080442534</v>
      </c>
      <c r="DJ8" s="93">
        <f>SUM(DH8:DI8)</f>
        <v>1.2197082510342787</v>
      </c>
      <c r="DK8" s="106"/>
      <c r="DL8" s="39">
        <f>IF(DM8&gt;0,((1+(DO8/DM8))^(1/($A$101-$A$100))-1)*100,0)</f>
        <v>2.5412252196502561</v>
      </c>
      <c r="DM8" s="93">
        <v>1.8529773843832451</v>
      </c>
      <c r="DN8" s="93">
        <v>0.30121409201727667</v>
      </c>
      <c r="DO8" s="93">
        <v>0.52854760020734193</v>
      </c>
      <c r="DP8" s="93">
        <f>SUM(DN8:DO8)</f>
        <v>0.8297616922246186</v>
      </c>
    </row>
    <row r="9" spans="1:120" x14ac:dyDescent="0.2">
      <c r="A9" s="90" t="str">
        <f>name!B5</f>
        <v>Mining and quarrying</v>
      </c>
      <c r="B9" s="39">
        <f t="shared" ref="B9:B50" si="1">IF(C9&gt;0,((1+(E9/C9))^(1/($A$101-$A$100))-1)*100,0)</f>
        <v>2.5879456250919697</v>
      </c>
      <c r="C9" s="11">
        <v>2.8879999999999906</v>
      </c>
      <c r="D9" s="93">
        <v>0.31300000000000278</v>
      </c>
      <c r="E9" s="93">
        <v>0.84072640567762824</v>
      </c>
      <c r="F9" s="93">
        <f t="shared" ref="F9:F50" si="2">SUM(D9:E9)</f>
        <v>1.1537264056776311</v>
      </c>
      <c r="G9" s="93"/>
      <c r="H9" s="39">
        <f t="shared" ref="H9:H50" si="3">IF(I9&gt;0,((1+(K9/I9))^(1/($A$101-$A$100))-1)*100,0)</f>
        <v>2.4436532378282472</v>
      </c>
      <c r="I9" s="93">
        <v>0.56134327419487429</v>
      </c>
      <c r="J9" s="93">
        <v>-0.21770904065899815</v>
      </c>
      <c r="K9" s="93">
        <v>0.15328319439040927</v>
      </c>
      <c r="L9" s="93">
        <f t="shared" ref="L9:L48" si="4">SUM(J9:K9)</f>
        <v>-6.4425846268588882E-2</v>
      </c>
      <c r="N9" s="39">
        <f t="shared" ref="N9:N50" si="5">IF(O9&gt;0,((1+(Q9/O9))^(1/($A$101-$A$100))-1)*100,0)</f>
        <v>2.5068914334568815</v>
      </c>
      <c r="O9" s="93">
        <v>1.5400906331410087</v>
      </c>
      <c r="P9" s="93">
        <v>0.28375808682996728</v>
      </c>
      <c r="Q9" s="93">
        <v>0.43268145633424426</v>
      </c>
      <c r="R9" s="93">
        <f t="shared" ref="R9:R48" si="6">SUM(P9:Q9)</f>
        <v>0.71643954316421155</v>
      </c>
      <c r="S9" s="106"/>
      <c r="T9" s="39">
        <f t="shared" ref="T9:T50" si="7">IF(U9&gt;0,((1+(W9/U9))^(1/($A$101-$A$100))-1)*100,0)</f>
        <v>2.8454839589988623</v>
      </c>
      <c r="U9" s="93">
        <v>0.78656609266410804</v>
      </c>
      <c r="V9" s="93">
        <v>0.24695095382903356</v>
      </c>
      <c r="W9" s="93">
        <v>0.25476175495297482</v>
      </c>
      <c r="X9" s="93">
        <f t="shared" ref="X9:X48" si="8">SUM(V9:W9)</f>
        <v>0.50171270878200835</v>
      </c>
      <c r="Y9" s="90" t="str">
        <f t="shared" si="0"/>
        <v>Mining and quarrying</v>
      </c>
      <c r="Z9" s="39">
        <f t="shared" ref="Z9:Z48" si="9">IF(AA9&gt;0,((1+(AC9/AA9))^(1/($A$101-$A$100))-1)*100,0)</f>
        <v>2.8484964339744012</v>
      </c>
      <c r="AA9" s="11">
        <v>0.91916274125036446</v>
      </c>
      <c r="AB9" s="93">
        <v>0.31532613098932155</v>
      </c>
      <c r="AC9" s="93">
        <v>0.29806511305958167</v>
      </c>
      <c r="AD9" s="93">
        <f t="shared" ref="AD9:AD48" si="10">SUM(AB9:AC9)</f>
        <v>0.61339124404890322</v>
      </c>
      <c r="AE9" s="93"/>
      <c r="AF9" s="39">
        <f t="shared" ref="AF9:AF48" si="11">IF(AG9&gt;0,((1+(AI9/AG9))^(1/($A$101-$A$100))-1)*100,0)</f>
        <v>2.5647482470575023</v>
      </c>
      <c r="AG9" s="93">
        <v>6.0971942881735838E-2</v>
      </c>
      <c r="AH9" s="93">
        <v>-2.5168577316816716E-2</v>
      </c>
      <c r="AI9" s="93">
        <v>1.7571732105538661E-2</v>
      </c>
      <c r="AJ9" s="93">
        <f t="shared" ref="AJ9:AJ48" si="12">SUM(AH9:AI9)</f>
        <v>-7.5968452112780555E-3</v>
      </c>
      <c r="AL9" s="39">
        <f t="shared" ref="AL9:AL48" si="13">IF(AM9&gt;0,((1+(AO9/AM9))^(1/($A$101-$A$100))-1)*100,0)</f>
        <v>2.6969613560046124</v>
      </c>
      <c r="AM9" s="93">
        <v>0.23935227172586462</v>
      </c>
      <c r="AN9" s="93">
        <v>0.14142536362746669</v>
      </c>
      <c r="AO9" s="93">
        <v>7.2977576857019638E-2</v>
      </c>
      <c r="AP9" s="93">
        <f t="shared" ref="AP9:AP48" si="14">SUM(AN9:AO9)</f>
        <v>0.21440294048448633</v>
      </c>
      <c r="AQ9" s="106"/>
      <c r="AR9" s="39">
        <f t="shared" ref="AR9:AR48" si="15">IF(AS9&gt;0,((1+(AU9/AS9))^(1/($A$101-$A$100))-1)*100,0)</f>
        <v>2.9340110632854799</v>
      </c>
      <c r="AS9" s="93">
        <v>0.61883852664276406</v>
      </c>
      <c r="AT9" s="93">
        <v>0.19906934467867154</v>
      </c>
      <c r="AU9" s="93">
        <v>0.20751580409702336</v>
      </c>
      <c r="AV9" s="93">
        <f t="shared" ref="AV9:AV48" si="16">SUM(AT9:AU9)</f>
        <v>0.4065851487756949</v>
      </c>
      <c r="AW9" s="90" t="str">
        <f t="shared" ref="AW9:AW48" si="17">Y9</f>
        <v>Mining and quarrying</v>
      </c>
      <c r="AX9" s="39">
        <f t="shared" ref="AX9:AX48" si="18">IF(AY9&gt;0,((1+(BA9/AY9))^(1/($A$101-$A$100))-1)*100,0)</f>
        <v>2.6726206587082579</v>
      </c>
      <c r="AY9" s="11">
        <v>0.3067194252346826</v>
      </c>
      <c r="AZ9" s="93">
        <v>6.8760264538259452E-2</v>
      </c>
      <c r="BA9" s="93">
        <v>9.2569950318502167E-2</v>
      </c>
      <c r="BB9" s="93">
        <f t="shared" ref="BB9:BB48" si="19">SUM(AZ9:BA9)</f>
        <v>0.16133021485676163</v>
      </c>
      <c r="BC9" s="93"/>
      <c r="BD9" s="39">
        <f t="shared" ref="BD9:BD48" si="20">IF(BE9&gt;0,((1+(BG9/BE9))^(1/($A$101-$A$100))-1)*100,0)</f>
        <v>2.5499994113037161</v>
      </c>
      <c r="BE9" s="93">
        <v>4.8330458353493297E-2</v>
      </c>
      <c r="BF9" s="93">
        <v>1.4245064889474328E-2</v>
      </c>
      <c r="BG9" s="93">
        <v>1.3839064758290531E-2</v>
      </c>
      <c r="BH9" s="93">
        <f t="shared" ref="BH9:BH48" si="21">SUM(BF9:BG9)</f>
        <v>2.8084129647764858E-2</v>
      </c>
      <c r="BJ9" s="39">
        <f t="shared" ref="BJ9:BJ48" si="22">IF(BK9&gt;0,((1+(BM9/BK9))^(1/($A$101-$A$100))-1)*100,0)</f>
        <v>2.6327433470687112</v>
      </c>
      <c r="BK9" s="93">
        <v>0.1678509941154788</v>
      </c>
      <c r="BL9" s="93">
        <v>9.5539598382306211E-3</v>
      </c>
      <c r="BM9" s="93">
        <v>4.9811346068916303E-2</v>
      </c>
      <c r="BN9" s="93">
        <f t="shared" ref="BN9:BN48" si="23">SUM(BL9:BM9)</f>
        <v>5.936530590714692E-2</v>
      </c>
      <c r="BO9" s="106"/>
      <c r="BP9" s="39">
        <f t="shared" ref="BP9:BP48" si="24">IF(BQ9&gt;0,((1+(BS9/BQ9))^(1/($A$101-$A$100))-1)*100,0)</f>
        <v>2.8106890888395686</v>
      </c>
      <c r="BQ9" s="93">
        <v>9.0537972765710545E-2</v>
      </c>
      <c r="BR9" s="93">
        <v>4.4961239810554506E-2</v>
      </c>
      <c r="BS9" s="93">
        <v>2.8919539491295328E-2</v>
      </c>
      <c r="BT9" s="93">
        <f t="shared" ref="BT9:BT48" si="25">SUM(BR9:BS9)</f>
        <v>7.388077930184983E-2</v>
      </c>
      <c r="BU9" s="90" t="str">
        <f t="shared" ref="BU9:BU48" si="26">AW9</f>
        <v>Mining and quarrying</v>
      </c>
      <c r="BV9" s="39">
        <f t="shared" ref="BV9:BV48" si="27">IF(BW9&gt;0,((1+(BY9/BW9))^(1/($A$101-$A$100))-1)*100,0)</f>
        <v>2.4107447061383347</v>
      </c>
      <c r="BW9" s="11">
        <v>1.5632668821604008</v>
      </c>
      <c r="BX9" s="93">
        <v>-0.15103332096346828</v>
      </c>
      <c r="BY9" s="93">
        <v>0.42048964990866566</v>
      </c>
      <c r="BZ9" s="93">
        <f t="shared" ref="BZ9:BZ48" si="28">SUM(BX9:BY9)</f>
        <v>0.26945632894519739</v>
      </c>
      <c r="CA9" s="93"/>
      <c r="CB9" s="39">
        <f t="shared" ref="CB9:CB48" si="29">IF(CC9&gt;0,((1+(CE9/CC9))^(1/($A$101-$A$100))-1)*100,0)</f>
        <v>2.407525741530181</v>
      </c>
      <c r="CC9" s="93">
        <v>0.42499848743780899</v>
      </c>
      <c r="CD9" s="93">
        <v>-0.17974314270981959</v>
      </c>
      <c r="CE9" s="93">
        <v>0.11414717753563779</v>
      </c>
      <c r="CF9" s="93">
        <f t="shared" ref="CF9:CF48" si="30">SUM(CD9:CE9)</f>
        <v>-6.55959651741818E-2</v>
      </c>
      <c r="CH9" s="39">
        <f t="shared" ref="CH9:CH48" si="31">IF(CI9&gt;0,((1+(CK9/CI9))^(1/($A$101-$A$100))-1)*100,0)</f>
        <v>2.4305453687403666</v>
      </c>
      <c r="CI9" s="93">
        <v>1.0610788014669583</v>
      </c>
      <c r="CJ9" s="93">
        <v>2.578945240654381E-2</v>
      </c>
      <c r="CK9" s="93">
        <v>0.28801606100837185</v>
      </c>
      <c r="CL9" s="93">
        <f t="shared" ref="CL9:CL48" si="32">SUM(CJ9:CK9)</f>
        <v>0.31380551341491564</v>
      </c>
      <c r="CM9" s="106"/>
      <c r="CN9" s="39">
        <f t="shared" ref="CN9:CN48" si="33">IF(CO9&gt;0,((1+(CQ9/CO9))^(1/($A$101-$A$100))-1)*100,0)</f>
        <v>2.1531444581060377</v>
      </c>
      <c r="CO9" s="93">
        <v>7.7189593255633515E-2</v>
      </c>
      <c r="CP9" s="93">
        <v>2.9203693398075089E-3</v>
      </c>
      <c r="CQ9" s="93">
        <v>1.8326411364656129E-2</v>
      </c>
      <c r="CR9" s="93">
        <f t="shared" ref="CR9:CR48" si="34">SUM(CP9:CQ9)</f>
        <v>2.1246780704463637E-2</v>
      </c>
      <c r="CS9" s="90" t="str">
        <f t="shared" ref="CS9:CS48" si="35">BU9</f>
        <v>Mining and quarrying</v>
      </c>
      <c r="CT9" s="39">
        <f t="shared" ref="CT9:CT48" si="36">IF(CU9&gt;0,((1+(CW9/CU9))^(1/($A$101-$A$100))-1)*100,0)</f>
        <v>2.6540810004833215</v>
      </c>
      <c r="CU9" s="11">
        <v>9.8850951354543179E-2</v>
      </c>
      <c r="CV9" s="93">
        <v>7.9946925435890021E-2</v>
      </c>
      <c r="CW9" s="93">
        <v>2.9601692390878832E-2</v>
      </c>
      <c r="CX9" s="93">
        <f t="shared" ref="CX9:CX48" si="37">SUM(CV9:CW9)</f>
        <v>0.10954861782676885</v>
      </c>
      <c r="CY9" s="93"/>
      <c r="CZ9" s="39">
        <f t="shared" ref="CZ9:CZ48" si="38">IF(DA9&gt;0,((1+(DC9/DA9))^(1/($A$101-$A$100))-1)*100,0)</f>
        <v>2.5446431599745356</v>
      </c>
      <c r="DA9" s="93">
        <v>2.7042385521836187E-2</v>
      </c>
      <c r="DB9" s="93">
        <v>-2.7042385521836187E-2</v>
      </c>
      <c r="DC9" s="93">
        <v>7.7252199909423136E-3</v>
      </c>
      <c r="DD9" s="93">
        <f t="shared" ref="DD9:DD48" si="39">SUM(DB9:DC9)</f>
        <v>-1.9317165530893875E-2</v>
      </c>
      <c r="DF9" s="39">
        <f t="shared" ref="DF9:DF48" si="40">IF(DG9&gt;0,((1+(DI9/DG9))^(1/($A$101-$A$100))-1)*100,0)</f>
        <v>2.695023478374603</v>
      </c>
      <c r="DG9" s="93">
        <v>7.1808565832706991E-2</v>
      </c>
      <c r="DH9" s="93">
        <v>0.10698931095772621</v>
      </c>
      <c r="DI9" s="93">
        <v>2.1876472399936519E-2</v>
      </c>
      <c r="DJ9" s="93">
        <f t="shared" ref="DJ9:DJ48" si="41">SUM(DH9:DI9)</f>
        <v>0.12886578335766272</v>
      </c>
      <c r="DK9" s="106"/>
      <c r="DL9" s="39">
        <f t="shared" ref="DL9:DL48" si="42">IF(DM9&gt;0,((1+(DO9/DM9))^(1/($A$101-$A$100))-1)*100,0)</f>
        <v>0</v>
      </c>
      <c r="DM9" s="93">
        <v>0</v>
      </c>
      <c r="DN9" s="93">
        <v>0</v>
      </c>
      <c r="DO9" s="93">
        <v>0</v>
      </c>
      <c r="DP9" s="93">
        <f t="shared" ref="DP9:DP48" si="43">SUM(DN9:DO9)</f>
        <v>0</v>
      </c>
    </row>
    <row r="10" spans="1:120" x14ac:dyDescent="0.2">
      <c r="A10" s="90" t="str">
        <f>name!B6</f>
        <v>Food drink and tobacco</v>
      </c>
      <c r="B10" s="39">
        <f t="shared" si="1"/>
        <v>2.4974565282579464</v>
      </c>
      <c r="C10" s="11">
        <v>95.045497362862733</v>
      </c>
      <c r="D10" s="93">
        <v>-5.3306461845042801</v>
      </c>
      <c r="E10" s="93">
        <v>26.590587472903774</v>
      </c>
      <c r="F10" s="93">
        <f t="shared" si="2"/>
        <v>21.259941288399496</v>
      </c>
      <c r="G10" s="93"/>
      <c r="H10" s="39">
        <f t="shared" si="3"/>
        <v>2.284281579929015</v>
      </c>
      <c r="I10" s="93">
        <v>28.557886141186682</v>
      </c>
      <c r="J10" s="93">
        <v>-7.0859124796803128</v>
      </c>
      <c r="K10" s="93">
        <v>7.2365107328119995</v>
      </c>
      <c r="L10" s="93">
        <f t="shared" si="4"/>
        <v>0.15059825313168673</v>
      </c>
      <c r="N10" s="39">
        <f t="shared" si="5"/>
        <v>2.4310099949182096</v>
      </c>
      <c r="O10" s="93">
        <v>47.02342038156808</v>
      </c>
      <c r="P10" s="93">
        <v>2.711005058419897</v>
      </c>
      <c r="Q10" s="93">
        <v>12.766608810353613</v>
      </c>
      <c r="R10" s="93">
        <f t="shared" si="6"/>
        <v>15.47761386877351</v>
      </c>
      <c r="S10" s="106"/>
      <c r="T10" s="39">
        <f t="shared" si="7"/>
        <v>2.9579537866369021</v>
      </c>
      <c r="U10" s="93">
        <v>19.464190840107968</v>
      </c>
      <c r="V10" s="93">
        <v>-0.95573876324386542</v>
      </c>
      <c r="W10" s="93">
        <v>6.5874679297381604</v>
      </c>
      <c r="X10" s="93">
        <f t="shared" si="8"/>
        <v>5.6317291664942948</v>
      </c>
      <c r="Y10" s="90" t="str">
        <f t="shared" si="0"/>
        <v>Food drink and tobacco</v>
      </c>
      <c r="Z10" s="39">
        <f t="shared" si="9"/>
        <v>3.1266976916814349</v>
      </c>
      <c r="AA10" s="11">
        <v>21.34292323603459</v>
      </c>
      <c r="AB10" s="93">
        <v>-5.4147809911053627E-2</v>
      </c>
      <c r="AC10" s="93">
        <v>7.6949639013979727</v>
      </c>
      <c r="AD10" s="93">
        <f t="shared" si="10"/>
        <v>7.6408160914869194</v>
      </c>
      <c r="AE10" s="93"/>
      <c r="AF10" s="39">
        <f t="shared" si="11"/>
        <v>3.009575633743844</v>
      </c>
      <c r="AG10" s="93">
        <v>1.8592043302087065</v>
      </c>
      <c r="AH10" s="93">
        <v>-0.39908371390288427</v>
      </c>
      <c r="AI10" s="93">
        <v>0.64173468922880073</v>
      </c>
      <c r="AJ10" s="93">
        <f t="shared" si="12"/>
        <v>0.24265097532591645</v>
      </c>
      <c r="AL10" s="39">
        <f t="shared" si="13"/>
        <v>3.0478152738149689</v>
      </c>
      <c r="AM10" s="93">
        <v>7.0494146420033079</v>
      </c>
      <c r="AN10" s="93">
        <v>0.77249580975616283</v>
      </c>
      <c r="AO10" s="93">
        <v>2.4684810982893786</v>
      </c>
      <c r="AP10" s="93">
        <f t="shared" si="14"/>
        <v>3.2409769080455413</v>
      </c>
      <c r="AQ10" s="106"/>
      <c r="AR10" s="39">
        <f t="shared" si="15"/>
        <v>3.1885211674371972</v>
      </c>
      <c r="AS10" s="93">
        <v>12.434304263822574</v>
      </c>
      <c r="AT10" s="93">
        <v>-0.42755990576433228</v>
      </c>
      <c r="AU10" s="93">
        <v>4.5847481138797939</v>
      </c>
      <c r="AV10" s="93">
        <f t="shared" si="16"/>
        <v>4.1571882081154614</v>
      </c>
      <c r="AW10" s="90" t="str">
        <f t="shared" si="17"/>
        <v>Food drink and tobacco</v>
      </c>
      <c r="AX10" s="39">
        <f t="shared" si="18"/>
        <v>2.5235241914950635</v>
      </c>
      <c r="AY10" s="11">
        <v>17.336358924907866</v>
      </c>
      <c r="AZ10" s="93">
        <v>-0.12728232767007444</v>
      </c>
      <c r="BA10" s="93">
        <v>4.9066304279196737</v>
      </c>
      <c r="BB10" s="93">
        <f t="shared" si="19"/>
        <v>4.7793481002495994</v>
      </c>
      <c r="BC10" s="93"/>
      <c r="BD10" s="39">
        <f t="shared" si="20"/>
        <v>2.4363702313833224</v>
      </c>
      <c r="BE10" s="93">
        <v>3.9959783673326772</v>
      </c>
      <c r="BF10" s="93">
        <v>-0.83348086360043461</v>
      </c>
      <c r="BG10" s="93">
        <v>1.0875463509002989</v>
      </c>
      <c r="BH10" s="93">
        <f t="shared" si="21"/>
        <v>0.25406548729986433</v>
      </c>
      <c r="BJ10" s="39">
        <f t="shared" si="22"/>
        <v>2.5027216432235821</v>
      </c>
      <c r="BK10" s="93">
        <v>10.073083832716854</v>
      </c>
      <c r="BL10" s="93">
        <v>1.512717786678091</v>
      </c>
      <c r="BM10" s="93">
        <v>2.8247393034036694</v>
      </c>
      <c r="BN10" s="93">
        <f t="shared" si="23"/>
        <v>4.3374570900817604</v>
      </c>
      <c r="BO10" s="106"/>
      <c r="BP10" s="39">
        <f t="shared" si="24"/>
        <v>2.6925252680388922</v>
      </c>
      <c r="BQ10" s="93">
        <v>3.2672967248583333</v>
      </c>
      <c r="BR10" s="93">
        <v>-0.80651925074773079</v>
      </c>
      <c r="BS10" s="93">
        <v>0.9943447736157055</v>
      </c>
      <c r="BT10" s="93">
        <f t="shared" si="25"/>
        <v>0.18782552286797471</v>
      </c>
      <c r="BU10" s="90" t="str">
        <f t="shared" si="26"/>
        <v>Food drink and tobacco</v>
      </c>
      <c r="BV10" s="39">
        <f t="shared" si="27"/>
        <v>2.2441836744385046</v>
      </c>
      <c r="BW10" s="11">
        <v>49.598564072912936</v>
      </c>
      <c r="BX10" s="93">
        <v>-3.6306790931946717</v>
      </c>
      <c r="BY10" s="93">
        <v>12.324896934512662</v>
      </c>
      <c r="BZ10" s="93">
        <f t="shared" si="28"/>
        <v>8.6942178413179896</v>
      </c>
      <c r="CA10" s="93"/>
      <c r="CB10" s="39">
        <f t="shared" si="29"/>
        <v>2.1888664422200721</v>
      </c>
      <c r="CC10" s="93">
        <v>19.525240563492041</v>
      </c>
      <c r="CD10" s="93">
        <v>-4.8301674544914821</v>
      </c>
      <c r="CE10" s="93">
        <v>4.7203188998071877</v>
      </c>
      <c r="CF10" s="93">
        <f t="shared" si="30"/>
        <v>-0.10984855468429444</v>
      </c>
      <c r="CH10" s="39">
        <f t="shared" si="31"/>
        <v>2.2613705769742198</v>
      </c>
      <c r="CI10" s="93">
        <v>26.537310513901321</v>
      </c>
      <c r="CJ10" s="93">
        <v>0.90730570853380754</v>
      </c>
      <c r="CK10" s="93">
        <v>6.6500717395964477</v>
      </c>
      <c r="CL10" s="93">
        <f t="shared" si="32"/>
        <v>7.5573774481302554</v>
      </c>
      <c r="CM10" s="106"/>
      <c r="CN10" s="39">
        <f t="shared" si="33"/>
        <v>2.4184670868230285</v>
      </c>
      <c r="CO10" s="93">
        <v>3.5360129955195734</v>
      </c>
      <c r="CP10" s="93">
        <v>0.29218265276300265</v>
      </c>
      <c r="CQ10" s="93">
        <v>0.95450629510902829</v>
      </c>
      <c r="CR10" s="93">
        <f t="shared" si="34"/>
        <v>1.2466889478720309</v>
      </c>
      <c r="CS10" s="90" t="str">
        <f t="shared" si="35"/>
        <v>Food drink and tobacco</v>
      </c>
      <c r="CT10" s="39">
        <f t="shared" si="36"/>
        <v>2.2228446109720412</v>
      </c>
      <c r="CU10" s="11">
        <v>6.7676511290073389</v>
      </c>
      <c r="CV10" s="93">
        <v>-1.5185369537284803</v>
      </c>
      <c r="CW10" s="93">
        <v>1.6640962090734628</v>
      </c>
      <c r="CX10" s="93">
        <f t="shared" si="37"/>
        <v>0.14555925534498249</v>
      </c>
      <c r="CY10" s="93"/>
      <c r="CZ10" s="39">
        <f t="shared" si="38"/>
        <v>2.2373089799467394</v>
      </c>
      <c r="DA10" s="93">
        <v>3.1774628801532612</v>
      </c>
      <c r="DB10" s="93">
        <v>-1.0231804476855118</v>
      </c>
      <c r="DC10" s="93">
        <v>0.78691079287571253</v>
      </c>
      <c r="DD10" s="93">
        <f t="shared" si="39"/>
        <v>-0.23626965480979922</v>
      </c>
      <c r="DF10" s="39">
        <f t="shared" si="40"/>
        <v>2.2136668085149358</v>
      </c>
      <c r="DG10" s="93">
        <v>3.3636113929465901</v>
      </c>
      <c r="DH10" s="93">
        <v>-0.48151424654816377</v>
      </c>
      <c r="DI10" s="93">
        <v>0.82331666906411805</v>
      </c>
      <c r="DJ10" s="93">
        <f t="shared" si="41"/>
        <v>0.34180242251595427</v>
      </c>
      <c r="DK10" s="106"/>
      <c r="DL10" s="39">
        <f t="shared" si="42"/>
        <v>2.1558658032539757</v>
      </c>
      <c r="DM10" s="93">
        <v>0.22657685590748641</v>
      </c>
      <c r="DN10" s="93">
        <v>-1.3842259494804953E-2</v>
      </c>
      <c r="DO10" s="93">
        <v>5.3868747133632294E-2</v>
      </c>
      <c r="DP10" s="93">
        <f t="shared" si="43"/>
        <v>4.0026487638827338E-2</v>
      </c>
    </row>
    <row r="11" spans="1:120" x14ac:dyDescent="0.2">
      <c r="A11" s="90" t="str">
        <f>name!B7</f>
        <v>Engineering</v>
      </c>
      <c r="B11" s="39">
        <f t="shared" si="1"/>
        <v>2.3974240716110096</v>
      </c>
      <c r="C11" s="11">
        <v>26.682999999999964</v>
      </c>
      <c r="D11" s="93">
        <v>2.1359999999999681</v>
      </c>
      <c r="E11" s="93">
        <v>7.1332131341977885</v>
      </c>
      <c r="F11" s="93">
        <f t="shared" si="2"/>
        <v>9.2692131341977557</v>
      </c>
      <c r="G11" s="93"/>
      <c r="H11" s="39">
        <f t="shared" si="3"/>
        <v>2.1428388473321736</v>
      </c>
      <c r="I11" s="93">
        <v>7.7290127378228242</v>
      </c>
      <c r="J11" s="93">
        <v>-0.85964814638885922</v>
      </c>
      <c r="K11" s="93">
        <v>1.8253838239565419</v>
      </c>
      <c r="L11" s="93">
        <f t="shared" si="4"/>
        <v>0.96573567756768264</v>
      </c>
      <c r="N11" s="39">
        <f t="shared" si="5"/>
        <v>2.2704847424125818</v>
      </c>
      <c r="O11" s="93">
        <v>12.694060205112665</v>
      </c>
      <c r="P11" s="93">
        <v>1.750762648197131</v>
      </c>
      <c r="Q11" s="93">
        <v>3.1952007619921963</v>
      </c>
      <c r="R11" s="93">
        <f t="shared" si="6"/>
        <v>4.9459634101893268</v>
      </c>
      <c r="S11" s="106"/>
      <c r="T11" s="39">
        <f t="shared" si="7"/>
        <v>2.9505987528880562</v>
      </c>
      <c r="U11" s="93">
        <v>6.2599270570644734</v>
      </c>
      <c r="V11" s="93">
        <v>1.2448854981916966</v>
      </c>
      <c r="W11" s="93">
        <v>2.112628548249051</v>
      </c>
      <c r="X11" s="93">
        <f t="shared" si="8"/>
        <v>3.3575140464407474</v>
      </c>
      <c r="Y11" s="90" t="str">
        <f t="shared" si="0"/>
        <v>Engineering</v>
      </c>
      <c r="Z11" s="39">
        <f t="shared" si="9"/>
        <v>2.9893837262348733</v>
      </c>
      <c r="AA11" s="11">
        <v>6.5504971882441936</v>
      </c>
      <c r="AB11" s="93">
        <v>0.7414598842641813</v>
      </c>
      <c r="AC11" s="93">
        <v>2.243753846340574</v>
      </c>
      <c r="AD11" s="93">
        <f t="shared" si="10"/>
        <v>2.9852137306047553</v>
      </c>
      <c r="AE11" s="93"/>
      <c r="AF11" s="39">
        <f t="shared" si="11"/>
        <v>2.6484123810696314</v>
      </c>
      <c r="AG11" s="93">
        <v>0.62605054755772271</v>
      </c>
      <c r="AH11" s="93">
        <v>-4.0708044204614172E-2</v>
      </c>
      <c r="AI11" s="93">
        <v>0.18702662236296508</v>
      </c>
      <c r="AJ11" s="93">
        <f t="shared" si="12"/>
        <v>0.14631857815835092</v>
      </c>
      <c r="AL11" s="39">
        <f t="shared" si="13"/>
        <v>2.8200029669356086</v>
      </c>
      <c r="AM11" s="93">
        <v>1.9725323922654858</v>
      </c>
      <c r="AN11" s="93">
        <v>5.7186726837409781E-2</v>
      </c>
      <c r="AO11" s="93">
        <v>0.63242284192617815</v>
      </c>
      <c r="AP11" s="93">
        <f t="shared" si="14"/>
        <v>0.68960956876358792</v>
      </c>
      <c r="AQ11" s="106"/>
      <c r="AR11" s="39">
        <f t="shared" si="15"/>
        <v>3.1257074628290971</v>
      </c>
      <c r="AS11" s="93">
        <v>3.9519142484209846</v>
      </c>
      <c r="AT11" s="93">
        <v>0.72498120163138557</v>
      </c>
      <c r="AU11" s="93">
        <v>1.4243043820514307</v>
      </c>
      <c r="AV11" s="93">
        <f t="shared" si="16"/>
        <v>2.1492855836828162</v>
      </c>
      <c r="AW11" s="90" t="str">
        <f t="shared" si="17"/>
        <v>Engineering</v>
      </c>
      <c r="AX11" s="39">
        <f t="shared" si="18"/>
        <v>2.6610076636430335</v>
      </c>
      <c r="AY11" s="11">
        <v>3.2443503982662985</v>
      </c>
      <c r="AZ11" s="93">
        <v>0.14772454699359541</v>
      </c>
      <c r="BA11" s="93">
        <v>0.97439173559588765</v>
      </c>
      <c r="BB11" s="93">
        <f t="shared" si="19"/>
        <v>1.122116282589483</v>
      </c>
      <c r="BC11" s="93"/>
      <c r="BD11" s="39">
        <f t="shared" si="20"/>
        <v>2.5177966298219889</v>
      </c>
      <c r="BE11" s="93">
        <v>0.76061810370622518</v>
      </c>
      <c r="BF11" s="93">
        <v>-8.6613615501482388E-2</v>
      </c>
      <c r="BG11" s="93">
        <v>0.21472921204151713</v>
      </c>
      <c r="BH11" s="93">
        <f t="shared" si="21"/>
        <v>0.12811559654003474</v>
      </c>
      <c r="BJ11" s="39">
        <f t="shared" si="22"/>
        <v>2.6414518363808703</v>
      </c>
      <c r="BK11" s="93">
        <v>1.3612202522776553</v>
      </c>
      <c r="BL11" s="93">
        <v>-9.1457270541903425E-3</v>
      </c>
      <c r="BM11" s="93">
        <v>0.40545313032121294</v>
      </c>
      <c r="BN11" s="93">
        <f t="shared" si="23"/>
        <v>0.39630740326702257</v>
      </c>
      <c r="BO11" s="106"/>
      <c r="BP11" s="39">
        <f t="shared" si="24"/>
        <v>2.7805073211446985</v>
      </c>
      <c r="BQ11" s="93">
        <v>1.122512042282418</v>
      </c>
      <c r="BR11" s="93">
        <v>0.24348388954926817</v>
      </c>
      <c r="BS11" s="93">
        <v>0.35420939323315764</v>
      </c>
      <c r="BT11" s="93">
        <f t="shared" si="25"/>
        <v>0.59769328278242584</v>
      </c>
      <c r="BU11" s="90" t="str">
        <f t="shared" si="26"/>
        <v>Engineering</v>
      </c>
      <c r="BV11" s="39">
        <f t="shared" si="27"/>
        <v>2.0986442989320508</v>
      </c>
      <c r="BW11" s="11">
        <v>15.307841962071205</v>
      </c>
      <c r="BX11" s="93">
        <v>0.41022057712335003</v>
      </c>
      <c r="BY11" s="93">
        <v>3.5335820893340286</v>
      </c>
      <c r="BZ11" s="93">
        <f t="shared" si="28"/>
        <v>3.9438026664573789</v>
      </c>
      <c r="CA11" s="93"/>
      <c r="CB11" s="39">
        <f t="shared" si="29"/>
        <v>2.0210770566263747</v>
      </c>
      <c r="CC11" s="93">
        <v>5.8033468392667986</v>
      </c>
      <c r="CD11" s="93">
        <v>-0.34664652297871712</v>
      </c>
      <c r="CE11" s="93">
        <v>1.2855322454287512</v>
      </c>
      <c r="CF11" s="93">
        <f t="shared" si="30"/>
        <v>0.9388857224500341</v>
      </c>
      <c r="CH11" s="39">
        <f t="shared" si="31"/>
        <v>2.0955416811876404</v>
      </c>
      <c r="CI11" s="93">
        <v>8.3881190579667813</v>
      </c>
      <c r="CJ11" s="93">
        <v>0.46878350843430538</v>
      </c>
      <c r="CK11" s="93">
        <v>1.9331324937867693</v>
      </c>
      <c r="CL11" s="93">
        <f t="shared" si="32"/>
        <v>2.4019160022210748</v>
      </c>
      <c r="CM11" s="106"/>
      <c r="CN11" s="39">
        <f t="shared" si="33"/>
        <v>2.5160385347847258</v>
      </c>
      <c r="CO11" s="93">
        <v>1.1163760648376253</v>
      </c>
      <c r="CP11" s="93">
        <v>0.28808359166776182</v>
      </c>
      <c r="CQ11" s="93">
        <v>0.31491735011850813</v>
      </c>
      <c r="CR11" s="93">
        <f t="shared" si="34"/>
        <v>0.60300094178626995</v>
      </c>
      <c r="CS11" s="90" t="str">
        <f t="shared" si="35"/>
        <v>Engineering</v>
      </c>
      <c r="CT11" s="39">
        <f t="shared" si="36"/>
        <v>2.1859392974191483</v>
      </c>
      <c r="CU11" s="11">
        <v>1.5803104514182647</v>
      </c>
      <c r="CV11" s="93">
        <v>0.83659499161884154</v>
      </c>
      <c r="CW11" s="93">
        <v>0.38148546292729896</v>
      </c>
      <c r="CX11" s="93">
        <f t="shared" si="37"/>
        <v>1.2180804545461406</v>
      </c>
      <c r="CY11" s="93"/>
      <c r="CZ11" s="39">
        <f t="shared" si="38"/>
        <v>2.307194889511166</v>
      </c>
      <c r="DA11" s="93">
        <v>0.53899724729207821</v>
      </c>
      <c r="DB11" s="93">
        <v>-0.3856799637040455</v>
      </c>
      <c r="DC11" s="93">
        <v>0.13809574412330866</v>
      </c>
      <c r="DD11" s="93">
        <f t="shared" si="39"/>
        <v>-0.24758421958073684</v>
      </c>
      <c r="DF11" s="39">
        <f t="shared" si="40"/>
        <v>2.0967447677556317</v>
      </c>
      <c r="DG11" s="93">
        <v>0.97218850260274148</v>
      </c>
      <c r="DH11" s="93">
        <v>1.2339381399796061</v>
      </c>
      <c r="DI11" s="93">
        <v>0.22419229595803594</v>
      </c>
      <c r="DJ11" s="93">
        <f t="shared" si="41"/>
        <v>1.4581304359376421</v>
      </c>
      <c r="DK11" s="106"/>
      <c r="DL11" s="39">
        <f t="shared" si="42"/>
        <v>2.4810635165479544</v>
      </c>
      <c r="DM11" s="93">
        <v>6.9124701523444784E-2</v>
      </c>
      <c r="DN11" s="93">
        <v>-1.1663184656719028E-2</v>
      </c>
      <c r="DO11" s="93">
        <v>1.9197422845954378E-2</v>
      </c>
      <c r="DP11" s="93">
        <f t="shared" si="43"/>
        <v>7.53423818923535E-3</v>
      </c>
    </row>
    <row r="12" spans="1:120" x14ac:dyDescent="0.2">
      <c r="A12" s="90" t="str">
        <f>name!B8</f>
        <v>Rest of manufacturing</v>
      </c>
      <c r="B12" s="39">
        <f t="shared" si="1"/>
        <v>2.6164350010096316</v>
      </c>
      <c r="C12" s="11">
        <v>42.15199999999993</v>
      </c>
      <c r="D12" s="93">
        <v>-3.3299999999999712</v>
      </c>
      <c r="E12" s="93">
        <v>12.422204390941479</v>
      </c>
      <c r="F12" s="93">
        <f t="shared" si="2"/>
        <v>9.0922043909415073</v>
      </c>
      <c r="G12" s="93"/>
      <c r="H12" s="39">
        <f t="shared" si="3"/>
        <v>2.4469808961299799</v>
      </c>
      <c r="I12" s="93">
        <v>9.6089439679508644</v>
      </c>
      <c r="J12" s="93">
        <v>-2.1975561779706503</v>
      </c>
      <c r="K12" s="93">
        <v>2.6278403106316235</v>
      </c>
      <c r="L12" s="93">
        <f t="shared" si="4"/>
        <v>0.43028413266097321</v>
      </c>
      <c r="N12" s="39">
        <f t="shared" si="5"/>
        <v>2.5333579555699037</v>
      </c>
      <c r="O12" s="93">
        <v>22.575808590792999</v>
      </c>
      <c r="P12" s="93">
        <v>-0.95500589125711122</v>
      </c>
      <c r="Q12" s="93">
        <v>6.4173226387381153</v>
      </c>
      <c r="R12" s="93">
        <f t="shared" si="6"/>
        <v>5.4623167474810037</v>
      </c>
      <c r="S12" s="106"/>
      <c r="T12" s="39">
        <f t="shared" si="7"/>
        <v>2.9608263556274439</v>
      </c>
      <c r="U12" s="93">
        <v>9.9672474412560668</v>
      </c>
      <c r="V12" s="93">
        <v>-0.17743793077220946</v>
      </c>
      <c r="W12" s="93">
        <v>3.3770414415717394</v>
      </c>
      <c r="X12" s="93">
        <f t="shared" si="8"/>
        <v>3.19960351079953</v>
      </c>
      <c r="Y12" s="90" t="str">
        <f t="shared" si="0"/>
        <v>Rest of manufacturing</v>
      </c>
      <c r="Z12" s="39">
        <f t="shared" si="9"/>
        <v>2.9763942733826543</v>
      </c>
      <c r="AA12" s="11">
        <v>10.498945664126412</v>
      </c>
      <c r="AB12" s="93">
        <v>0.34529888283838883</v>
      </c>
      <c r="AC12" s="93">
        <v>3.5784558313106598</v>
      </c>
      <c r="AD12" s="93">
        <f t="shared" si="10"/>
        <v>3.9237547141490485</v>
      </c>
      <c r="AE12" s="93"/>
      <c r="AF12" s="39">
        <f t="shared" si="11"/>
        <v>2.7040649618628176</v>
      </c>
      <c r="AG12" s="93">
        <v>0.75816764967198691</v>
      </c>
      <c r="AH12" s="93">
        <v>-0.14426412804349217</v>
      </c>
      <c r="AI12" s="93">
        <v>0.23184690614128767</v>
      </c>
      <c r="AJ12" s="93">
        <f t="shared" si="12"/>
        <v>8.7582778097795494E-2</v>
      </c>
      <c r="AL12" s="39">
        <f t="shared" si="13"/>
        <v>2.8324908960291717</v>
      </c>
      <c r="AM12" s="93">
        <v>3.7458067354035878</v>
      </c>
      <c r="AN12" s="93">
        <v>-2.1430511128079324E-2</v>
      </c>
      <c r="AO12" s="93">
        <v>1.2069719734322446</v>
      </c>
      <c r="AP12" s="93">
        <f t="shared" si="14"/>
        <v>1.1855414623041653</v>
      </c>
      <c r="AQ12" s="106"/>
      <c r="AR12" s="39">
        <f t="shared" si="15"/>
        <v>3.0991188393576063</v>
      </c>
      <c r="AS12" s="93">
        <v>5.9949712790508363</v>
      </c>
      <c r="AT12" s="93">
        <v>0.51099352200996029</v>
      </c>
      <c r="AU12" s="93">
        <v>2.1396369517371276</v>
      </c>
      <c r="AV12" s="93">
        <f t="shared" si="16"/>
        <v>2.6506304737470878</v>
      </c>
      <c r="AW12" s="90" t="str">
        <f t="shared" si="17"/>
        <v>Rest of manufacturing</v>
      </c>
      <c r="AX12" s="39">
        <f t="shared" si="18"/>
        <v>2.667464938337738</v>
      </c>
      <c r="AY12" s="11">
        <v>4.3775371772570599</v>
      </c>
      <c r="AZ12" s="93">
        <v>-1.2645538867862174</v>
      </c>
      <c r="BA12" s="93">
        <v>1.3183086935944921</v>
      </c>
      <c r="BB12" s="93">
        <f t="shared" si="19"/>
        <v>5.3754806808274713E-2</v>
      </c>
      <c r="BC12" s="93"/>
      <c r="BD12" s="39">
        <f t="shared" si="20"/>
        <v>2.5806373974742502</v>
      </c>
      <c r="BE12" s="93">
        <v>0.50445012564800362</v>
      </c>
      <c r="BF12" s="93">
        <v>-0.13667993756951582</v>
      </c>
      <c r="BG12" s="93">
        <v>0.14638677364194702</v>
      </c>
      <c r="BH12" s="93">
        <f t="shared" si="21"/>
        <v>9.7068360724311964E-3</v>
      </c>
      <c r="BJ12" s="39">
        <f t="shared" si="22"/>
        <v>2.6049115123564892</v>
      </c>
      <c r="BK12" s="93">
        <v>2.2466979729709307</v>
      </c>
      <c r="BL12" s="93">
        <v>-0.58280055442252565</v>
      </c>
      <c r="BM12" s="93">
        <v>0.65883758800710124</v>
      </c>
      <c r="BN12" s="93">
        <f t="shared" si="23"/>
        <v>7.6037033584575586E-2</v>
      </c>
      <c r="BO12" s="106"/>
      <c r="BP12" s="39">
        <f t="shared" si="24"/>
        <v>2.779912687566588</v>
      </c>
      <c r="BQ12" s="93">
        <v>1.6263890786381248</v>
      </c>
      <c r="BR12" s="93">
        <v>-0.54507339479417605</v>
      </c>
      <c r="BS12" s="93">
        <v>0.51308433194544378</v>
      </c>
      <c r="BT12" s="93">
        <f t="shared" si="25"/>
        <v>-3.1989062848732264E-2</v>
      </c>
      <c r="BU12" s="90" t="str">
        <f t="shared" si="26"/>
        <v>Rest of manufacturing</v>
      </c>
      <c r="BV12" s="39">
        <f t="shared" si="27"/>
        <v>2.4731834060013336</v>
      </c>
      <c r="BW12" s="11">
        <v>26.112763020344723</v>
      </c>
      <c r="BX12" s="93">
        <v>-1.8174984546461121</v>
      </c>
      <c r="BY12" s="93">
        <v>7.2264319158956178</v>
      </c>
      <c r="BZ12" s="93">
        <f t="shared" si="28"/>
        <v>5.4089334612495055</v>
      </c>
      <c r="CA12" s="93"/>
      <c r="CB12" s="39">
        <f t="shared" si="29"/>
        <v>2.4168124747555364</v>
      </c>
      <c r="CC12" s="93">
        <v>7.7759473470029352</v>
      </c>
      <c r="CD12" s="93">
        <v>-1.7158164744931881</v>
      </c>
      <c r="CE12" s="93">
        <v>2.0974328886080462</v>
      </c>
      <c r="CF12" s="93">
        <f t="shared" si="30"/>
        <v>0.38161641411485814</v>
      </c>
      <c r="CH12" s="39">
        <f t="shared" si="31"/>
        <v>2.4638206980051702</v>
      </c>
      <c r="CI12" s="93">
        <v>16.01397145403611</v>
      </c>
      <c r="CJ12" s="93">
        <v>5.414488253187176E-2</v>
      </c>
      <c r="CK12" s="93">
        <v>4.4130248025048795</v>
      </c>
      <c r="CL12" s="93">
        <f t="shared" si="32"/>
        <v>4.467169685036751</v>
      </c>
      <c r="CM12" s="106"/>
      <c r="CN12" s="39">
        <f t="shared" si="33"/>
        <v>2.7231827177615964</v>
      </c>
      <c r="CO12" s="93">
        <v>2.3228442193056784</v>
      </c>
      <c r="CP12" s="93">
        <v>-0.15582686268479601</v>
      </c>
      <c r="CQ12" s="93">
        <v>0.71597422478269179</v>
      </c>
      <c r="CR12" s="93">
        <f t="shared" si="34"/>
        <v>0.56014736209789584</v>
      </c>
      <c r="CS12" s="90" t="str">
        <f t="shared" si="35"/>
        <v>Rest of manufacturing</v>
      </c>
      <c r="CT12" s="39">
        <f t="shared" si="36"/>
        <v>2.3148990339762587</v>
      </c>
      <c r="CU12" s="11">
        <v>1.1627541382717359</v>
      </c>
      <c r="CV12" s="93">
        <v>-0.59324654140603028</v>
      </c>
      <c r="CW12" s="93">
        <v>0.2990079501407093</v>
      </c>
      <c r="CX12" s="93">
        <f t="shared" si="37"/>
        <v>-0.29423859126532098</v>
      </c>
      <c r="CY12" s="93"/>
      <c r="CZ12" s="39">
        <f t="shared" si="38"/>
        <v>2.3930795875785948</v>
      </c>
      <c r="DA12" s="93">
        <v>0.57037884562794017</v>
      </c>
      <c r="DB12" s="93">
        <v>-0.20079563786445448</v>
      </c>
      <c r="DC12" s="93">
        <v>0.15217374224034305</v>
      </c>
      <c r="DD12" s="93">
        <f t="shared" si="39"/>
        <v>-4.8621895624111428E-2</v>
      </c>
      <c r="DF12" s="39">
        <f t="shared" si="40"/>
        <v>2.201138550303483</v>
      </c>
      <c r="DG12" s="93">
        <v>0.56933242838237019</v>
      </c>
      <c r="DH12" s="93">
        <v>-0.40491970823837808</v>
      </c>
      <c r="DI12" s="93">
        <v>0.13848827479389025</v>
      </c>
      <c r="DJ12" s="93">
        <f t="shared" si="41"/>
        <v>-0.26643143344448783</v>
      </c>
      <c r="DK12" s="106"/>
      <c r="DL12" s="39">
        <f t="shared" si="42"/>
        <v>3.1392149650770529</v>
      </c>
      <c r="DM12" s="93">
        <v>2.3042864261425509E-2</v>
      </c>
      <c r="DN12" s="93">
        <v>1.2468804696802241E-2</v>
      </c>
      <c r="DO12" s="93">
        <v>8.3459331064760084E-3</v>
      </c>
      <c r="DP12" s="93">
        <f t="shared" si="43"/>
        <v>2.0814737803278249E-2</v>
      </c>
    </row>
    <row r="13" spans="1:120" x14ac:dyDescent="0.2">
      <c r="A13" s="90" t="str">
        <f>name!B9</f>
        <v>Electricity and gas</v>
      </c>
      <c r="B13" s="39">
        <f t="shared" si="1"/>
        <v>2.751547529508569</v>
      </c>
      <c r="C13" s="11">
        <v>5.0589999999999913</v>
      </c>
      <c r="D13" s="93">
        <v>2.0489999999999946</v>
      </c>
      <c r="E13" s="93">
        <v>1.5776420433154477</v>
      </c>
      <c r="F13" s="93">
        <f t="shared" si="2"/>
        <v>3.6266420433154423</v>
      </c>
      <c r="G13" s="93"/>
      <c r="H13" s="39">
        <f t="shared" si="3"/>
        <v>2.5733600826927994</v>
      </c>
      <c r="I13" s="93">
        <v>0.31361419735656709</v>
      </c>
      <c r="J13" s="93">
        <v>7.8773033073184756E-2</v>
      </c>
      <c r="K13" s="93">
        <v>9.0720990468516644E-2</v>
      </c>
      <c r="L13" s="93">
        <f t="shared" si="4"/>
        <v>0.1694940235417014</v>
      </c>
      <c r="N13" s="39">
        <f t="shared" si="5"/>
        <v>2.5323926518590278</v>
      </c>
      <c r="O13" s="93">
        <v>1.1279969424904663</v>
      </c>
      <c r="P13" s="93">
        <v>0.17361487914005555</v>
      </c>
      <c r="Q13" s="93">
        <v>0.32050420132079388</v>
      </c>
      <c r="R13" s="93">
        <f t="shared" si="6"/>
        <v>0.4941190804608494</v>
      </c>
      <c r="S13" s="106"/>
      <c r="T13" s="39">
        <f t="shared" si="7"/>
        <v>2.8342615174113073</v>
      </c>
      <c r="U13" s="93">
        <v>3.6173888601529574</v>
      </c>
      <c r="V13" s="93">
        <v>1.7966120877867537</v>
      </c>
      <c r="W13" s="93">
        <v>1.1664168515261377</v>
      </c>
      <c r="X13" s="93">
        <f t="shared" si="8"/>
        <v>2.9630289393128915</v>
      </c>
      <c r="Y13" s="90" t="str">
        <f t="shared" si="0"/>
        <v>Electricity and gas</v>
      </c>
      <c r="Z13" s="39">
        <f t="shared" si="9"/>
        <v>2.8458192992028453</v>
      </c>
      <c r="AA13" s="11">
        <v>3.4150679378844369</v>
      </c>
      <c r="AB13" s="93">
        <v>1.4840300025780557</v>
      </c>
      <c r="AC13" s="93">
        <v>1.1062575228637768</v>
      </c>
      <c r="AD13" s="93">
        <f t="shared" si="10"/>
        <v>2.5902875254418323</v>
      </c>
      <c r="AE13" s="93"/>
      <c r="AF13" s="39">
        <f t="shared" si="11"/>
        <v>2.7430555154363878</v>
      </c>
      <c r="AG13" s="93">
        <v>0.11612647673624334</v>
      </c>
      <c r="AH13" s="93">
        <v>0.11035323287716786</v>
      </c>
      <c r="AI13" s="93">
        <v>3.6088022100809053E-2</v>
      </c>
      <c r="AJ13" s="93">
        <f t="shared" si="12"/>
        <v>0.14644125497797691</v>
      </c>
      <c r="AL13" s="39">
        <f t="shared" si="13"/>
        <v>2.6040221070196878</v>
      </c>
      <c r="AM13" s="93">
        <v>0.78807550212350175</v>
      </c>
      <c r="AN13" s="93">
        <v>0.1640515512066609</v>
      </c>
      <c r="AO13" s="93">
        <v>0.23101248718210923</v>
      </c>
      <c r="AP13" s="93">
        <f t="shared" si="14"/>
        <v>0.39506403838877013</v>
      </c>
      <c r="AQ13" s="106"/>
      <c r="AR13" s="39">
        <f t="shared" si="15"/>
        <v>2.9253673336995467</v>
      </c>
      <c r="AS13" s="93">
        <v>2.510865959024692</v>
      </c>
      <c r="AT13" s="93">
        <v>1.2096252184942269</v>
      </c>
      <c r="AU13" s="93">
        <v>0.83915701358085859</v>
      </c>
      <c r="AV13" s="93">
        <f t="shared" si="16"/>
        <v>2.0487822320750855</v>
      </c>
      <c r="AW13" s="90" t="str">
        <f t="shared" si="17"/>
        <v>Electricity and gas</v>
      </c>
      <c r="AX13" s="39">
        <f t="shared" si="18"/>
        <v>2.7527088286745105</v>
      </c>
      <c r="AY13" s="11">
        <v>0.957602688269793</v>
      </c>
      <c r="AZ13" s="93">
        <v>0.25026458116444267</v>
      </c>
      <c r="BA13" s="93">
        <v>0.29876903958455009</v>
      </c>
      <c r="BB13" s="93">
        <f t="shared" si="19"/>
        <v>0.54903362074899276</v>
      </c>
      <c r="BC13" s="93"/>
      <c r="BD13" s="39">
        <f t="shared" si="20"/>
        <v>2.6027440742423469</v>
      </c>
      <c r="BE13" s="93">
        <v>6.6675648433861312E-2</v>
      </c>
      <c r="BF13" s="93">
        <v>1.2223965695389253E-2</v>
      </c>
      <c r="BG13" s="93">
        <v>1.953422506429308E-2</v>
      </c>
      <c r="BH13" s="93">
        <f t="shared" si="21"/>
        <v>3.1758190759682337E-2</v>
      </c>
      <c r="BJ13" s="39">
        <f t="shared" si="22"/>
        <v>2.595302754086215</v>
      </c>
      <c r="BK13" s="93">
        <v>0.10025366029317774</v>
      </c>
      <c r="BL13" s="93">
        <v>-4.2143802914000279E-2</v>
      </c>
      <c r="BM13" s="93">
        <v>2.9277725477586596E-2</v>
      </c>
      <c r="BN13" s="93">
        <f t="shared" si="23"/>
        <v>-1.2866077436413683E-2</v>
      </c>
      <c r="BO13" s="106"/>
      <c r="BP13" s="39">
        <f t="shared" si="24"/>
        <v>2.7850477621075731</v>
      </c>
      <c r="BQ13" s="93">
        <v>0.79067337954275396</v>
      </c>
      <c r="BR13" s="93">
        <v>0.28018441838305369</v>
      </c>
      <c r="BS13" s="93">
        <v>0.24995708904267042</v>
      </c>
      <c r="BT13" s="93">
        <f t="shared" si="25"/>
        <v>0.53014150742572408</v>
      </c>
      <c r="BU13" s="90" t="str">
        <f t="shared" si="26"/>
        <v>Electricity and gas</v>
      </c>
      <c r="BV13" s="39">
        <f t="shared" si="27"/>
        <v>2.30166568848158</v>
      </c>
      <c r="BW13" s="11">
        <v>0.58372112403374876</v>
      </c>
      <c r="BX13" s="93">
        <v>0.29400518186205293</v>
      </c>
      <c r="BY13" s="93">
        <v>0.14915818412575702</v>
      </c>
      <c r="BZ13" s="93">
        <f t="shared" si="28"/>
        <v>0.44316336598780992</v>
      </c>
      <c r="CA13" s="93"/>
      <c r="CB13" s="39">
        <f t="shared" si="29"/>
        <v>2.5209593858770862</v>
      </c>
      <c r="CC13" s="93">
        <v>7.9538399802440748E-2</v>
      </c>
      <c r="CD13" s="93">
        <v>-3.8996824091237468E-2</v>
      </c>
      <c r="CE13" s="93">
        <v>2.2485863083774052E-2</v>
      </c>
      <c r="CF13" s="93">
        <f t="shared" si="30"/>
        <v>-1.6510961007463416E-2</v>
      </c>
      <c r="CH13" s="39">
        <f t="shared" si="31"/>
        <v>2.2948013168675008</v>
      </c>
      <c r="CI13" s="93">
        <v>0.22333516849225249</v>
      </c>
      <c r="CJ13" s="93">
        <v>4.7374479843118752E-2</v>
      </c>
      <c r="CK13" s="93">
        <v>5.6880714680897067E-2</v>
      </c>
      <c r="CL13" s="93">
        <f t="shared" si="32"/>
        <v>0.10425519452401583</v>
      </c>
      <c r="CM13" s="106"/>
      <c r="CN13" s="39">
        <f t="shared" si="33"/>
        <v>2.2442696745849977</v>
      </c>
      <c r="CO13" s="93">
        <v>0.28084755573905562</v>
      </c>
      <c r="CP13" s="93">
        <v>0.28562752611017167</v>
      </c>
      <c r="CQ13" s="93">
        <v>6.9791606361085889E-2</v>
      </c>
      <c r="CR13" s="93">
        <f t="shared" si="34"/>
        <v>0.35541913247125756</v>
      </c>
      <c r="CS13" s="90" t="str">
        <f t="shared" si="35"/>
        <v>Electricity and gas</v>
      </c>
      <c r="CT13" s="39">
        <f t="shared" si="36"/>
        <v>2.0801766936642485</v>
      </c>
      <c r="CU13" s="11">
        <v>0.10260824981201205</v>
      </c>
      <c r="CV13" s="93">
        <v>2.0700234395443017E-2</v>
      </c>
      <c r="CW13" s="93">
        <v>2.3457296741363907E-2</v>
      </c>
      <c r="CX13" s="93">
        <f t="shared" si="37"/>
        <v>4.4157531136806927E-2</v>
      </c>
      <c r="CY13" s="93"/>
      <c r="CZ13" s="39">
        <f t="shared" si="38"/>
        <v>2.2236780417191238</v>
      </c>
      <c r="DA13" s="93">
        <v>5.1273672384021723E-2</v>
      </c>
      <c r="DB13" s="93">
        <v>-4.8073414081348711E-3</v>
      </c>
      <c r="DC13" s="93">
        <v>1.2612880219640452E-2</v>
      </c>
      <c r="DD13" s="93">
        <f t="shared" si="39"/>
        <v>7.8055388115055805E-3</v>
      </c>
      <c r="DF13" s="39">
        <f t="shared" si="40"/>
        <v>1.8745697006633089</v>
      </c>
      <c r="DG13" s="93">
        <v>1.6332611581534422E-2</v>
      </c>
      <c r="DH13" s="93">
        <v>4.3326510042762225E-3</v>
      </c>
      <c r="DI13" s="93">
        <v>3.3332739802009429E-3</v>
      </c>
      <c r="DJ13" s="93">
        <f t="shared" si="41"/>
        <v>7.6659249844771658E-3</v>
      </c>
      <c r="DK13" s="106"/>
      <c r="DL13" s="39">
        <f t="shared" si="42"/>
        <v>1.9631026785993377</v>
      </c>
      <c r="DM13" s="93">
        <v>3.5001965846455901E-2</v>
      </c>
      <c r="DN13" s="93">
        <v>2.1174924799301664E-2</v>
      </c>
      <c r="DO13" s="93">
        <v>7.5111425415225128E-3</v>
      </c>
      <c r="DP13" s="93">
        <f t="shared" si="43"/>
        <v>2.8686067340824177E-2</v>
      </c>
    </row>
    <row r="14" spans="1:120" x14ac:dyDescent="0.2">
      <c r="A14" s="90" t="str">
        <f>name!B10</f>
        <v>Water and sewerage</v>
      </c>
      <c r="B14" s="39">
        <f t="shared" si="1"/>
        <v>2.6630267727114409</v>
      </c>
      <c r="C14" s="11">
        <v>34.689999999999941</v>
      </c>
      <c r="D14" s="93">
        <v>3.4039999999999937</v>
      </c>
      <c r="E14" s="93">
        <v>10.427491197200341</v>
      </c>
      <c r="F14" s="93">
        <f t="shared" si="2"/>
        <v>13.831491197200336</v>
      </c>
      <c r="G14" s="93"/>
      <c r="H14" s="39">
        <f t="shared" si="3"/>
        <v>2.3746340922261355</v>
      </c>
      <c r="I14" s="93">
        <v>2.9582746497764263</v>
      </c>
      <c r="J14" s="93">
        <v>-1.2426718264022578</v>
      </c>
      <c r="K14" s="93">
        <v>0.78250491573356684</v>
      </c>
      <c r="L14" s="93">
        <f t="shared" si="4"/>
        <v>-0.46016691066869098</v>
      </c>
      <c r="N14" s="39">
        <f t="shared" si="5"/>
        <v>2.45146859998846</v>
      </c>
      <c r="O14" s="93">
        <v>15.931406757331569</v>
      </c>
      <c r="P14" s="93">
        <v>2.6141692288467828</v>
      </c>
      <c r="Q14" s="93">
        <v>4.3657875010183442</v>
      </c>
      <c r="R14" s="93">
        <f t="shared" si="6"/>
        <v>6.9799567298651271</v>
      </c>
      <c r="S14" s="106"/>
      <c r="T14" s="39">
        <f t="shared" si="7"/>
        <v>2.9246696914869474</v>
      </c>
      <c r="U14" s="93">
        <v>15.800318592891939</v>
      </c>
      <c r="V14" s="93">
        <v>2.0325025975554691</v>
      </c>
      <c r="W14" s="93">
        <v>5.2791987804484268</v>
      </c>
      <c r="X14" s="93">
        <f t="shared" si="8"/>
        <v>7.311701378003896</v>
      </c>
      <c r="Y14" s="90" t="str">
        <f t="shared" si="0"/>
        <v>Water and sewerage</v>
      </c>
      <c r="Z14" s="39">
        <f t="shared" si="9"/>
        <v>2.8935452968317898</v>
      </c>
      <c r="AA14" s="11">
        <v>20.179018387941738</v>
      </c>
      <c r="AB14" s="93">
        <v>3.7043393079638052</v>
      </c>
      <c r="AC14" s="93">
        <v>6.6609099076503337</v>
      </c>
      <c r="AD14" s="93">
        <f t="shared" si="10"/>
        <v>10.365249215614138</v>
      </c>
      <c r="AE14" s="93"/>
      <c r="AF14" s="39">
        <f t="shared" si="11"/>
        <v>2.7725711511966233</v>
      </c>
      <c r="AG14" s="93">
        <v>0.72465647374450293</v>
      </c>
      <c r="AH14" s="93">
        <v>-0.21196589918901296</v>
      </c>
      <c r="AI14" s="93">
        <v>0.227929964406863</v>
      </c>
      <c r="AJ14" s="93">
        <f t="shared" si="12"/>
        <v>1.5964065217850043E-2</v>
      </c>
      <c r="AL14" s="39">
        <f t="shared" si="13"/>
        <v>2.6836776039042443</v>
      </c>
      <c r="AM14" s="93">
        <v>7.1689586080821419</v>
      </c>
      <c r="AN14" s="93">
        <v>1.9626686993660245</v>
      </c>
      <c r="AO14" s="93">
        <v>2.1736943685039085</v>
      </c>
      <c r="AP14" s="93">
        <f t="shared" si="14"/>
        <v>4.136363067869933</v>
      </c>
      <c r="AQ14" s="106"/>
      <c r="AR14" s="39">
        <f t="shared" si="15"/>
        <v>3.0212745785094253</v>
      </c>
      <c r="AS14" s="93">
        <v>12.285403306115091</v>
      </c>
      <c r="AT14" s="93">
        <v>1.9536365077867941</v>
      </c>
      <c r="AU14" s="93">
        <v>4.2592855747395628</v>
      </c>
      <c r="AV14" s="93">
        <f t="shared" si="16"/>
        <v>6.2129220825263571</v>
      </c>
      <c r="AW14" s="90" t="str">
        <f t="shared" si="17"/>
        <v>Water and sewerage</v>
      </c>
      <c r="AX14" s="39">
        <f t="shared" si="18"/>
        <v>2.6934634376716282</v>
      </c>
      <c r="AY14" s="11">
        <v>3.8772019161776843</v>
      </c>
      <c r="AZ14" s="93">
        <v>-0.76962711358062519</v>
      </c>
      <c r="BA14" s="93">
        <v>1.1804208080754564</v>
      </c>
      <c r="BB14" s="93">
        <f t="shared" si="19"/>
        <v>0.41079369449483116</v>
      </c>
      <c r="BC14" s="93"/>
      <c r="BD14" s="39">
        <f t="shared" si="20"/>
        <v>2.5916879181504093</v>
      </c>
      <c r="BE14" s="93">
        <v>0.39518397605304539</v>
      </c>
      <c r="BF14" s="93">
        <v>-0.11728323585066727</v>
      </c>
      <c r="BG14" s="93">
        <v>0.11522826186981429</v>
      </c>
      <c r="BH14" s="93">
        <f t="shared" si="21"/>
        <v>-2.0549739808529838E-3</v>
      </c>
      <c r="BJ14" s="39">
        <f t="shared" si="22"/>
        <v>2.6108631762737033</v>
      </c>
      <c r="BK14" s="93">
        <v>1.6388021332720251</v>
      </c>
      <c r="BL14" s="93">
        <v>-0.45140915346675231</v>
      </c>
      <c r="BM14" s="93">
        <v>0.48180359544498619</v>
      </c>
      <c r="BN14" s="93">
        <f t="shared" si="23"/>
        <v>3.0394441978233877E-2</v>
      </c>
      <c r="BO14" s="106"/>
      <c r="BP14" s="39">
        <f t="shared" si="24"/>
        <v>2.7879692353027563</v>
      </c>
      <c r="BQ14" s="93">
        <v>1.8432158068526141</v>
      </c>
      <c r="BR14" s="93">
        <v>-0.20093472426320558</v>
      </c>
      <c r="BS14" s="93">
        <v>0.58338895076065578</v>
      </c>
      <c r="BT14" s="93">
        <f t="shared" si="25"/>
        <v>0.3824542264974502</v>
      </c>
      <c r="BU14" s="90" t="str">
        <f t="shared" si="26"/>
        <v>Water and sewerage</v>
      </c>
      <c r="BV14" s="39">
        <f t="shared" si="27"/>
        <v>2.1639959971873068</v>
      </c>
      <c r="BW14" s="11">
        <v>9.217599475239167</v>
      </c>
      <c r="BX14" s="93">
        <v>0.61442646269312895</v>
      </c>
      <c r="BY14" s="93">
        <v>2.2005716372862962</v>
      </c>
      <c r="BZ14" s="93">
        <f t="shared" si="28"/>
        <v>2.8149980999794253</v>
      </c>
      <c r="CA14" s="93"/>
      <c r="CB14" s="39">
        <f t="shared" si="29"/>
        <v>2.1322524388695197</v>
      </c>
      <c r="CC14" s="93">
        <v>1.3746236467462931</v>
      </c>
      <c r="CD14" s="93">
        <v>-0.6797332330802186</v>
      </c>
      <c r="CE14" s="93">
        <v>0.32288857798608317</v>
      </c>
      <c r="CF14" s="93">
        <f t="shared" si="30"/>
        <v>-0.35684465509413543</v>
      </c>
      <c r="CH14" s="39">
        <f t="shared" si="31"/>
        <v>2.1183476609150542</v>
      </c>
      <c r="CI14" s="93">
        <v>6.2987020393754678</v>
      </c>
      <c r="CJ14" s="93">
        <v>1.0586789669999686</v>
      </c>
      <c r="CK14" s="93">
        <v>1.4689337630531381</v>
      </c>
      <c r="CL14" s="93">
        <f t="shared" si="32"/>
        <v>2.5276127300531064</v>
      </c>
      <c r="CM14" s="106"/>
      <c r="CN14" s="39">
        <f t="shared" si="33"/>
        <v>2.3760355283215739</v>
      </c>
      <c r="CO14" s="93">
        <v>1.5442737891174063</v>
      </c>
      <c r="CP14" s="93">
        <v>0.23548072877337922</v>
      </c>
      <c r="CQ14" s="93">
        <v>0.40874929624707479</v>
      </c>
      <c r="CR14" s="93">
        <f t="shared" si="34"/>
        <v>0.64423002502045401</v>
      </c>
      <c r="CS14" s="90" t="str">
        <f t="shared" si="35"/>
        <v>Water and sewerage</v>
      </c>
      <c r="CT14" s="39">
        <f t="shared" si="36"/>
        <v>2.4372851811505392</v>
      </c>
      <c r="CU14" s="11">
        <v>1.4161802206413483</v>
      </c>
      <c r="CV14" s="93">
        <v>-0.14513865707631529</v>
      </c>
      <c r="CW14" s="93">
        <v>0.38558884418825223</v>
      </c>
      <c r="CX14" s="93">
        <f t="shared" si="37"/>
        <v>0.24045018711193694</v>
      </c>
      <c r="CY14" s="93"/>
      <c r="CZ14" s="39">
        <f t="shared" si="38"/>
        <v>2.2654301118374853</v>
      </c>
      <c r="DA14" s="93">
        <v>0.46381055323258502</v>
      </c>
      <c r="DB14" s="93">
        <v>-0.23368945828235915</v>
      </c>
      <c r="DC14" s="93">
        <v>0.11645811147080638</v>
      </c>
      <c r="DD14" s="93">
        <f t="shared" si="39"/>
        <v>-0.11723134681155277</v>
      </c>
      <c r="DF14" s="39">
        <f t="shared" si="40"/>
        <v>2.5995569001085794</v>
      </c>
      <c r="DG14" s="93">
        <v>0.82494397660193552</v>
      </c>
      <c r="DH14" s="93">
        <v>4.4230715947542278E-2</v>
      </c>
      <c r="DI14" s="93">
        <v>0.24135577401631172</v>
      </c>
      <c r="DJ14" s="93">
        <f t="shared" si="41"/>
        <v>0.285586489963854</v>
      </c>
      <c r="DK14" s="106"/>
      <c r="DL14" s="39">
        <f t="shared" si="42"/>
        <v>1.9914236116268524</v>
      </c>
      <c r="DM14" s="93">
        <v>0.12742569080682786</v>
      </c>
      <c r="DN14" s="93">
        <v>4.4320085258501563E-2</v>
      </c>
      <c r="DO14" s="93">
        <v>2.7774958701134087E-2</v>
      </c>
      <c r="DP14" s="93">
        <f t="shared" si="43"/>
        <v>7.2095043959635646E-2</v>
      </c>
    </row>
    <row r="15" spans="1:120" x14ac:dyDescent="0.2">
      <c r="A15" s="90" t="str">
        <f>name!B11</f>
        <v>Construction</v>
      </c>
      <c r="B15" s="39">
        <f t="shared" si="1"/>
        <v>2.6332713124259444</v>
      </c>
      <c r="C15" s="11">
        <v>24.70699999999993</v>
      </c>
      <c r="D15" s="93">
        <v>2.4850000000000203</v>
      </c>
      <c r="E15" s="93">
        <v>7.3336805968811847</v>
      </c>
      <c r="F15" s="93">
        <f t="shared" si="2"/>
        <v>9.8186805968812045</v>
      </c>
      <c r="G15" s="93"/>
      <c r="H15" s="39">
        <f t="shared" si="3"/>
        <v>2.4423074235861542</v>
      </c>
      <c r="I15" s="93">
        <v>2.0674298031287628</v>
      </c>
      <c r="J15" s="93">
        <v>-0.8828890757342569</v>
      </c>
      <c r="K15" s="93">
        <v>0.56419694936710085</v>
      </c>
      <c r="L15" s="93">
        <f t="shared" si="4"/>
        <v>-0.31869212636715605</v>
      </c>
      <c r="N15" s="39">
        <f t="shared" si="5"/>
        <v>2.3615173214244889</v>
      </c>
      <c r="O15" s="93">
        <v>11.395959885205716</v>
      </c>
      <c r="P15" s="93">
        <v>1.9703829749125323</v>
      </c>
      <c r="Q15" s="93">
        <v>2.9959377256495925</v>
      </c>
      <c r="R15" s="93">
        <f t="shared" si="6"/>
        <v>4.9663207005621253</v>
      </c>
      <c r="S15" s="106"/>
      <c r="T15" s="39">
        <f t="shared" si="7"/>
        <v>2.9362141326216173</v>
      </c>
      <c r="U15" s="93">
        <v>11.243610311665455</v>
      </c>
      <c r="V15" s="93">
        <v>1.3975061008217451</v>
      </c>
      <c r="W15" s="93">
        <v>3.7735459218644927</v>
      </c>
      <c r="X15" s="93">
        <f t="shared" si="8"/>
        <v>5.1710520226862382</v>
      </c>
      <c r="Y15" s="90" t="str">
        <f t="shared" si="0"/>
        <v>Construction</v>
      </c>
      <c r="Z15" s="39">
        <f t="shared" si="9"/>
        <v>2.9275517647755267</v>
      </c>
      <c r="AA15" s="11">
        <v>13.046434238680172</v>
      </c>
      <c r="AB15" s="93">
        <v>2.1329718598151204</v>
      </c>
      <c r="AC15" s="93">
        <v>4.3639460437985305</v>
      </c>
      <c r="AD15" s="93">
        <f t="shared" si="10"/>
        <v>6.4969179036136513</v>
      </c>
      <c r="AE15" s="93"/>
      <c r="AF15" s="39">
        <f t="shared" si="11"/>
        <v>2.9029598767563725</v>
      </c>
      <c r="AG15" s="93">
        <v>0.51780999831305174</v>
      </c>
      <c r="AH15" s="93">
        <v>-0.14508224440278034</v>
      </c>
      <c r="AI15" s="93">
        <v>0.17155479671456894</v>
      </c>
      <c r="AJ15" s="93">
        <f t="shared" si="12"/>
        <v>2.6472552311788605E-2</v>
      </c>
      <c r="AL15" s="39">
        <f t="shared" si="13"/>
        <v>2.7138731733564292</v>
      </c>
      <c r="AM15" s="93">
        <v>3.3696565084990735</v>
      </c>
      <c r="AN15" s="93">
        <v>0.87665708871403969</v>
      </c>
      <c r="AO15" s="93">
        <v>1.0346414621905302</v>
      </c>
      <c r="AP15" s="93">
        <f t="shared" si="14"/>
        <v>1.9112985509045699</v>
      </c>
      <c r="AQ15" s="106"/>
      <c r="AR15" s="39">
        <f t="shared" si="15"/>
        <v>3.0065508595138457</v>
      </c>
      <c r="AS15" s="93">
        <v>9.1589677318680476</v>
      </c>
      <c r="AT15" s="93">
        <v>1.4013970155038609</v>
      </c>
      <c r="AU15" s="93">
        <v>3.1577497848934315</v>
      </c>
      <c r="AV15" s="93">
        <f t="shared" si="16"/>
        <v>4.5591468003972926</v>
      </c>
      <c r="AW15" s="90" t="str">
        <f t="shared" si="17"/>
        <v>Construction</v>
      </c>
      <c r="AX15" s="39">
        <f t="shared" si="18"/>
        <v>2.6925526136312605</v>
      </c>
      <c r="AY15" s="11">
        <v>3.651919924567808</v>
      </c>
      <c r="AZ15" s="93">
        <v>-0.23040618198892773</v>
      </c>
      <c r="BA15" s="93">
        <v>1.1114108203418209</v>
      </c>
      <c r="BB15" s="93">
        <f t="shared" si="19"/>
        <v>0.88100463835289322</v>
      </c>
      <c r="BC15" s="93"/>
      <c r="BD15" s="39">
        <f t="shared" si="20"/>
        <v>2.6003566607783579</v>
      </c>
      <c r="BE15" s="93">
        <v>0.34954045938527362</v>
      </c>
      <c r="BF15" s="93">
        <v>-0.11400742632184735</v>
      </c>
      <c r="BG15" s="93">
        <v>0.10230108293418085</v>
      </c>
      <c r="BH15" s="93">
        <f t="shared" si="21"/>
        <v>-1.1706343387666504E-2</v>
      </c>
      <c r="BJ15" s="39">
        <f t="shared" si="22"/>
        <v>2.6391873139546718</v>
      </c>
      <c r="BK15" s="93">
        <v>2.0072722798125366</v>
      </c>
      <c r="BL15" s="93">
        <v>2.1946743765527334E-2</v>
      </c>
      <c r="BM15" s="93">
        <v>0.59731151369132662</v>
      </c>
      <c r="BN15" s="93">
        <f t="shared" si="23"/>
        <v>0.61925825745685392</v>
      </c>
      <c r="BO15" s="106"/>
      <c r="BP15" s="39">
        <f t="shared" si="24"/>
        <v>2.799351314050047</v>
      </c>
      <c r="BQ15" s="93">
        <v>1.2951071853699978</v>
      </c>
      <c r="BR15" s="93">
        <v>-0.13834549943260771</v>
      </c>
      <c r="BS15" s="93">
        <v>0.41179822371631336</v>
      </c>
      <c r="BT15" s="93">
        <f t="shared" si="25"/>
        <v>0.27345272428370565</v>
      </c>
      <c r="BU15" s="90" t="str">
        <f t="shared" si="26"/>
        <v>Construction</v>
      </c>
      <c r="BV15" s="39">
        <f t="shared" si="27"/>
        <v>2.0481137979190267</v>
      </c>
      <c r="BW15" s="11">
        <v>6.6723347132595512</v>
      </c>
      <c r="BX15" s="93">
        <v>0.63046525507421236</v>
      </c>
      <c r="BY15" s="93">
        <v>1.4996518315416651</v>
      </c>
      <c r="BZ15" s="93">
        <f t="shared" si="28"/>
        <v>2.1301170866158774</v>
      </c>
      <c r="CA15" s="93"/>
      <c r="CB15" s="39">
        <f t="shared" si="29"/>
        <v>1.885726525584519</v>
      </c>
      <c r="CC15" s="93">
        <v>0.79401322796632245</v>
      </c>
      <c r="CD15" s="93">
        <v>-0.42251424724113457</v>
      </c>
      <c r="CE15" s="93">
        <v>0.16309534060812603</v>
      </c>
      <c r="CF15" s="93">
        <f t="shared" si="30"/>
        <v>-0.25941890663300854</v>
      </c>
      <c r="CH15" s="39">
        <f t="shared" si="31"/>
        <v>2.0349710354922612</v>
      </c>
      <c r="CI15" s="93">
        <v>5.1117136268203991</v>
      </c>
      <c r="CJ15" s="93">
        <v>0.94026718064231962</v>
      </c>
      <c r="CK15" s="93">
        <v>1.1408334558665532</v>
      </c>
      <c r="CL15" s="93">
        <f t="shared" si="32"/>
        <v>2.0811006365088729</v>
      </c>
      <c r="CM15" s="106"/>
      <c r="CN15" s="39">
        <f t="shared" si="33"/>
        <v>2.2998780793422213</v>
      </c>
      <c r="CO15" s="93">
        <v>0.7666078584728292</v>
      </c>
      <c r="CP15" s="93">
        <v>0.11271232167302715</v>
      </c>
      <c r="CQ15" s="93">
        <v>0.19572303506698607</v>
      </c>
      <c r="CR15" s="93">
        <f t="shared" si="34"/>
        <v>0.30843535674001321</v>
      </c>
      <c r="CS15" s="90" t="str">
        <f t="shared" si="35"/>
        <v>Construction</v>
      </c>
      <c r="CT15" s="39">
        <f t="shared" si="36"/>
        <v>2.406088217429958</v>
      </c>
      <c r="CU15" s="11">
        <v>1.3363111234924001</v>
      </c>
      <c r="CV15" s="93">
        <v>-4.8030932900384203E-2</v>
      </c>
      <c r="CW15" s="93">
        <v>0.3586719011991692</v>
      </c>
      <c r="CX15" s="93">
        <f t="shared" si="37"/>
        <v>0.31064096829878501</v>
      </c>
      <c r="CY15" s="93"/>
      <c r="CZ15" s="39">
        <f t="shared" si="38"/>
        <v>2.7633959791856677</v>
      </c>
      <c r="DA15" s="93">
        <v>0.40606611746411458</v>
      </c>
      <c r="DB15" s="93">
        <v>-0.20128515776849468</v>
      </c>
      <c r="DC15" s="93">
        <v>0.12724572911022497</v>
      </c>
      <c r="DD15" s="93">
        <f t="shared" si="39"/>
        <v>-7.4039428658269707E-2</v>
      </c>
      <c r="DF15" s="39">
        <f t="shared" si="40"/>
        <v>2.2233076528841211</v>
      </c>
      <c r="DG15" s="93">
        <v>0.90731747007370689</v>
      </c>
      <c r="DH15" s="93">
        <v>0.1315119617906455</v>
      </c>
      <c r="DI15" s="93">
        <v>0.22315129390118218</v>
      </c>
      <c r="DJ15" s="93">
        <f t="shared" si="41"/>
        <v>0.35466325569182766</v>
      </c>
      <c r="DK15" s="106"/>
      <c r="DL15" s="39">
        <f t="shared" si="42"/>
        <v>3.1295401767871711</v>
      </c>
      <c r="DM15" s="93">
        <v>2.2927535954578668E-2</v>
      </c>
      <c r="DN15" s="93">
        <v>2.174226307746498E-2</v>
      </c>
      <c r="DO15" s="93">
        <v>8.2748781877620605E-3</v>
      </c>
      <c r="DP15" s="93">
        <f t="shared" si="43"/>
        <v>3.0017141265227039E-2</v>
      </c>
    </row>
    <row r="16" spans="1:120" x14ac:dyDescent="0.2">
      <c r="A16" s="90" t="str">
        <f>name!B12</f>
        <v>Wholesale and retail trade</v>
      </c>
      <c r="B16" s="39">
        <f t="shared" si="1"/>
        <v>2.48357468355489</v>
      </c>
      <c r="C16" s="11">
        <v>49.360999999999891</v>
      </c>
      <c r="D16" s="93">
        <v>-3.0089999999999963</v>
      </c>
      <c r="E16" s="93">
        <v>13.724072101712224</v>
      </c>
      <c r="F16" s="93">
        <f t="shared" si="2"/>
        <v>10.715072101712227</v>
      </c>
      <c r="G16" s="93"/>
      <c r="H16" s="39">
        <f t="shared" si="3"/>
        <v>2.319061330483807</v>
      </c>
      <c r="I16" s="93">
        <v>11.754763181562106</v>
      </c>
      <c r="J16" s="93">
        <v>-3.3383043230730345</v>
      </c>
      <c r="K16" s="93">
        <v>3.0288080072024135</v>
      </c>
      <c r="L16" s="93">
        <f t="shared" si="4"/>
        <v>-0.30949631587062099</v>
      </c>
      <c r="N16" s="39">
        <f t="shared" si="5"/>
        <v>2.3679923975928441</v>
      </c>
      <c r="O16" s="93">
        <v>27.464527750604109</v>
      </c>
      <c r="P16" s="93">
        <v>1.036637643813106</v>
      </c>
      <c r="Q16" s="93">
        <v>7.242226228936425</v>
      </c>
      <c r="R16" s="93">
        <f t="shared" si="6"/>
        <v>8.2788638727495307</v>
      </c>
      <c r="S16" s="106"/>
      <c r="T16" s="39">
        <f t="shared" si="7"/>
        <v>2.9736241479119574</v>
      </c>
      <c r="U16" s="93">
        <v>10.141709067833677</v>
      </c>
      <c r="V16" s="93">
        <v>-0.70733332074006794</v>
      </c>
      <c r="W16" s="93">
        <v>3.4530378655733838</v>
      </c>
      <c r="X16" s="93">
        <f t="shared" si="8"/>
        <v>2.7457045448333157</v>
      </c>
      <c r="Y16" s="90" t="str">
        <f t="shared" si="0"/>
        <v>Wholesale and retail trade</v>
      </c>
      <c r="Z16" s="39">
        <f t="shared" si="9"/>
        <v>2.9998517165961136</v>
      </c>
      <c r="AA16" s="11">
        <v>14.421904529312432</v>
      </c>
      <c r="AB16" s="93">
        <v>-7.9946079548302407E-2</v>
      </c>
      <c r="AC16" s="93">
        <v>4.9596501612339017</v>
      </c>
      <c r="AD16" s="93">
        <f t="shared" si="10"/>
        <v>4.879704081685599</v>
      </c>
      <c r="AE16" s="93"/>
      <c r="AF16" s="39">
        <f t="shared" si="11"/>
        <v>2.9265331251565607</v>
      </c>
      <c r="AG16" s="93">
        <v>1.7446046239912303</v>
      </c>
      <c r="AH16" s="93">
        <v>-0.27919872461291689</v>
      </c>
      <c r="AI16" s="93">
        <v>0.58332831832535181</v>
      </c>
      <c r="AJ16" s="93">
        <f t="shared" si="12"/>
        <v>0.30412959371243492</v>
      </c>
      <c r="AL16" s="39">
        <f t="shared" si="13"/>
        <v>2.8733806306549425</v>
      </c>
      <c r="AM16" s="93">
        <v>5.4383562760409712</v>
      </c>
      <c r="AN16" s="93">
        <v>0.60778084248681408</v>
      </c>
      <c r="AO16" s="93">
        <v>1.780988355750744</v>
      </c>
      <c r="AP16" s="93">
        <f t="shared" si="14"/>
        <v>2.3887691982375578</v>
      </c>
      <c r="AQ16" s="106"/>
      <c r="AR16" s="39">
        <f t="shared" si="15"/>
        <v>3.111409774959073</v>
      </c>
      <c r="AS16" s="93">
        <v>7.2389436292802296</v>
      </c>
      <c r="AT16" s="93">
        <v>-0.40852819742219959</v>
      </c>
      <c r="AU16" s="93">
        <v>2.5953334871578053</v>
      </c>
      <c r="AV16" s="93">
        <f t="shared" si="16"/>
        <v>2.1868052897356058</v>
      </c>
      <c r="AW16" s="90" t="str">
        <f t="shared" si="17"/>
        <v>Wholesale and retail trade</v>
      </c>
      <c r="AX16" s="39">
        <f t="shared" si="18"/>
        <v>2.6838321004912791</v>
      </c>
      <c r="AY16" s="11">
        <v>4.7602092359720407</v>
      </c>
      <c r="AZ16" s="93">
        <v>-1.3205133909931142</v>
      </c>
      <c r="BA16" s="93">
        <v>1.4434326816980343</v>
      </c>
      <c r="BB16" s="93">
        <f t="shared" si="19"/>
        <v>0.12291929070492014</v>
      </c>
      <c r="BC16" s="93"/>
      <c r="BD16" s="39">
        <f t="shared" si="20"/>
        <v>2.6307138684356079</v>
      </c>
      <c r="BE16" s="93">
        <v>0.55533861181731692</v>
      </c>
      <c r="BF16" s="93">
        <v>-0.19194769411417067</v>
      </c>
      <c r="BG16" s="93">
        <v>0.16465951691361003</v>
      </c>
      <c r="BH16" s="93">
        <f t="shared" si="21"/>
        <v>-2.7288177200560648E-2</v>
      </c>
      <c r="BJ16" s="39">
        <f t="shared" si="22"/>
        <v>2.6257921936491346</v>
      </c>
      <c r="BK16" s="93">
        <v>2.4972687404973635</v>
      </c>
      <c r="BL16" s="93">
        <v>-0.56905832335257489</v>
      </c>
      <c r="BM16" s="93">
        <v>0.73889514198640793</v>
      </c>
      <c r="BN16" s="93">
        <f t="shared" si="23"/>
        <v>0.16983681863383304</v>
      </c>
      <c r="BO16" s="106"/>
      <c r="BP16" s="39">
        <f t="shared" si="24"/>
        <v>2.7852790413730899</v>
      </c>
      <c r="BQ16" s="93">
        <v>1.7076018836573603</v>
      </c>
      <c r="BR16" s="93">
        <v>-0.55950737352636859</v>
      </c>
      <c r="BS16" s="93">
        <v>0.53987802279801622</v>
      </c>
      <c r="BT16" s="93">
        <f t="shared" si="25"/>
        <v>-1.9629350728352368E-2</v>
      </c>
      <c r="BU16" s="90" t="str">
        <f t="shared" si="26"/>
        <v>Wholesale and retail trade</v>
      </c>
      <c r="BV16" s="39">
        <f t="shared" si="27"/>
        <v>2.1993314042800582</v>
      </c>
      <c r="BW16" s="11">
        <v>28.021593521784599</v>
      </c>
      <c r="BX16" s="93">
        <v>-1.4714034279099568</v>
      </c>
      <c r="BY16" s="93">
        <v>6.8100025319772302</v>
      </c>
      <c r="BZ16" s="93">
        <f t="shared" si="28"/>
        <v>5.3385991040672733</v>
      </c>
      <c r="CA16" s="93"/>
      <c r="CB16" s="39">
        <f t="shared" si="29"/>
        <v>2.1988160207137231</v>
      </c>
      <c r="CC16" s="93">
        <v>8.4984348827263929</v>
      </c>
      <c r="CD16" s="93">
        <v>-2.4130544809912187</v>
      </c>
      <c r="CE16" s="93">
        <v>2.0648160354020404</v>
      </c>
      <c r="CF16" s="93">
        <f t="shared" si="30"/>
        <v>-0.34823844558917827</v>
      </c>
      <c r="CH16" s="39">
        <f t="shared" si="31"/>
        <v>2.1891934571730776</v>
      </c>
      <c r="CI16" s="93">
        <v>18.363284813948471</v>
      </c>
      <c r="CJ16" s="93">
        <v>0.79472514229380931</v>
      </c>
      <c r="CK16" s="93">
        <v>4.4401403431475641</v>
      </c>
      <c r="CL16" s="93">
        <f t="shared" si="32"/>
        <v>5.2348654854413734</v>
      </c>
      <c r="CM16" s="106"/>
      <c r="CN16" s="39">
        <f t="shared" si="33"/>
        <v>2.3623659563032362</v>
      </c>
      <c r="CO16" s="93">
        <v>1.1598738251097345</v>
      </c>
      <c r="CP16" s="93">
        <v>0.14692591078745226</v>
      </c>
      <c r="CQ16" s="93">
        <v>0.30504615342762553</v>
      </c>
      <c r="CR16" s="93">
        <f t="shared" si="34"/>
        <v>0.4519720642150778</v>
      </c>
      <c r="CS16" s="90" t="str">
        <f t="shared" si="35"/>
        <v>Wholesale and retail trade</v>
      </c>
      <c r="CT16" s="39">
        <f t="shared" si="36"/>
        <v>2.1485540302156547</v>
      </c>
      <c r="CU16" s="11">
        <v>2.1572927129308224</v>
      </c>
      <c r="CV16" s="93">
        <v>-0.13713710154862277</v>
      </c>
      <c r="CW16" s="93">
        <v>0.51098672680305779</v>
      </c>
      <c r="CX16" s="93">
        <f t="shared" si="37"/>
        <v>0.37384962525443499</v>
      </c>
      <c r="CY16" s="93"/>
      <c r="CZ16" s="39">
        <f t="shared" si="38"/>
        <v>2.0572595476436195</v>
      </c>
      <c r="DA16" s="93">
        <v>0.95638506302716597</v>
      </c>
      <c r="DB16" s="93">
        <v>-0.4541034233547282</v>
      </c>
      <c r="DC16" s="93">
        <v>0.2160041365614109</v>
      </c>
      <c r="DD16" s="93">
        <f t="shared" si="39"/>
        <v>-0.23809928679331729</v>
      </c>
      <c r="DF16" s="39">
        <f t="shared" si="40"/>
        <v>2.1917519950891196</v>
      </c>
      <c r="DG16" s="93">
        <v>1.1656179201173043</v>
      </c>
      <c r="DH16" s="93">
        <v>0.20318998238505742</v>
      </c>
      <c r="DI16" s="93">
        <v>0.28220238805171</v>
      </c>
      <c r="DJ16" s="93">
        <f t="shared" si="41"/>
        <v>0.48539237043676742</v>
      </c>
      <c r="DK16" s="106"/>
      <c r="DL16" s="39">
        <f t="shared" si="42"/>
        <v>3.1389052752660129</v>
      </c>
      <c r="DM16" s="93">
        <v>3.5289729786351975E-2</v>
      </c>
      <c r="DN16" s="93">
        <v>0.11377633942104799</v>
      </c>
      <c r="DO16" s="93">
        <v>1.2780202189936939E-2</v>
      </c>
      <c r="DP16" s="93">
        <f t="shared" si="43"/>
        <v>0.12655654161098492</v>
      </c>
    </row>
    <row r="17" spans="1:120" x14ac:dyDescent="0.2">
      <c r="A17" s="90" t="str">
        <f>name!B13</f>
        <v>Transport and storage</v>
      </c>
      <c r="B17" s="39">
        <f t="shared" si="1"/>
        <v>2.5826643707438812</v>
      </c>
      <c r="C17" s="11">
        <v>92.525231401581493</v>
      </c>
      <c r="D17" s="93">
        <v>4.8062010655220337</v>
      </c>
      <c r="E17" s="93">
        <v>26.873559144521298</v>
      </c>
      <c r="F17" s="93">
        <f t="shared" si="2"/>
        <v>31.679760210043334</v>
      </c>
      <c r="G17" s="93"/>
      <c r="H17" s="39">
        <f t="shared" si="3"/>
        <v>2.4248789617356659</v>
      </c>
      <c r="I17" s="93">
        <v>21.198729637120138</v>
      </c>
      <c r="J17" s="93">
        <v>-6.0725510822499817</v>
      </c>
      <c r="K17" s="93">
        <v>5.7392133920891153</v>
      </c>
      <c r="L17" s="93">
        <f t="shared" si="4"/>
        <v>-0.33333769016086645</v>
      </c>
      <c r="N17" s="39">
        <f t="shared" si="5"/>
        <v>2.5234952437853897</v>
      </c>
      <c r="O17" s="93">
        <v>52.658868908190932</v>
      </c>
      <c r="P17" s="93">
        <v>7.0048539847493405</v>
      </c>
      <c r="Q17" s="93">
        <v>14.903608217095815</v>
      </c>
      <c r="R17" s="93">
        <f t="shared" si="6"/>
        <v>21.908462201845154</v>
      </c>
      <c r="S17" s="106"/>
      <c r="T17" s="39">
        <f t="shared" si="7"/>
        <v>2.9219882284781784</v>
      </c>
      <c r="U17" s="93">
        <v>18.667632856270426</v>
      </c>
      <c r="V17" s="93">
        <v>3.8738981630226754</v>
      </c>
      <c r="W17" s="93">
        <v>6.230737535336365</v>
      </c>
      <c r="X17" s="93">
        <f t="shared" si="8"/>
        <v>10.10463569835904</v>
      </c>
      <c r="Y17" s="90" t="str">
        <f t="shared" si="0"/>
        <v>Transport and storage</v>
      </c>
      <c r="Z17" s="39">
        <f t="shared" si="9"/>
        <v>2.9241425329038728</v>
      </c>
      <c r="AA17" s="11">
        <v>29.870782206299452</v>
      </c>
      <c r="AB17" s="93">
        <v>4.3408339188767497</v>
      </c>
      <c r="AC17" s="93">
        <v>9.9783777687739459</v>
      </c>
      <c r="AD17" s="93">
        <f t="shared" si="10"/>
        <v>14.319211687650697</v>
      </c>
      <c r="AE17" s="93"/>
      <c r="AF17" s="39">
        <f t="shared" si="11"/>
        <v>2.7318686124567781</v>
      </c>
      <c r="AG17" s="93">
        <v>3.8081615228264192</v>
      </c>
      <c r="AH17" s="93">
        <v>-0.6689481531577417</v>
      </c>
      <c r="AI17" s="93">
        <v>1.1780102671881654</v>
      </c>
      <c r="AJ17" s="93">
        <f t="shared" si="12"/>
        <v>0.50906211403042367</v>
      </c>
      <c r="AL17" s="39">
        <f t="shared" si="13"/>
        <v>2.8609218734994002</v>
      </c>
      <c r="AM17" s="93">
        <v>13.572153033741255</v>
      </c>
      <c r="AN17" s="93">
        <v>3.0025944902352135</v>
      </c>
      <c r="AO17" s="93">
        <v>4.4228892241268012</v>
      </c>
      <c r="AP17" s="93">
        <f t="shared" si="14"/>
        <v>7.4254837143620147</v>
      </c>
      <c r="AQ17" s="106"/>
      <c r="AR17" s="39">
        <f t="shared" si="15"/>
        <v>3.0500840000298179</v>
      </c>
      <c r="AS17" s="93">
        <v>12.490467649731778</v>
      </c>
      <c r="AT17" s="93">
        <v>2.0071875817992777</v>
      </c>
      <c r="AU17" s="93">
        <v>4.3774782774589784</v>
      </c>
      <c r="AV17" s="93">
        <f t="shared" si="16"/>
        <v>6.3846658592582557</v>
      </c>
      <c r="AW17" s="90" t="str">
        <f t="shared" si="17"/>
        <v>Transport and storage</v>
      </c>
      <c r="AX17" s="39">
        <f t="shared" si="18"/>
        <v>2.6816272634551552</v>
      </c>
      <c r="AY17" s="11">
        <v>8.998417639409773</v>
      </c>
      <c r="AZ17" s="93">
        <v>0.46368333377022369</v>
      </c>
      <c r="BA17" s="93">
        <v>2.7260618724368122</v>
      </c>
      <c r="BB17" s="93">
        <f t="shared" si="19"/>
        <v>3.1897452062070357</v>
      </c>
      <c r="BC17" s="93"/>
      <c r="BD17" s="39">
        <f t="shared" si="20"/>
        <v>2.6174041078364407</v>
      </c>
      <c r="BE17" s="93">
        <v>1.0668407233699537</v>
      </c>
      <c r="BF17" s="93">
        <v>3.2513509332090844E-2</v>
      </c>
      <c r="BG17" s="93">
        <v>0.31452866341566049</v>
      </c>
      <c r="BH17" s="93">
        <f t="shared" si="21"/>
        <v>0.34704217274775134</v>
      </c>
      <c r="BJ17" s="39">
        <f t="shared" si="22"/>
        <v>2.6363264722116364</v>
      </c>
      <c r="BK17" s="93">
        <v>4.9047319312804847</v>
      </c>
      <c r="BL17" s="93">
        <v>0.14017890795839225</v>
      </c>
      <c r="BM17" s="93">
        <v>1.4577457375951082</v>
      </c>
      <c r="BN17" s="93">
        <f t="shared" si="23"/>
        <v>1.5979246455535003</v>
      </c>
      <c r="BO17" s="106"/>
      <c r="BP17" s="39">
        <f t="shared" si="24"/>
        <v>2.7770599340433355</v>
      </c>
      <c r="BQ17" s="93">
        <v>3.0268449847593342</v>
      </c>
      <c r="BR17" s="93">
        <v>0.29099091647974057</v>
      </c>
      <c r="BS17" s="93">
        <v>0.95378747142604337</v>
      </c>
      <c r="BT17" s="93">
        <f t="shared" si="25"/>
        <v>1.2447783879057839</v>
      </c>
      <c r="BU17" s="90" t="str">
        <f t="shared" si="26"/>
        <v>Transport and storage</v>
      </c>
      <c r="BV17" s="39">
        <f t="shared" si="27"/>
        <v>2.3754907319287089</v>
      </c>
      <c r="BW17" s="11">
        <v>50.110811503507264</v>
      </c>
      <c r="BX17" s="93">
        <v>0.37983071614327241</v>
      </c>
      <c r="BY17" s="93">
        <v>13.260311196398852</v>
      </c>
      <c r="BZ17" s="93">
        <f t="shared" si="28"/>
        <v>13.640141912542125</v>
      </c>
      <c r="CA17" s="93"/>
      <c r="CB17" s="39">
        <f t="shared" si="29"/>
        <v>2.3338534370635156</v>
      </c>
      <c r="CC17" s="93">
        <v>14.74166253806875</v>
      </c>
      <c r="CD17" s="93">
        <v>-4.5191002676533572</v>
      </c>
      <c r="CE17" s="93">
        <v>3.8252523053004484</v>
      </c>
      <c r="CF17" s="93">
        <f t="shared" si="30"/>
        <v>-0.6938479623529088</v>
      </c>
      <c r="CH17" s="39">
        <f t="shared" si="31"/>
        <v>2.3772663395688065</v>
      </c>
      <c r="CI17" s="93">
        <v>32.323025931939064</v>
      </c>
      <c r="CJ17" s="93">
        <v>3.459835793309614</v>
      </c>
      <c r="CK17" s="93">
        <v>8.5604017208804635</v>
      </c>
      <c r="CL17" s="93">
        <f t="shared" si="32"/>
        <v>12.020237514190077</v>
      </c>
      <c r="CM17" s="106"/>
      <c r="CN17" s="39">
        <f t="shared" si="33"/>
        <v>2.5563381424586806</v>
      </c>
      <c r="CO17" s="93">
        <v>3.0461230334994571</v>
      </c>
      <c r="CP17" s="93">
        <v>1.4390951904870155</v>
      </c>
      <c r="CQ17" s="93">
        <v>0.87465717021794065</v>
      </c>
      <c r="CR17" s="93">
        <f t="shared" si="34"/>
        <v>2.3137523607049562</v>
      </c>
      <c r="CS17" s="90" t="str">
        <f t="shared" si="35"/>
        <v>Transport and storage</v>
      </c>
      <c r="CT17" s="39">
        <f t="shared" si="36"/>
        <v>2.3083258626595438</v>
      </c>
      <c r="CU17" s="11">
        <v>3.5452200523650017</v>
      </c>
      <c r="CV17" s="93">
        <v>-0.37814690326821171</v>
      </c>
      <c r="CW17" s="93">
        <v>0.90880830691168701</v>
      </c>
      <c r="CX17" s="93">
        <f t="shared" si="37"/>
        <v>0.53066140364347536</v>
      </c>
      <c r="CY17" s="93"/>
      <c r="CZ17" s="39">
        <f t="shared" si="38"/>
        <v>2.3896892286912941</v>
      </c>
      <c r="DA17" s="93">
        <v>1.5820648528550136</v>
      </c>
      <c r="DB17" s="93">
        <v>-0.91701617077097408</v>
      </c>
      <c r="DC17" s="93">
        <v>0.42142215618484119</v>
      </c>
      <c r="DD17" s="93">
        <f t="shared" si="39"/>
        <v>-0.49559401458613289</v>
      </c>
      <c r="DF17" s="39">
        <f t="shared" si="40"/>
        <v>2.2469738978732945</v>
      </c>
      <c r="DG17" s="93">
        <v>1.8589580112301323</v>
      </c>
      <c r="DH17" s="93">
        <v>0.40224479324612111</v>
      </c>
      <c r="DI17" s="93">
        <v>0.4625715344934439</v>
      </c>
      <c r="DJ17" s="93">
        <f t="shared" si="41"/>
        <v>0.86481632773956507</v>
      </c>
      <c r="DK17" s="106"/>
      <c r="DL17" s="39">
        <f t="shared" si="42"/>
        <v>2.1591674565122787</v>
      </c>
      <c r="DM17" s="93">
        <v>0.10419718827985559</v>
      </c>
      <c r="DN17" s="93">
        <v>0.13662447425664134</v>
      </c>
      <c r="DO17" s="93">
        <v>2.4814616233402073E-2</v>
      </c>
      <c r="DP17" s="93">
        <f t="shared" si="43"/>
        <v>0.1614390904900434</v>
      </c>
    </row>
    <row r="18" spans="1:120" x14ac:dyDescent="0.2">
      <c r="A18" s="90" t="str">
        <f>name!B14</f>
        <v>Accommodation and food</v>
      </c>
      <c r="B18" s="39">
        <f t="shared" si="1"/>
        <v>2.7290326750703198</v>
      </c>
      <c r="C18" s="11">
        <v>12.952999999999982</v>
      </c>
      <c r="D18" s="93">
        <v>0.38799999999999019</v>
      </c>
      <c r="E18" s="93">
        <v>4.0021779615326993</v>
      </c>
      <c r="F18" s="93">
        <f t="shared" si="2"/>
        <v>4.3901779615326895</v>
      </c>
      <c r="G18" s="93"/>
      <c r="H18" s="39">
        <f t="shared" si="3"/>
        <v>2.439043046528111</v>
      </c>
      <c r="I18" s="93">
        <v>0.98180011788807253</v>
      </c>
      <c r="J18" s="93">
        <v>-0.31823538887421476</v>
      </c>
      <c r="K18" s="93">
        <v>0.26753287063716108</v>
      </c>
      <c r="L18" s="93">
        <f t="shared" si="4"/>
        <v>-5.0702518237053684E-2</v>
      </c>
      <c r="N18" s="39">
        <f t="shared" si="5"/>
        <v>2.4753153877203893</v>
      </c>
      <c r="O18" s="93">
        <v>4.3897999117505364</v>
      </c>
      <c r="P18" s="93">
        <v>-3.3729018992914917E-3</v>
      </c>
      <c r="Q18" s="93">
        <v>1.2159970209281907</v>
      </c>
      <c r="R18" s="93">
        <f t="shared" si="6"/>
        <v>1.2126241190288993</v>
      </c>
      <c r="S18" s="106"/>
      <c r="T18" s="39">
        <f t="shared" si="7"/>
        <v>2.9099584906887133</v>
      </c>
      <c r="U18" s="93">
        <v>7.5813999703613737</v>
      </c>
      <c r="V18" s="93">
        <v>0.70960829077349641</v>
      </c>
      <c r="W18" s="93">
        <v>2.5186480699673486</v>
      </c>
      <c r="X18" s="93">
        <f t="shared" si="8"/>
        <v>3.2282563607408452</v>
      </c>
      <c r="Y18" s="90" t="str">
        <f t="shared" si="0"/>
        <v>Accommodation and food</v>
      </c>
      <c r="Z18" s="39">
        <f t="shared" si="9"/>
        <v>2.9001988046052141</v>
      </c>
      <c r="AA18" s="11">
        <v>8.41715005869405</v>
      </c>
      <c r="AB18" s="93">
        <v>1.2401845545007941</v>
      </c>
      <c r="AC18" s="93">
        <v>2.7856660704349108</v>
      </c>
      <c r="AD18" s="93">
        <f t="shared" si="10"/>
        <v>4.0258506249357051</v>
      </c>
      <c r="AE18" s="93"/>
      <c r="AF18" s="39">
        <f t="shared" si="11"/>
        <v>2.6294544068126147</v>
      </c>
      <c r="AG18" s="93">
        <v>0.26152951231038224</v>
      </c>
      <c r="AH18" s="93">
        <v>-4.5405475739936016E-2</v>
      </c>
      <c r="AI18" s="93">
        <v>7.7502654523601097E-2</v>
      </c>
      <c r="AJ18" s="93">
        <f t="shared" si="12"/>
        <v>3.2097178783665081E-2</v>
      </c>
      <c r="AL18" s="39">
        <f t="shared" si="13"/>
        <v>2.7712915947119443</v>
      </c>
      <c r="AM18" s="93">
        <v>1.603753842229815</v>
      </c>
      <c r="AN18" s="93">
        <v>0.37014463186933377</v>
      </c>
      <c r="AO18" s="93">
        <v>0.50417456272407901</v>
      </c>
      <c r="AP18" s="93">
        <f t="shared" si="14"/>
        <v>0.87431919459341279</v>
      </c>
      <c r="AQ18" s="106"/>
      <c r="AR18" s="39">
        <f t="shared" si="15"/>
        <v>2.9421782199993585</v>
      </c>
      <c r="AS18" s="93">
        <v>6.5518667041538512</v>
      </c>
      <c r="AT18" s="93">
        <v>0.91544539837139627</v>
      </c>
      <c r="AU18" s="93">
        <v>2.2039888531872305</v>
      </c>
      <c r="AV18" s="93">
        <f t="shared" si="16"/>
        <v>3.1194342515586269</v>
      </c>
      <c r="AW18" s="90" t="str">
        <f t="shared" si="17"/>
        <v>Accommodation and food</v>
      </c>
      <c r="AX18" s="39">
        <f t="shared" si="18"/>
        <v>2.6824624047876666</v>
      </c>
      <c r="AY18" s="11">
        <v>1.5529698962248977</v>
      </c>
      <c r="AZ18" s="93">
        <v>-0.46999464299830562</v>
      </c>
      <c r="BA18" s="93">
        <v>0.47063529840578655</v>
      </c>
      <c r="BB18" s="93">
        <f t="shared" si="19"/>
        <v>6.4065540748092786E-4</v>
      </c>
      <c r="BC18" s="93"/>
      <c r="BD18" s="39">
        <f t="shared" si="20"/>
        <v>2.5523204536911814</v>
      </c>
      <c r="BE18" s="93">
        <v>0.13614442022126955</v>
      </c>
      <c r="BF18" s="93">
        <v>-6.3296157131409597E-2</v>
      </c>
      <c r="BG18" s="93">
        <v>3.9023576340022549E-2</v>
      </c>
      <c r="BH18" s="93">
        <f t="shared" si="21"/>
        <v>-2.4272580791387048E-2</v>
      </c>
      <c r="BJ18" s="39">
        <f t="shared" si="22"/>
        <v>2.6286177015529599</v>
      </c>
      <c r="BK18" s="93">
        <v>0.68908932411816504</v>
      </c>
      <c r="BL18" s="93">
        <v>-0.20218556619821521</v>
      </c>
      <c r="BM18" s="93">
        <v>0.20413453714844726</v>
      </c>
      <c r="BN18" s="93">
        <f t="shared" si="23"/>
        <v>1.948970950232054E-3</v>
      </c>
      <c r="BO18" s="106"/>
      <c r="BP18" s="39">
        <f t="shared" si="24"/>
        <v>2.7572901368161595</v>
      </c>
      <c r="BQ18" s="93">
        <v>0.72773615188546292</v>
      </c>
      <c r="BR18" s="93">
        <v>-0.20451291966868082</v>
      </c>
      <c r="BS18" s="93">
        <v>0.22747718491731678</v>
      </c>
      <c r="BT18" s="93">
        <f t="shared" si="25"/>
        <v>2.2964265248635957E-2</v>
      </c>
      <c r="BU18" s="90" t="str">
        <f t="shared" si="26"/>
        <v>Accommodation and food</v>
      </c>
      <c r="BV18" s="39">
        <f t="shared" si="27"/>
        <v>2.2597619936791435</v>
      </c>
      <c r="BW18" s="11">
        <v>2.763662773835291</v>
      </c>
      <c r="BX18" s="93">
        <v>-0.23042163432403942</v>
      </c>
      <c r="BY18" s="93">
        <v>0.69201169643440363</v>
      </c>
      <c r="BZ18" s="93">
        <f t="shared" si="28"/>
        <v>0.46159006211036424</v>
      </c>
      <c r="CA18" s="93"/>
      <c r="CB18" s="39">
        <f t="shared" si="29"/>
        <v>2.2744187655870496</v>
      </c>
      <c r="CC18" s="93">
        <v>0.53420672462394658</v>
      </c>
      <c r="CD18" s="93">
        <v>-0.18314245506199275</v>
      </c>
      <c r="CE18" s="93">
        <v>0.13472154653176011</v>
      </c>
      <c r="CF18" s="93">
        <f t="shared" si="30"/>
        <v>-4.8420908530232648E-2</v>
      </c>
      <c r="CH18" s="39">
        <f t="shared" si="31"/>
        <v>2.2063029939758838</v>
      </c>
      <c r="CI18" s="93">
        <v>1.9276589348892854</v>
      </c>
      <c r="CJ18" s="93">
        <v>-4.5954991332827419E-2</v>
      </c>
      <c r="CK18" s="93">
        <v>0.47010811803984248</v>
      </c>
      <c r="CL18" s="93">
        <f t="shared" si="32"/>
        <v>0.42415312670701505</v>
      </c>
      <c r="CM18" s="106"/>
      <c r="CN18" s="39">
        <f t="shared" si="33"/>
        <v>2.5701813988873834</v>
      </c>
      <c r="CO18" s="93">
        <v>0.30179711432205908</v>
      </c>
      <c r="CP18" s="93">
        <v>-1.3241879292192368E-3</v>
      </c>
      <c r="CQ18" s="93">
        <v>8.7182031862801102E-2</v>
      </c>
      <c r="CR18" s="93">
        <f t="shared" si="34"/>
        <v>8.5857843933581868E-2</v>
      </c>
      <c r="CS18" s="90" t="str">
        <f t="shared" si="35"/>
        <v>Accommodation and food</v>
      </c>
      <c r="CT18" s="39">
        <f t="shared" si="36"/>
        <v>2.2214077027330692</v>
      </c>
      <c r="CU18" s="11">
        <v>0.21921727124574525</v>
      </c>
      <c r="CV18" s="93">
        <v>-0.15176827717845895</v>
      </c>
      <c r="CW18" s="93">
        <v>5.386489625759925E-2</v>
      </c>
      <c r="CX18" s="93">
        <f t="shared" si="37"/>
        <v>-9.7903380920859706E-2</v>
      </c>
      <c r="CY18" s="93"/>
      <c r="CZ18" s="39">
        <f t="shared" si="38"/>
        <v>2.8636185424038896</v>
      </c>
      <c r="DA18" s="93">
        <v>4.9919460732474302E-2</v>
      </c>
      <c r="DB18" s="93">
        <v>-2.6391300940876338E-2</v>
      </c>
      <c r="DC18" s="93">
        <v>1.6285093241777283E-2</v>
      </c>
      <c r="DD18" s="93">
        <f t="shared" si="39"/>
        <v>-1.0106207699099055E-2</v>
      </c>
      <c r="DF18" s="39">
        <f t="shared" si="40"/>
        <v>2.0249088908695478</v>
      </c>
      <c r="DG18" s="93">
        <v>0.16929781051327095</v>
      </c>
      <c r="DH18" s="93">
        <v>-0.12537697623758262</v>
      </c>
      <c r="DI18" s="93">
        <v>3.7579803015821964E-2</v>
      </c>
      <c r="DJ18" s="93">
        <f t="shared" si="41"/>
        <v>-8.7797173221760658E-2</v>
      </c>
      <c r="DK18" s="106"/>
      <c r="DL18" s="39">
        <f t="shared" si="42"/>
        <v>0</v>
      </c>
      <c r="DM18" s="93">
        <v>0</v>
      </c>
      <c r="DN18" s="93">
        <v>0</v>
      </c>
      <c r="DO18" s="93">
        <v>0</v>
      </c>
      <c r="DP18" s="93">
        <f t="shared" si="43"/>
        <v>0</v>
      </c>
    </row>
    <row r="19" spans="1:120" x14ac:dyDescent="0.2">
      <c r="A19" s="90" t="str">
        <f>name!B15</f>
        <v>Media</v>
      </c>
      <c r="B19" s="39">
        <f t="shared" si="1"/>
        <v>2.650879874909351</v>
      </c>
      <c r="C19" s="11">
        <v>16.661999999999964</v>
      </c>
      <c r="D19" s="93">
        <v>-1.8919999999999957</v>
      </c>
      <c r="E19" s="93">
        <v>4.9828157385534926</v>
      </c>
      <c r="F19" s="93">
        <f t="shared" si="2"/>
        <v>3.0908157385534967</v>
      </c>
      <c r="G19" s="93"/>
      <c r="H19" s="39">
        <f t="shared" si="3"/>
        <v>2.421853726448564</v>
      </c>
      <c r="I19" s="93">
        <v>1.9434405643167627</v>
      </c>
      <c r="J19" s="93">
        <v>-0.90855133713639524</v>
      </c>
      <c r="K19" s="93">
        <v>0.52542579270375545</v>
      </c>
      <c r="L19" s="93">
        <f t="shared" si="4"/>
        <v>-0.3831255444326398</v>
      </c>
      <c r="N19" s="39">
        <f t="shared" si="5"/>
        <v>2.4061732586688978</v>
      </c>
      <c r="O19" s="93">
        <v>7.733476770699653</v>
      </c>
      <c r="P19" s="93">
        <v>-1.0294803032346584</v>
      </c>
      <c r="Q19" s="93">
        <v>2.0757813219951484</v>
      </c>
      <c r="R19" s="93">
        <f t="shared" si="6"/>
        <v>1.04630101876049</v>
      </c>
      <c r="S19" s="106"/>
      <c r="T19" s="39">
        <f t="shared" si="7"/>
        <v>2.9772916903296753</v>
      </c>
      <c r="U19" s="93">
        <v>6.9850826649835493</v>
      </c>
      <c r="V19" s="93">
        <v>4.6031640371057968E-2</v>
      </c>
      <c r="W19" s="93">
        <v>2.3816086238545888</v>
      </c>
      <c r="X19" s="93">
        <f t="shared" si="8"/>
        <v>2.4276402642256469</v>
      </c>
      <c r="Y19" s="90" t="str">
        <f t="shared" si="0"/>
        <v>Media</v>
      </c>
      <c r="Z19" s="39">
        <f t="shared" si="9"/>
        <v>2.9185657815322896</v>
      </c>
      <c r="AA19" s="11">
        <v>8.3794062941985281</v>
      </c>
      <c r="AB19" s="93">
        <v>-0.17587640052692693</v>
      </c>
      <c r="AC19" s="93">
        <v>2.7930973117040807</v>
      </c>
      <c r="AD19" s="93">
        <f t="shared" si="10"/>
        <v>2.6172209111771538</v>
      </c>
      <c r="AE19" s="93"/>
      <c r="AF19" s="39">
        <f t="shared" si="11"/>
        <v>2.7459576371490213</v>
      </c>
      <c r="AG19" s="93">
        <v>0.31243496317011898</v>
      </c>
      <c r="AH19" s="93">
        <v>-0.10738960201360218</v>
      </c>
      <c r="AI19" s="93">
        <v>9.7209482795084096E-2</v>
      </c>
      <c r="AJ19" s="93">
        <f t="shared" si="12"/>
        <v>-1.018011921851808E-2</v>
      </c>
      <c r="AL19" s="39">
        <f t="shared" si="13"/>
        <v>2.6372520747176109</v>
      </c>
      <c r="AM19" s="93">
        <v>2.000766979672798</v>
      </c>
      <c r="AN19" s="93">
        <v>-0.14537129206384908</v>
      </c>
      <c r="AO19" s="93">
        <v>0.59488625177063192</v>
      </c>
      <c r="AP19" s="93">
        <f t="shared" si="14"/>
        <v>0.44951495970678285</v>
      </c>
      <c r="AQ19" s="106"/>
      <c r="AR19" s="39">
        <f t="shared" si="15"/>
        <v>3.0186007978292295</v>
      </c>
      <c r="AS19" s="93">
        <v>6.0662043513556112</v>
      </c>
      <c r="AT19" s="93">
        <v>7.6884493550524291E-2</v>
      </c>
      <c r="AU19" s="93">
        <v>2.1010015771383648</v>
      </c>
      <c r="AV19" s="93">
        <f t="shared" si="16"/>
        <v>2.177886070688889</v>
      </c>
      <c r="AW19" s="90" t="str">
        <f t="shared" si="17"/>
        <v>Media</v>
      </c>
      <c r="AX19" s="39">
        <f t="shared" si="18"/>
        <v>2.6651859485115947</v>
      </c>
      <c r="AY19" s="11">
        <v>1.664971822536162</v>
      </c>
      <c r="AZ19" s="93">
        <v>-0.7022088254799439</v>
      </c>
      <c r="BA19" s="93">
        <v>0.50093050963156127</v>
      </c>
      <c r="BB19" s="93">
        <f t="shared" si="19"/>
        <v>-0.20127831584838263</v>
      </c>
      <c r="BC19" s="93"/>
      <c r="BD19" s="39">
        <f t="shared" si="20"/>
        <v>2.581820000482149</v>
      </c>
      <c r="BE19" s="93">
        <v>0.26372544688368038</v>
      </c>
      <c r="BF19" s="93">
        <v>-0.10831956062703628</v>
      </c>
      <c r="BG19" s="93">
        <v>7.6569920735424277E-2</v>
      </c>
      <c r="BH19" s="93">
        <f t="shared" si="21"/>
        <v>-3.1749639891612003E-2</v>
      </c>
      <c r="BJ19" s="39">
        <f t="shared" si="22"/>
        <v>2.6382225672916038</v>
      </c>
      <c r="BK19" s="93">
        <v>0.90622693590093328</v>
      </c>
      <c r="BL19" s="93">
        <v>-0.31112932759164502</v>
      </c>
      <c r="BM19" s="93">
        <v>0.26955881347514621</v>
      </c>
      <c r="BN19" s="93">
        <f t="shared" si="23"/>
        <v>-4.1570514116498813E-2</v>
      </c>
      <c r="BO19" s="106"/>
      <c r="BP19" s="39">
        <f t="shared" si="24"/>
        <v>2.7583597057282416</v>
      </c>
      <c r="BQ19" s="93">
        <v>0.4950194397515485</v>
      </c>
      <c r="BR19" s="93">
        <v>-0.28275993726126269</v>
      </c>
      <c r="BS19" s="93">
        <v>0.15480177542099077</v>
      </c>
      <c r="BT19" s="93">
        <f t="shared" si="25"/>
        <v>-0.12795816184027192</v>
      </c>
      <c r="BU19" s="90" t="str">
        <f t="shared" si="26"/>
        <v>Media</v>
      </c>
      <c r="BV19" s="39">
        <f t="shared" si="27"/>
        <v>2.301250253200271</v>
      </c>
      <c r="BW19" s="11">
        <v>5.9165033698801821</v>
      </c>
      <c r="BX19" s="93">
        <v>-1.0278366832146471</v>
      </c>
      <c r="BY19" s="93">
        <v>1.5115416978807021</v>
      </c>
      <c r="BZ19" s="93">
        <f t="shared" si="28"/>
        <v>0.48370501466605509</v>
      </c>
      <c r="CA19" s="93"/>
      <c r="CB19" s="39">
        <f t="shared" si="29"/>
        <v>2.3115008885774335</v>
      </c>
      <c r="CC19" s="93">
        <v>1.2498018824231734</v>
      </c>
      <c r="CD19" s="93">
        <v>-0.61465964280907215</v>
      </c>
      <c r="CE19" s="93">
        <v>0.32087094919664594</v>
      </c>
      <c r="CF19" s="93">
        <f t="shared" si="30"/>
        <v>-0.29378869361242621</v>
      </c>
      <c r="CH19" s="39">
        <f t="shared" si="31"/>
        <v>2.2668844506140928</v>
      </c>
      <c r="CI19" s="93">
        <v>4.2539717403366248</v>
      </c>
      <c r="CJ19" s="93">
        <v>-0.61145217832122922</v>
      </c>
      <c r="CK19" s="93">
        <v>1.0688859433031883</v>
      </c>
      <c r="CL19" s="93">
        <f t="shared" si="32"/>
        <v>0.45743376498195909</v>
      </c>
      <c r="CM19" s="106"/>
      <c r="CN19" s="39">
        <f t="shared" si="33"/>
        <v>2.6193775887513038</v>
      </c>
      <c r="CO19" s="93">
        <v>0.41272974712038374</v>
      </c>
      <c r="CP19" s="93">
        <v>0.19827513791565432</v>
      </c>
      <c r="CQ19" s="93">
        <v>0.12178480538086794</v>
      </c>
      <c r="CR19" s="93">
        <f t="shared" si="34"/>
        <v>0.32005994329652226</v>
      </c>
      <c r="CS19" s="90" t="str">
        <f t="shared" si="35"/>
        <v>Media</v>
      </c>
      <c r="CT19" s="39">
        <f t="shared" si="36"/>
        <v>2.2794409399427673</v>
      </c>
      <c r="CU19" s="11">
        <v>0.70111851338509235</v>
      </c>
      <c r="CV19" s="93">
        <v>1.3921909221522149E-2</v>
      </c>
      <c r="CW19" s="93">
        <v>0.17724621933714907</v>
      </c>
      <c r="CX19" s="93">
        <f t="shared" si="37"/>
        <v>0.19116812855867121</v>
      </c>
      <c r="CY19" s="93"/>
      <c r="CZ19" s="39">
        <f t="shared" si="38"/>
        <v>2.3539960057005649</v>
      </c>
      <c r="DA19" s="93">
        <v>0.11747827183979</v>
      </c>
      <c r="DB19" s="93">
        <v>-7.8182531686684584E-2</v>
      </c>
      <c r="DC19" s="93">
        <v>3.0775439976601052E-2</v>
      </c>
      <c r="DD19" s="93">
        <f t="shared" si="39"/>
        <v>-4.7407091710083532E-2</v>
      </c>
      <c r="DF19" s="39">
        <f t="shared" si="40"/>
        <v>2.2468339355165234</v>
      </c>
      <c r="DG19" s="93">
        <v>0.57251111478929684</v>
      </c>
      <c r="DH19" s="93">
        <v>3.8472494742064697E-2</v>
      </c>
      <c r="DI19" s="93">
        <v>0.14245031344618231</v>
      </c>
      <c r="DJ19" s="93">
        <f t="shared" si="41"/>
        <v>0.18092280818824702</v>
      </c>
      <c r="DK19" s="106"/>
      <c r="DL19" s="39">
        <f t="shared" si="42"/>
        <v>3.132129843378717</v>
      </c>
      <c r="DM19" s="93">
        <v>1.1129126756005558E-2</v>
      </c>
      <c r="DN19" s="93">
        <v>5.3631946166142037E-2</v>
      </c>
      <c r="DO19" s="93">
        <v>4.0204659143656838E-3</v>
      </c>
      <c r="DP19" s="93">
        <f t="shared" si="43"/>
        <v>5.7652412080507719E-2</v>
      </c>
    </row>
    <row r="20" spans="1:120" x14ac:dyDescent="0.2">
      <c r="A20" s="90" t="str">
        <f>name!B16</f>
        <v>Information technology</v>
      </c>
      <c r="B20" s="39">
        <f t="shared" si="1"/>
        <v>2.630000270050048</v>
      </c>
      <c r="C20" s="11">
        <v>34.601999999999876</v>
      </c>
      <c r="D20" s="93">
        <v>-3.8549999999999471</v>
      </c>
      <c r="E20" s="93">
        <v>10.256474686233423</v>
      </c>
      <c r="F20" s="93">
        <f t="shared" si="2"/>
        <v>6.4014746862334757</v>
      </c>
      <c r="G20" s="93"/>
      <c r="H20" s="39">
        <f t="shared" si="3"/>
        <v>2.4896239324975644</v>
      </c>
      <c r="I20" s="93">
        <v>6.3842523172142389</v>
      </c>
      <c r="J20" s="93">
        <v>-1.3027470433857931</v>
      </c>
      <c r="K20" s="93">
        <v>1.7798612708286927</v>
      </c>
      <c r="L20" s="93">
        <f t="shared" si="4"/>
        <v>0.47711422744289966</v>
      </c>
      <c r="N20" s="39">
        <f t="shared" si="5"/>
        <v>2.5461854565335118</v>
      </c>
      <c r="O20" s="93">
        <v>18.08880807286123</v>
      </c>
      <c r="P20" s="93">
        <v>-2.1012037936311048</v>
      </c>
      <c r="Q20" s="93">
        <v>5.1709423641740262</v>
      </c>
      <c r="R20" s="93">
        <f t="shared" si="6"/>
        <v>3.0697385705429214</v>
      </c>
      <c r="S20" s="106"/>
      <c r="T20" s="39">
        <f t="shared" si="7"/>
        <v>2.8646399549337564</v>
      </c>
      <c r="U20" s="93">
        <v>10.128939609924409</v>
      </c>
      <c r="V20" s="93">
        <v>-0.45104916298304948</v>
      </c>
      <c r="W20" s="93">
        <v>3.3056710512307044</v>
      </c>
      <c r="X20" s="93">
        <f t="shared" si="8"/>
        <v>2.8546218882476548</v>
      </c>
      <c r="Y20" s="90" t="str">
        <f t="shared" si="0"/>
        <v>Information technology</v>
      </c>
      <c r="Z20" s="39">
        <f t="shared" si="9"/>
        <v>2.8552821094793401</v>
      </c>
      <c r="AA20" s="11">
        <v>13.953182859548033</v>
      </c>
      <c r="AB20" s="93">
        <v>-1.67980428374619</v>
      </c>
      <c r="AC20" s="93">
        <v>4.5369181113981396</v>
      </c>
      <c r="AD20" s="93">
        <f t="shared" si="10"/>
        <v>2.8571138276519497</v>
      </c>
      <c r="AE20" s="93"/>
      <c r="AF20" s="39">
        <f t="shared" si="11"/>
        <v>2.798663449076022</v>
      </c>
      <c r="AG20" s="93">
        <v>1.2847958755225881</v>
      </c>
      <c r="AH20" s="93">
        <v>-0.12384047360641834</v>
      </c>
      <c r="AI20" s="93">
        <v>0.40840629030865233</v>
      </c>
      <c r="AJ20" s="93">
        <f t="shared" si="12"/>
        <v>0.28456581670223402</v>
      </c>
      <c r="AL20" s="39">
        <f t="shared" si="13"/>
        <v>2.7559320611477256</v>
      </c>
      <c r="AM20" s="93">
        <v>4.8268191334861674</v>
      </c>
      <c r="AN20" s="93">
        <v>-0.57107107367591969</v>
      </c>
      <c r="AO20" s="93">
        <v>1.5079392492593697</v>
      </c>
      <c r="AP20" s="93">
        <f t="shared" si="14"/>
        <v>0.93686817558345004</v>
      </c>
      <c r="AQ20" s="106"/>
      <c r="AR20" s="39">
        <f t="shared" si="15"/>
        <v>2.9252105333952505</v>
      </c>
      <c r="AS20" s="93">
        <v>7.8415678505392767</v>
      </c>
      <c r="AT20" s="93">
        <v>-0.98489273646385189</v>
      </c>
      <c r="AU20" s="93">
        <v>2.6205725718301167</v>
      </c>
      <c r="AV20" s="93">
        <f t="shared" si="16"/>
        <v>1.6356798353662647</v>
      </c>
      <c r="AW20" s="90" t="str">
        <f t="shared" si="17"/>
        <v>Information technology</v>
      </c>
      <c r="AX20" s="39">
        <f t="shared" si="18"/>
        <v>2.6748514920266198</v>
      </c>
      <c r="AY20" s="11">
        <v>4.2099312351777032</v>
      </c>
      <c r="AZ20" s="93">
        <v>-0.56161412539516631</v>
      </c>
      <c r="BA20" s="93">
        <v>1.2717759825285015</v>
      </c>
      <c r="BB20" s="93">
        <f t="shared" si="19"/>
        <v>0.71016185713333524</v>
      </c>
      <c r="BC20" s="93"/>
      <c r="BD20" s="39">
        <f t="shared" si="20"/>
        <v>2.5994582145060452</v>
      </c>
      <c r="BE20" s="93">
        <v>0.53565838194452042</v>
      </c>
      <c r="BF20" s="93">
        <v>-7.8618004194655866E-2</v>
      </c>
      <c r="BG20" s="93">
        <v>0.15671215650903289</v>
      </c>
      <c r="BH20" s="93">
        <f t="shared" si="21"/>
        <v>7.8094152314377024E-2</v>
      </c>
      <c r="BJ20" s="39">
        <f t="shared" si="22"/>
        <v>2.6483527756445246</v>
      </c>
      <c r="BK20" s="93">
        <v>2.2560634885597532</v>
      </c>
      <c r="BL20" s="93">
        <v>-0.30542322205299727</v>
      </c>
      <c r="BM20" s="93">
        <v>0.67396040804007895</v>
      </c>
      <c r="BN20" s="93">
        <f t="shared" si="23"/>
        <v>0.36853718598708168</v>
      </c>
      <c r="BO20" s="106"/>
      <c r="BP20" s="39">
        <f t="shared" si="24"/>
        <v>2.7451216362557762</v>
      </c>
      <c r="BQ20" s="93">
        <v>1.4182093646734297</v>
      </c>
      <c r="BR20" s="93">
        <v>-0.17757289914751315</v>
      </c>
      <c r="BS20" s="93">
        <v>0.44110341797938962</v>
      </c>
      <c r="BT20" s="93">
        <f t="shared" si="25"/>
        <v>0.2635305188318765</v>
      </c>
      <c r="BU20" s="90" t="str">
        <f t="shared" si="26"/>
        <v>Information technology</v>
      </c>
      <c r="BV20" s="39">
        <f t="shared" si="27"/>
        <v>2.4242377604531073</v>
      </c>
      <c r="BW20" s="11">
        <v>15.223628532016798</v>
      </c>
      <c r="BX20" s="93">
        <v>-1.9724996964398605</v>
      </c>
      <c r="BY20" s="93">
        <v>4.1203403348407761</v>
      </c>
      <c r="BZ20" s="93">
        <f t="shared" si="28"/>
        <v>2.1478406384009157</v>
      </c>
      <c r="CA20" s="93"/>
      <c r="CB20" s="39">
        <f t="shared" si="29"/>
        <v>2.4043230891266143</v>
      </c>
      <c r="CC20" s="93">
        <v>4.0549670831540263</v>
      </c>
      <c r="CD20" s="93">
        <v>-0.87521384736118646</v>
      </c>
      <c r="CE20" s="93">
        <v>1.0874848929554206</v>
      </c>
      <c r="CF20" s="93">
        <f t="shared" si="30"/>
        <v>0.21227104559423415</v>
      </c>
      <c r="CH20" s="39">
        <f t="shared" si="31"/>
        <v>2.4287404250380895</v>
      </c>
      <c r="CI20" s="93">
        <v>10.383652468950638</v>
      </c>
      <c r="CJ20" s="93">
        <v>-1.3016002996443403</v>
      </c>
      <c r="CK20" s="93">
        <v>2.8161814283025186</v>
      </c>
      <c r="CL20" s="93">
        <f t="shared" si="32"/>
        <v>1.5145811286581783</v>
      </c>
      <c r="CM20" s="106"/>
      <c r="CN20" s="39">
        <f t="shared" si="33"/>
        <v>2.4673648385086233</v>
      </c>
      <c r="CO20" s="93">
        <v>0.78500897991213381</v>
      </c>
      <c r="CP20" s="93">
        <v>0.20431445056566661</v>
      </c>
      <c r="CQ20" s="93">
        <v>0.21667401358283661</v>
      </c>
      <c r="CR20" s="93">
        <f t="shared" si="34"/>
        <v>0.42098846414850322</v>
      </c>
      <c r="CS20" s="90" t="str">
        <f t="shared" si="35"/>
        <v>Information technology</v>
      </c>
      <c r="CT20" s="39">
        <f t="shared" si="36"/>
        <v>2.4144541847002987</v>
      </c>
      <c r="CU20" s="11">
        <v>1.2152573732573435</v>
      </c>
      <c r="CV20" s="93">
        <v>0.35891810558126896</v>
      </c>
      <c r="CW20" s="93">
        <v>0.32744025746600702</v>
      </c>
      <c r="CX20" s="93">
        <f t="shared" si="37"/>
        <v>0.68635836304727604</v>
      </c>
      <c r="CY20" s="93"/>
      <c r="CZ20" s="39">
        <f t="shared" si="38"/>
        <v>2.2573250871402939</v>
      </c>
      <c r="DA20" s="93">
        <v>0.50883097659310417</v>
      </c>
      <c r="DB20" s="93">
        <v>-0.22507471822353237</v>
      </c>
      <c r="DC20" s="93">
        <v>0.12725793105558686</v>
      </c>
      <c r="DD20" s="93">
        <f t="shared" si="39"/>
        <v>-9.7816787167945507E-2</v>
      </c>
      <c r="DF20" s="39">
        <f t="shared" si="40"/>
        <v>2.4816129596337833</v>
      </c>
      <c r="DG20" s="93">
        <v>0.62227298186467062</v>
      </c>
      <c r="DH20" s="93">
        <v>7.6890801742152348E-2</v>
      </c>
      <c r="DI20" s="93">
        <v>0.1728612785720591</v>
      </c>
      <c r="DJ20" s="93">
        <f t="shared" si="41"/>
        <v>0.24975208031421145</v>
      </c>
      <c r="DK20" s="106"/>
      <c r="DL20" s="39">
        <f t="shared" si="42"/>
        <v>2.8514371248256065</v>
      </c>
      <c r="DM20" s="93">
        <v>8.4153414799568824E-2</v>
      </c>
      <c r="DN20" s="93">
        <v>0.50710202206264898</v>
      </c>
      <c r="DO20" s="93">
        <v>2.7321047838361107E-2</v>
      </c>
      <c r="DP20" s="93">
        <f t="shared" si="43"/>
        <v>0.53442306990101007</v>
      </c>
    </row>
    <row r="21" spans="1:120" x14ac:dyDescent="0.2">
      <c r="A21" s="90" t="str">
        <f>name!B17</f>
        <v>Finance and insurance</v>
      </c>
      <c r="B21" s="39">
        <f t="shared" si="1"/>
        <v>2.4812804219719098</v>
      </c>
      <c r="C21" s="11">
        <v>33.322999999999901</v>
      </c>
      <c r="D21" s="93">
        <v>-3.4569999999999741</v>
      </c>
      <c r="E21" s="93">
        <v>9.2554181233713848</v>
      </c>
      <c r="F21" s="93">
        <f t="shared" si="2"/>
        <v>5.7984181233714107</v>
      </c>
      <c r="G21" s="93"/>
      <c r="H21" s="39">
        <f t="shared" si="3"/>
        <v>2.3436986854765918</v>
      </c>
      <c r="I21" s="93">
        <v>7.7779668974735596</v>
      </c>
      <c r="J21" s="93">
        <v>-2.1913610207501648</v>
      </c>
      <c r="K21" s="93">
        <v>2.0277008362964004</v>
      </c>
      <c r="L21" s="93">
        <f t="shared" si="4"/>
        <v>-0.1636601844537644</v>
      </c>
      <c r="N21" s="39">
        <f t="shared" si="5"/>
        <v>2.3961637037624106</v>
      </c>
      <c r="O21" s="93">
        <v>18.946833896500934</v>
      </c>
      <c r="P21" s="93">
        <v>-1.9125527829377933</v>
      </c>
      <c r="Q21" s="93">
        <v>5.0621349318084921</v>
      </c>
      <c r="R21" s="93">
        <f t="shared" si="6"/>
        <v>3.1495821488706985</v>
      </c>
      <c r="S21" s="106"/>
      <c r="T21" s="39">
        <f t="shared" si="7"/>
        <v>2.878971077935244</v>
      </c>
      <c r="U21" s="93">
        <v>6.5981992060254084</v>
      </c>
      <c r="V21" s="93">
        <v>0.64691380368798412</v>
      </c>
      <c r="W21" s="93">
        <v>2.1655823552664915</v>
      </c>
      <c r="X21" s="93">
        <f t="shared" si="8"/>
        <v>2.8124961589544757</v>
      </c>
      <c r="Y21" s="90" t="str">
        <f t="shared" si="0"/>
        <v>Finance and insurance</v>
      </c>
      <c r="Z21" s="39">
        <f t="shared" si="9"/>
        <v>2.798959749955654</v>
      </c>
      <c r="AA21" s="11">
        <v>12.270868694716109</v>
      </c>
      <c r="AB21" s="93">
        <v>2.9764862885854111</v>
      </c>
      <c r="AC21" s="93">
        <v>3.9010857145843958</v>
      </c>
      <c r="AD21" s="93">
        <f t="shared" si="10"/>
        <v>6.8775720031698064</v>
      </c>
      <c r="AE21" s="93"/>
      <c r="AF21" s="39">
        <f t="shared" si="11"/>
        <v>2.7178804906447418</v>
      </c>
      <c r="AG21" s="93">
        <v>1.4082979674661906</v>
      </c>
      <c r="AH21" s="93">
        <v>5.2896058974020416E-2</v>
      </c>
      <c r="AI21" s="93">
        <v>0.43313132387053488</v>
      </c>
      <c r="AJ21" s="93">
        <f t="shared" si="12"/>
        <v>0.48602738284455527</v>
      </c>
      <c r="AL21" s="39">
        <f t="shared" si="13"/>
        <v>2.6905674486324749</v>
      </c>
      <c r="AM21" s="93">
        <v>5.7129298402976092</v>
      </c>
      <c r="AN21" s="93">
        <v>2.2476050941027323</v>
      </c>
      <c r="AO21" s="93">
        <v>1.737210049999393</v>
      </c>
      <c r="AP21" s="93">
        <f t="shared" si="14"/>
        <v>3.9848151441021251</v>
      </c>
      <c r="AQ21" s="106"/>
      <c r="AR21" s="39">
        <f t="shared" si="15"/>
        <v>2.939861842779945</v>
      </c>
      <c r="AS21" s="93">
        <v>5.1496408869523096</v>
      </c>
      <c r="AT21" s="93">
        <v>0.67598513550865802</v>
      </c>
      <c r="AU21" s="93">
        <v>1.7307443407144678</v>
      </c>
      <c r="AV21" s="93">
        <f t="shared" si="16"/>
        <v>2.4067294762231257</v>
      </c>
      <c r="AW21" s="90" t="str">
        <f t="shared" si="17"/>
        <v>Finance and insurance</v>
      </c>
      <c r="AX21" s="39">
        <f t="shared" si="18"/>
        <v>2.6672196716569507</v>
      </c>
      <c r="AY21" s="11">
        <v>3.1291828896233556</v>
      </c>
      <c r="AZ21" s="93">
        <v>4.7662543576286416E-2</v>
      </c>
      <c r="BA21" s="93">
        <v>0.94226572050611046</v>
      </c>
      <c r="BB21" s="93">
        <f t="shared" si="19"/>
        <v>0.98992826408239687</v>
      </c>
      <c r="BC21" s="93"/>
      <c r="BD21" s="39">
        <f t="shared" si="20"/>
        <v>2.6037899995889902</v>
      </c>
      <c r="BE21" s="93">
        <v>0.61592438154919227</v>
      </c>
      <c r="BF21" s="93">
        <v>-3.7382232284277769E-2</v>
      </c>
      <c r="BG21" s="93">
        <v>0.18053095656887813</v>
      </c>
      <c r="BH21" s="93">
        <f t="shared" si="21"/>
        <v>0.14314872428460035</v>
      </c>
      <c r="BJ21" s="39">
        <f t="shared" si="22"/>
        <v>2.6401755891724665</v>
      </c>
      <c r="BK21" s="93">
        <v>1.812577752323878</v>
      </c>
      <c r="BL21" s="93">
        <v>-1.6849737964863366E-2</v>
      </c>
      <c r="BM21" s="93">
        <v>0.53960200635034938</v>
      </c>
      <c r="BN21" s="93">
        <f t="shared" si="23"/>
        <v>0.52275226838548605</v>
      </c>
      <c r="BO21" s="106"/>
      <c r="BP21" s="39">
        <f t="shared" si="24"/>
        <v>2.7920140765933743</v>
      </c>
      <c r="BQ21" s="93">
        <v>0.70068075575028521</v>
      </c>
      <c r="BR21" s="93">
        <v>0.10189451382542755</v>
      </c>
      <c r="BS21" s="93">
        <v>0.22213275758688292</v>
      </c>
      <c r="BT21" s="93">
        <f t="shared" si="25"/>
        <v>0.32402727141231047</v>
      </c>
      <c r="BU21" s="90" t="str">
        <f t="shared" si="26"/>
        <v>Finance and insurance</v>
      </c>
      <c r="BV21" s="39">
        <f t="shared" si="27"/>
        <v>2.2225807612637372</v>
      </c>
      <c r="BW21" s="11">
        <v>17.010496310706994</v>
      </c>
      <c r="BX21" s="93">
        <v>-6.2268929517639569</v>
      </c>
      <c r="BY21" s="93">
        <v>4.1821600833902677</v>
      </c>
      <c r="BZ21" s="93">
        <f t="shared" si="28"/>
        <v>-2.0447328683736892</v>
      </c>
      <c r="CA21" s="93"/>
      <c r="CB21" s="39">
        <f t="shared" si="29"/>
        <v>2.2178133748506523</v>
      </c>
      <c r="CC21" s="93">
        <v>5.361386794682045</v>
      </c>
      <c r="CD21" s="93">
        <v>-2.3999699747148724</v>
      </c>
      <c r="CE21" s="93">
        <v>1.3150232829970165</v>
      </c>
      <c r="CF21" s="93">
        <f t="shared" si="30"/>
        <v>-1.0849466917178558</v>
      </c>
      <c r="CH21" s="39">
        <f t="shared" si="31"/>
        <v>2.2046166739490669</v>
      </c>
      <c r="CI21" s="93">
        <v>10.966559197882978</v>
      </c>
      <c r="CJ21" s="93">
        <v>-3.7501749723874718</v>
      </c>
      <c r="CK21" s="93">
        <v>2.6722208134635381</v>
      </c>
      <c r="CL21" s="93">
        <f t="shared" si="32"/>
        <v>-1.0779541589239336</v>
      </c>
      <c r="CM21" s="106"/>
      <c r="CN21" s="39">
        <f t="shared" si="33"/>
        <v>2.5438402112385017</v>
      </c>
      <c r="CO21" s="93">
        <v>0.68255031814196876</v>
      </c>
      <c r="CP21" s="93">
        <v>-7.6748004661612662E-2</v>
      </c>
      <c r="CQ21" s="93">
        <v>0.19491598692971274</v>
      </c>
      <c r="CR21" s="93">
        <f t="shared" si="34"/>
        <v>0.11816798226810007</v>
      </c>
      <c r="CS21" s="90" t="str">
        <f t="shared" si="35"/>
        <v>Finance and insurance</v>
      </c>
      <c r="CT21" s="39">
        <f t="shared" si="36"/>
        <v>2.2725870846393104</v>
      </c>
      <c r="CU21" s="11">
        <v>0.91245210495344775</v>
      </c>
      <c r="CV21" s="93">
        <v>-0.25425588039771407</v>
      </c>
      <c r="CW21" s="93">
        <v>0.22990660489061099</v>
      </c>
      <c r="CX21" s="93">
        <f t="shared" si="37"/>
        <v>-2.4349275507103085E-2</v>
      </c>
      <c r="CY21" s="93"/>
      <c r="CZ21" s="39">
        <f t="shared" si="38"/>
        <v>2.2758052007650242</v>
      </c>
      <c r="DA21" s="93">
        <v>0.3923577537761323</v>
      </c>
      <c r="DB21" s="93">
        <v>0.19309512727496547</v>
      </c>
      <c r="DC21" s="93">
        <v>9.9015272859970554E-2</v>
      </c>
      <c r="DD21" s="93">
        <f t="shared" si="39"/>
        <v>0.29211040013493605</v>
      </c>
      <c r="DF21" s="39">
        <f t="shared" si="40"/>
        <v>2.2459052950809522</v>
      </c>
      <c r="DG21" s="93">
        <v>0.4547671059964703</v>
      </c>
      <c r="DH21" s="93">
        <v>-0.3931331666881907</v>
      </c>
      <c r="DI21" s="93">
        <v>0.11310206199521274</v>
      </c>
      <c r="DJ21" s="93">
        <f t="shared" si="41"/>
        <v>-0.28003110469297798</v>
      </c>
      <c r="DK21" s="106"/>
      <c r="DL21" s="39">
        <f t="shared" si="42"/>
        <v>2.4375771949586511</v>
      </c>
      <c r="DM21" s="93">
        <v>6.5327245180845164E-2</v>
      </c>
      <c r="DN21" s="93">
        <v>-5.4217840984488806E-2</v>
      </c>
      <c r="DO21" s="93">
        <v>1.7789270035427705E-2</v>
      </c>
      <c r="DP21" s="93">
        <f t="shared" si="43"/>
        <v>-3.6428570949061101E-2</v>
      </c>
    </row>
    <row r="22" spans="1:120" x14ac:dyDescent="0.2">
      <c r="A22" s="90" t="str">
        <f>name!B18</f>
        <v>Real estate</v>
      </c>
      <c r="B22" s="39">
        <f t="shared" si="1"/>
        <v>2.6116897758494684</v>
      </c>
      <c r="C22" s="11">
        <v>6.1683349428474763</v>
      </c>
      <c r="D22" s="93">
        <v>0.196627540592925</v>
      </c>
      <c r="E22" s="93">
        <v>1.8141175570326864</v>
      </c>
      <c r="F22" s="93">
        <f t="shared" si="2"/>
        <v>2.0107450976256116</v>
      </c>
      <c r="G22" s="93"/>
      <c r="H22" s="39">
        <f t="shared" si="3"/>
        <v>2.514226030268718</v>
      </c>
      <c r="I22" s="93">
        <v>1.4414399971181822</v>
      </c>
      <c r="J22" s="93">
        <v>-0.35250015246161959</v>
      </c>
      <c r="K22" s="93">
        <v>0.40628757914793828</v>
      </c>
      <c r="L22" s="93">
        <f t="shared" si="4"/>
        <v>5.3787426686318696E-2</v>
      </c>
      <c r="N22" s="39">
        <f t="shared" si="5"/>
        <v>2.6214470082087438</v>
      </c>
      <c r="O22" s="93">
        <v>2.3753843717507803</v>
      </c>
      <c r="P22" s="93">
        <v>0.12579529520222252</v>
      </c>
      <c r="Q22" s="93">
        <v>0.701528764239294</v>
      </c>
      <c r="R22" s="93">
        <f t="shared" si="6"/>
        <v>0.82732405944151655</v>
      </c>
      <c r="S22" s="106"/>
      <c r="T22" s="39">
        <f t="shared" si="7"/>
        <v>2.6612106513108635</v>
      </c>
      <c r="U22" s="93">
        <v>2.3515105739785147</v>
      </c>
      <c r="V22" s="93">
        <v>0.42333239785232213</v>
      </c>
      <c r="W22" s="93">
        <v>0.70630121364545417</v>
      </c>
      <c r="X22" s="93">
        <f t="shared" si="8"/>
        <v>1.1296336114977763</v>
      </c>
      <c r="Y22" s="90" t="str">
        <f t="shared" si="0"/>
        <v>Real estate</v>
      </c>
      <c r="Z22" s="39">
        <f t="shared" si="9"/>
        <v>2.7183631629002836</v>
      </c>
      <c r="AA22" s="11">
        <v>3.1732901245624543</v>
      </c>
      <c r="AB22" s="93">
        <v>0.6841817025054634</v>
      </c>
      <c r="AC22" s="93">
        <v>0.97616127527036756</v>
      </c>
      <c r="AD22" s="93">
        <f t="shared" si="10"/>
        <v>1.660342977775831</v>
      </c>
      <c r="AE22" s="93"/>
      <c r="AF22" s="39">
        <f t="shared" si="11"/>
        <v>2.6131607505413434</v>
      </c>
      <c r="AG22" s="93">
        <v>0.19250680994422617</v>
      </c>
      <c r="AH22" s="93">
        <v>0.16401414967811412</v>
      </c>
      <c r="AI22" s="93">
        <v>5.6652287723932618E-2</v>
      </c>
      <c r="AJ22" s="93">
        <f t="shared" si="12"/>
        <v>0.22066643740204672</v>
      </c>
      <c r="AL22" s="39">
        <f t="shared" si="13"/>
        <v>2.8445633977957741</v>
      </c>
      <c r="AM22" s="93">
        <v>0.85860730100895899</v>
      </c>
      <c r="AN22" s="93">
        <v>4.2190547756578954E-2</v>
      </c>
      <c r="AO22" s="93">
        <v>0.27799351979985232</v>
      </c>
      <c r="AP22" s="93">
        <f t="shared" si="14"/>
        <v>0.32018406755643125</v>
      </c>
      <c r="AQ22" s="106"/>
      <c r="AR22" s="39">
        <f t="shared" si="15"/>
        <v>2.6764431790775811</v>
      </c>
      <c r="AS22" s="93">
        <v>2.1221760136092689</v>
      </c>
      <c r="AT22" s="93">
        <v>0.47797700507077023</v>
      </c>
      <c r="AU22" s="93">
        <v>0.64151546774658263</v>
      </c>
      <c r="AV22" s="93">
        <f t="shared" si="16"/>
        <v>1.119492472817353</v>
      </c>
      <c r="AW22" s="90" t="str">
        <f t="shared" si="17"/>
        <v>Real estate</v>
      </c>
      <c r="AX22" s="39">
        <f t="shared" si="18"/>
        <v>2.6817205379647824</v>
      </c>
      <c r="AY22" s="11">
        <v>0.48397528340046003</v>
      </c>
      <c r="AZ22" s="93">
        <v>-0.12994053725972496</v>
      </c>
      <c r="BA22" s="93">
        <v>0.14662556967400292</v>
      </c>
      <c r="BB22" s="93">
        <f t="shared" si="19"/>
        <v>1.6685032414277962E-2</v>
      </c>
      <c r="BC22" s="93"/>
      <c r="BD22" s="39">
        <f t="shared" si="20"/>
        <v>2.6291172026759568</v>
      </c>
      <c r="BE22" s="93">
        <v>9.4966037850212306E-2</v>
      </c>
      <c r="BF22" s="93">
        <v>-2.1192060628218386E-2</v>
      </c>
      <c r="BG22" s="93">
        <v>2.8138553500052236E-2</v>
      </c>
      <c r="BH22" s="93">
        <f t="shared" si="21"/>
        <v>6.9464928718338502E-3</v>
      </c>
      <c r="BJ22" s="39">
        <f t="shared" si="22"/>
        <v>2.6564659717416284</v>
      </c>
      <c r="BK22" s="93">
        <v>0.28934641044130943</v>
      </c>
      <c r="BL22" s="93">
        <v>-6.9725317303981571E-2</v>
      </c>
      <c r="BM22" s="93">
        <v>8.6734415154016753E-2</v>
      </c>
      <c r="BN22" s="93">
        <f t="shared" si="23"/>
        <v>1.7009097850035182E-2</v>
      </c>
      <c r="BO22" s="106"/>
      <c r="BP22" s="39">
        <f t="shared" si="24"/>
        <v>2.8043080569318812</v>
      </c>
      <c r="BQ22" s="93">
        <v>9.9662835108938322E-2</v>
      </c>
      <c r="BR22" s="93">
        <v>-3.9023159327524995E-2</v>
      </c>
      <c r="BS22" s="93">
        <v>3.1752601019933914E-2</v>
      </c>
      <c r="BT22" s="93">
        <f t="shared" si="25"/>
        <v>-7.270558307591081E-3</v>
      </c>
      <c r="BU22" s="90" t="str">
        <f t="shared" si="26"/>
        <v>Real estate</v>
      </c>
      <c r="BV22" s="39">
        <f t="shared" si="27"/>
        <v>2.4416221739186561</v>
      </c>
      <c r="BW22" s="11">
        <v>2.2997640416194169</v>
      </c>
      <c r="BX22" s="93">
        <v>-0.8033658212946152</v>
      </c>
      <c r="BY22" s="93">
        <v>0.6274046319250105</v>
      </c>
      <c r="BZ22" s="93">
        <f t="shared" si="28"/>
        <v>-0.1759611893696047</v>
      </c>
      <c r="CA22" s="93"/>
      <c r="CB22" s="39">
        <f t="shared" si="29"/>
        <v>2.4552545911513901</v>
      </c>
      <c r="CC22" s="93">
        <v>1.0388676866360598</v>
      </c>
      <c r="CD22" s="93">
        <v>-0.38022277882383149</v>
      </c>
      <c r="CE22" s="93">
        <v>0.285176888828165</v>
      </c>
      <c r="CF22" s="93">
        <f t="shared" si="30"/>
        <v>-9.5045889995666488E-2</v>
      </c>
      <c r="CH22" s="39">
        <f t="shared" si="31"/>
        <v>2.4368885305120269</v>
      </c>
      <c r="CI22" s="93">
        <v>1.1528693059881228</v>
      </c>
      <c r="CJ22" s="93">
        <v>-0.40179371550567344</v>
      </c>
      <c r="CK22" s="93">
        <v>0.31383937301156528</v>
      </c>
      <c r="CL22" s="93">
        <f t="shared" si="32"/>
        <v>-8.7954342494108162E-2</v>
      </c>
      <c r="CM22" s="106"/>
      <c r="CN22" s="39">
        <f t="shared" si="33"/>
        <v>2.3606641104796822</v>
      </c>
      <c r="CO22" s="93">
        <v>0.10802704899523392</v>
      </c>
      <c r="CP22" s="93">
        <v>-2.134932696511032E-2</v>
      </c>
      <c r="CQ22" s="93">
        <v>2.8388370085280102E-2</v>
      </c>
      <c r="CR22" s="93">
        <f t="shared" si="34"/>
        <v>7.0390431201697821E-3</v>
      </c>
      <c r="CS22" s="90" t="str">
        <f t="shared" si="35"/>
        <v>Real estate</v>
      </c>
      <c r="CT22" s="39">
        <f t="shared" si="36"/>
        <v>2.6783181831917302</v>
      </c>
      <c r="CU22" s="11">
        <v>0.21130549326514642</v>
      </c>
      <c r="CV22" s="93">
        <v>0.44575219664180188</v>
      </c>
      <c r="CW22" s="93">
        <v>6.3926080163305615E-2</v>
      </c>
      <c r="CX22" s="93">
        <f t="shared" si="37"/>
        <v>0.50967827680510747</v>
      </c>
      <c r="CY22" s="93"/>
      <c r="CZ22" s="39">
        <f t="shared" si="38"/>
        <v>2.7805168236047173</v>
      </c>
      <c r="DA22" s="93">
        <v>0.11509946268768383</v>
      </c>
      <c r="DB22" s="93">
        <v>-0.11509946268768383</v>
      </c>
      <c r="DC22" s="93">
        <v>3.6319849095788476E-2</v>
      </c>
      <c r="DD22" s="93">
        <f t="shared" si="39"/>
        <v>-7.8779613591895351E-2</v>
      </c>
      <c r="DF22" s="39">
        <f t="shared" si="40"/>
        <v>2.7210008218849335</v>
      </c>
      <c r="DG22" s="93">
        <v>7.4561354312388889E-2</v>
      </c>
      <c r="DH22" s="93">
        <v>0.55512378025529863</v>
      </c>
      <c r="DI22" s="93">
        <v>2.2961456273859673E-2</v>
      </c>
      <c r="DJ22" s="93">
        <f t="shared" si="41"/>
        <v>0.57808523652915833</v>
      </c>
      <c r="DK22" s="106"/>
      <c r="DL22" s="39">
        <f t="shared" si="42"/>
        <v>1.9631026785993377</v>
      </c>
      <c r="DM22" s="93">
        <v>2.1644676265073697E-2</v>
      </c>
      <c r="DN22" s="93">
        <v>5.7278790741871642E-3</v>
      </c>
      <c r="DO22" s="93">
        <v>4.64477479365746E-3</v>
      </c>
      <c r="DP22" s="93">
        <f t="shared" si="43"/>
        <v>1.0372653867844625E-2</v>
      </c>
    </row>
    <row r="23" spans="1:120" x14ac:dyDescent="0.2">
      <c r="A23" s="90" t="str">
        <f>name!B19</f>
        <v>Professional services</v>
      </c>
      <c r="B23" s="39">
        <f t="shared" si="1"/>
        <v>2.6743157766083714</v>
      </c>
      <c r="C23" s="11">
        <v>38.965266386568921</v>
      </c>
      <c r="D23" s="93">
        <v>11.458986137276469</v>
      </c>
      <c r="E23" s="93">
        <v>11.768350327197798</v>
      </c>
      <c r="F23" s="93">
        <f t="shared" si="2"/>
        <v>23.227336464474266</v>
      </c>
      <c r="G23" s="93"/>
      <c r="H23" s="39">
        <f t="shared" si="3"/>
        <v>2.5161455631662166</v>
      </c>
      <c r="I23" s="93">
        <v>10.746753519096059</v>
      </c>
      <c r="J23" s="93">
        <v>0.60470899426028668</v>
      </c>
      <c r="K23" s="93">
        <v>3.0316842468873038</v>
      </c>
      <c r="L23" s="93">
        <f t="shared" si="4"/>
        <v>3.6363932411475903</v>
      </c>
      <c r="N23" s="39">
        <f t="shared" si="5"/>
        <v>2.6382849635641303</v>
      </c>
      <c r="O23" s="93">
        <v>19.377813500619759</v>
      </c>
      <c r="P23" s="93">
        <v>6.3961252707032488</v>
      </c>
      <c r="Q23" s="93">
        <v>5.7641179254827515</v>
      </c>
      <c r="R23" s="93">
        <f t="shared" si="6"/>
        <v>12.160243196186</v>
      </c>
      <c r="S23" s="106"/>
      <c r="T23" s="39">
        <f t="shared" si="7"/>
        <v>2.9409728215002984</v>
      </c>
      <c r="U23" s="93">
        <v>8.8406993668531033</v>
      </c>
      <c r="V23" s="93">
        <v>4.4581518723129312</v>
      </c>
      <c r="W23" s="93">
        <v>2.972548154827741</v>
      </c>
      <c r="X23" s="93">
        <f t="shared" si="8"/>
        <v>7.4307000271406718</v>
      </c>
      <c r="Y23" s="90" t="str">
        <f t="shared" si="0"/>
        <v>Professional services</v>
      </c>
      <c r="Z23" s="39">
        <f t="shared" si="9"/>
        <v>3.0111146972381153</v>
      </c>
      <c r="AA23" s="11">
        <v>12.983727410431358</v>
      </c>
      <c r="AB23" s="93">
        <v>7.3161535468635082</v>
      </c>
      <c r="AC23" s="93">
        <v>4.4841548751658866</v>
      </c>
      <c r="AD23" s="93">
        <f t="shared" si="10"/>
        <v>11.800308422029396</v>
      </c>
      <c r="AE23" s="93"/>
      <c r="AF23" s="39">
        <f t="shared" si="11"/>
        <v>2.8731628500449968</v>
      </c>
      <c r="AG23" s="93">
        <v>1.9378479390650463</v>
      </c>
      <c r="AH23" s="93">
        <v>1.549926671508655</v>
      </c>
      <c r="AI23" s="93">
        <v>0.63456461426776711</v>
      </c>
      <c r="AJ23" s="93">
        <f t="shared" si="12"/>
        <v>2.184491285776422</v>
      </c>
      <c r="AL23" s="39">
        <f t="shared" si="13"/>
        <v>3.0369546647093459</v>
      </c>
      <c r="AM23" s="93">
        <v>4.9791010176174728</v>
      </c>
      <c r="AN23" s="93">
        <v>2.6541784276946645</v>
      </c>
      <c r="AO23" s="93">
        <v>1.7364411510950009</v>
      </c>
      <c r="AP23" s="93">
        <f t="shared" si="14"/>
        <v>4.3906195787896651</v>
      </c>
      <c r="AQ23" s="106"/>
      <c r="AR23" s="39">
        <f t="shared" si="15"/>
        <v>3.0336611731275553</v>
      </c>
      <c r="AS23" s="93">
        <v>6.0667784537488378</v>
      </c>
      <c r="AT23" s="93">
        <v>3.1120484476601886</v>
      </c>
      <c r="AU23" s="93">
        <v>2.113149109803119</v>
      </c>
      <c r="AV23" s="93">
        <f t="shared" si="16"/>
        <v>5.2251975574633072</v>
      </c>
      <c r="AW23" s="90" t="str">
        <f t="shared" si="17"/>
        <v>Professional services</v>
      </c>
      <c r="AX23" s="39">
        <f t="shared" si="18"/>
        <v>2.6662390167296435</v>
      </c>
      <c r="AY23" s="11">
        <v>4.377709221482184</v>
      </c>
      <c r="AZ23" s="93">
        <v>0.80308463988107726</v>
      </c>
      <c r="BA23" s="93">
        <v>1.3176803910698349</v>
      </c>
      <c r="BB23" s="93">
        <f t="shared" si="19"/>
        <v>2.1207650309509121</v>
      </c>
      <c r="BC23" s="93"/>
      <c r="BD23" s="39">
        <f t="shared" si="20"/>
        <v>2.5700639379084178</v>
      </c>
      <c r="BE23" s="93">
        <v>0.73699369082515398</v>
      </c>
      <c r="BF23" s="93">
        <v>8.1502387714943961E-2</v>
      </c>
      <c r="BG23" s="93">
        <v>0.21288912804948243</v>
      </c>
      <c r="BH23" s="93">
        <f t="shared" si="21"/>
        <v>0.2943915157644264</v>
      </c>
      <c r="BJ23" s="39">
        <f t="shared" si="22"/>
        <v>2.6279165568233287</v>
      </c>
      <c r="BK23" s="93">
        <v>2.307013712695364</v>
      </c>
      <c r="BL23" s="93">
        <v>0.55219489458428639</v>
      </c>
      <c r="BM23" s="93">
        <v>0.6832211463125315</v>
      </c>
      <c r="BN23" s="93">
        <f t="shared" si="23"/>
        <v>1.2354160408968178</v>
      </c>
      <c r="BO23" s="106"/>
      <c r="BP23" s="39">
        <f t="shared" si="24"/>
        <v>2.784722232207959</v>
      </c>
      <c r="BQ23" s="93">
        <v>1.3337018179616666</v>
      </c>
      <c r="BR23" s="93">
        <v>0.16938735758184675</v>
      </c>
      <c r="BS23" s="93">
        <v>0.42157011670782107</v>
      </c>
      <c r="BT23" s="93">
        <f t="shared" si="25"/>
        <v>0.59095747428966783</v>
      </c>
      <c r="BU23" s="90" t="str">
        <f t="shared" si="26"/>
        <v>Professional services</v>
      </c>
      <c r="BV23" s="39">
        <f t="shared" si="27"/>
        <v>2.4703617034511627</v>
      </c>
      <c r="BW23" s="11">
        <v>20.365934087380882</v>
      </c>
      <c r="BX23" s="93">
        <v>2.1048678580900813</v>
      </c>
      <c r="BY23" s="93">
        <v>5.6288985612392128</v>
      </c>
      <c r="BZ23" s="93">
        <f t="shared" si="28"/>
        <v>7.7337664193292941</v>
      </c>
      <c r="CA23" s="93"/>
      <c r="CB23" s="39">
        <f t="shared" si="29"/>
        <v>2.4286762007679874</v>
      </c>
      <c r="CC23" s="93">
        <v>7.4477312798356223</v>
      </c>
      <c r="CD23" s="93">
        <v>-0.68225133953011141</v>
      </c>
      <c r="CE23" s="93">
        <v>2.0198621022347334</v>
      </c>
      <c r="CF23" s="93">
        <f t="shared" si="30"/>
        <v>1.3376107627046219</v>
      </c>
      <c r="CH23" s="39">
        <f t="shared" si="31"/>
        <v>2.4720591117074919</v>
      </c>
      <c r="CI23" s="93">
        <v>11.586627461599615</v>
      </c>
      <c r="CJ23" s="93">
        <v>1.943280535192967</v>
      </c>
      <c r="CK23" s="93">
        <v>3.2048540580010663</v>
      </c>
      <c r="CL23" s="93">
        <f t="shared" si="32"/>
        <v>5.1481345931940332</v>
      </c>
      <c r="CM23" s="106"/>
      <c r="CN23" s="39">
        <f t="shared" si="33"/>
        <v>2.6862600536722958</v>
      </c>
      <c r="CO23" s="93">
        <v>1.3315753459456456</v>
      </c>
      <c r="CP23" s="93">
        <v>0.84383866242722605</v>
      </c>
      <c r="CQ23" s="93">
        <v>0.40418240100341252</v>
      </c>
      <c r="CR23" s="93">
        <f t="shared" si="34"/>
        <v>1.2480210634306386</v>
      </c>
      <c r="CS23" s="90" t="str">
        <f t="shared" si="35"/>
        <v>Professional services</v>
      </c>
      <c r="CT23" s="39">
        <f t="shared" si="36"/>
        <v>2.4409911721383182</v>
      </c>
      <c r="CU23" s="11">
        <v>1.2378956672744925</v>
      </c>
      <c r="CV23" s="93">
        <v>1.2348800924418006</v>
      </c>
      <c r="CW23" s="93">
        <v>0.33761649972286273</v>
      </c>
      <c r="CX23" s="93">
        <f t="shared" si="37"/>
        <v>1.5724965921646634</v>
      </c>
      <c r="CY23" s="93"/>
      <c r="CZ23" s="39">
        <f t="shared" si="38"/>
        <v>2.365082760893733</v>
      </c>
      <c r="DA23" s="93">
        <v>0.62418060937023667</v>
      </c>
      <c r="DB23" s="93">
        <v>-0.34446872543320101</v>
      </c>
      <c r="DC23" s="93">
        <v>0.16436840233532063</v>
      </c>
      <c r="DD23" s="93">
        <f t="shared" si="39"/>
        <v>-0.18010032309788038</v>
      </c>
      <c r="DF23" s="39">
        <f t="shared" si="40"/>
        <v>2.4704563056764162</v>
      </c>
      <c r="DG23" s="93">
        <v>0.50507130870730466</v>
      </c>
      <c r="DH23" s="93">
        <v>1.2464714132313313</v>
      </c>
      <c r="DI23" s="93">
        <v>0.13960157007415316</v>
      </c>
      <c r="DJ23" s="93">
        <f t="shared" si="41"/>
        <v>1.3860729833054843</v>
      </c>
      <c r="DK23" s="106"/>
      <c r="DL23" s="39">
        <f t="shared" si="42"/>
        <v>2.7346741769566751</v>
      </c>
      <c r="DM23" s="93">
        <v>0.10864374919695106</v>
      </c>
      <c r="DN23" s="93">
        <v>0.33287740464367022</v>
      </c>
      <c r="DO23" s="93">
        <v>3.3646527313388873E-2</v>
      </c>
      <c r="DP23" s="93">
        <f t="shared" si="43"/>
        <v>0.36652393195705907</v>
      </c>
    </row>
    <row r="24" spans="1:120" x14ac:dyDescent="0.2">
      <c r="A24" s="90" t="str">
        <f>name!B20</f>
        <v>Support services</v>
      </c>
      <c r="B24" s="39">
        <f t="shared" si="1"/>
        <v>2.784566936730104</v>
      </c>
      <c r="C24" s="11">
        <v>18.720999999999954</v>
      </c>
      <c r="D24" s="93">
        <v>-3.057999999999971</v>
      </c>
      <c r="E24" s="93">
        <v>5.9171529721011353</v>
      </c>
      <c r="F24" s="93">
        <f t="shared" si="2"/>
        <v>2.8591529721011644</v>
      </c>
      <c r="G24" s="93"/>
      <c r="H24" s="39">
        <f t="shared" si="3"/>
        <v>2.6966927781337358</v>
      </c>
      <c r="I24" s="93">
        <v>1.8191700717908714</v>
      </c>
      <c r="J24" s="93">
        <v>6.4644504245958259E-2</v>
      </c>
      <c r="K24" s="93">
        <v>0.55459579978511464</v>
      </c>
      <c r="L24" s="93">
        <f t="shared" si="4"/>
        <v>0.61924030403107289</v>
      </c>
      <c r="N24" s="39">
        <f t="shared" si="5"/>
        <v>2.6438542588397285</v>
      </c>
      <c r="O24" s="93">
        <v>7.3253420053436527</v>
      </c>
      <c r="P24" s="93">
        <v>-2.4007825753231029</v>
      </c>
      <c r="Q24" s="93">
        <v>2.1841522273672624</v>
      </c>
      <c r="R24" s="93">
        <f t="shared" si="6"/>
        <v>-0.21663034795584046</v>
      </c>
      <c r="S24" s="106"/>
      <c r="T24" s="39">
        <f t="shared" si="7"/>
        <v>2.9075064601009837</v>
      </c>
      <c r="U24" s="93">
        <v>9.5764879228654252</v>
      </c>
      <c r="V24" s="93">
        <v>-0.72186192892282663</v>
      </c>
      <c r="W24" s="93">
        <v>3.1784049449487575</v>
      </c>
      <c r="X24" s="93">
        <f t="shared" si="8"/>
        <v>2.4565430160259307</v>
      </c>
      <c r="Y24" s="90" t="str">
        <f t="shared" si="0"/>
        <v>Support services</v>
      </c>
      <c r="Z24" s="39">
        <f t="shared" si="9"/>
        <v>2.8851376822058405</v>
      </c>
      <c r="AA24" s="11">
        <v>10.861879630593116</v>
      </c>
      <c r="AB24" s="93">
        <v>-1.2989925832272919</v>
      </c>
      <c r="AC24" s="93">
        <v>3.5736065944117534</v>
      </c>
      <c r="AD24" s="93">
        <f t="shared" si="10"/>
        <v>2.2746140111844615</v>
      </c>
      <c r="AE24" s="93"/>
      <c r="AF24" s="39">
        <f t="shared" si="11"/>
        <v>2.8363041726111371</v>
      </c>
      <c r="AG24" s="93">
        <v>0.7258796023165236</v>
      </c>
      <c r="AH24" s="93">
        <v>0.20317213116103808</v>
      </c>
      <c r="AI24" s="93">
        <v>0.23424852857398526</v>
      </c>
      <c r="AJ24" s="93">
        <f t="shared" si="12"/>
        <v>0.43742065973502331</v>
      </c>
      <c r="AL24" s="39">
        <f t="shared" si="13"/>
        <v>2.7318188913306285</v>
      </c>
      <c r="AM24" s="93">
        <v>2.8702469151779071</v>
      </c>
      <c r="AN24" s="93">
        <v>-1.1155443530893807</v>
      </c>
      <c r="AO24" s="93">
        <v>0.88785915434127438</v>
      </c>
      <c r="AP24" s="93">
        <f t="shared" si="14"/>
        <v>-0.22768519874810633</v>
      </c>
      <c r="AQ24" s="106"/>
      <c r="AR24" s="39">
        <f t="shared" si="15"/>
        <v>2.949983891234198</v>
      </c>
      <c r="AS24" s="93">
        <v>7.2657531130986843</v>
      </c>
      <c r="AT24" s="93">
        <v>-0.38662036129894933</v>
      </c>
      <c r="AU24" s="93">
        <v>2.4514989114964938</v>
      </c>
      <c r="AV24" s="93">
        <f t="shared" si="16"/>
        <v>2.0648785501975446</v>
      </c>
      <c r="AW24" s="90" t="str">
        <f t="shared" si="17"/>
        <v>Support services</v>
      </c>
      <c r="AX24" s="39">
        <f t="shared" si="18"/>
        <v>2.6712682976482327</v>
      </c>
      <c r="AY24" s="11">
        <v>4.6040936604188767</v>
      </c>
      <c r="AZ24" s="93">
        <v>-0.6550004254648718</v>
      </c>
      <c r="BA24" s="93">
        <v>1.3887564948003865</v>
      </c>
      <c r="BB24" s="93">
        <f t="shared" si="19"/>
        <v>0.73375606933551474</v>
      </c>
      <c r="BC24" s="93"/>
      <c r="BD24" s="39">
        <f t="shared" si="20"/>
        <v>2.5535596624300272</v>
      </c>
      <c r="BE24" s="93">
        <v>0.37306162643140794</v>
      </c>
      <c r="BF24" s="93">
        <v>1.7209773799081063E-3</v>
      </c>
      <c r="BG24" s="93">
        <v>0.10699003130978606</v>
      </c>
      <c r="BH24" s="93">
        <f t="shared" si="21"/>
        <v>0.10871100868969416</v>
      </c>
      <c r="BJ24" s="39">
        <f t="shared" si="22"/>
        <v>2.6033003151062717</v>
      </c>
      <c r="BK24" s="93">
        <v>2.3193614224732308</v>
      </c>
      <c r="BL24" s="93">
        <v>-0.3840544144532913</v>
      </c>
      <c r="BM24" s="93">
        <v>0.67967495424035318</v>
      </c>
      <c r="BN24" s="93">
        <f t="shared" si="23"/>
        <v>0.29562053978706188</v>
      </c>
      <c r="BO24" s="106"/>
      <c r="BP24" s="39">
        <f t="shared" si="24"/>
        <v>2.7758580766296781</v>
      </c>
      <c r="BQ24" s="93">
        <v>1.9116706115142377</v>
      </c>
      <c r="BR24" s="93">
        <v>-0.27266698839148851</v>
      </c>
      <c r="BS24" s="93">
        <v>0.60209150925024713</v>
      </c>
      <c r="BT24" s="93">
        <f t="shared" si="25"/>
        <v>0.32942452085875862</v>
      </c>
      <c r="BU24" s="90" t="str">
        <f t="shared" si="26"/>
        <v>Support services</v>
      </c>
      <c r="BV24" s="39">
        <f t="shared" si="27"/>
        <v>2.5698479897015236</v>
      </c>
      <c r="BW24" s="11">
        <v>2.8786585131525628</v>
      </c>
      <c r="BX24" s="93">
        <v>-1.0291019906527104</v>
      </c>
      <c r="BY24" s="93">
        <v>0.83145560121971473</v>
      </c>
      <c r="BZ24" s="93">
        <f t="shared" si="28"/>
        <v>-0.19764638943299562</v>
      </c>
      <c r="CA24" s="93"/>
      <c r="CB24" s="39">
        <f t="shared" si="29"/>
        <v>2.5646022644531197</v>
      </c>
      <c r="CC24" s="93">
        <v>0.59910933522220677</v>
      </c>
      <c r="CD24" s="93">
        <v>-0.12449271037143683</v>
      </c>
      <c r="CE24" s="93">
        <v>0.17264857384459545</v>
      </c>
      <c r="CF24" s="93">
        <f t="shared" si="30"/>
        <v>4.8155863473158617E-2</v>
      </c>
      <c r="CH24" s="39">
        <f t="shared" si="31"/>
        <v>2.551043008047893</v>
      </c>
      <c r="CI24" s="93">
        <v>1.9475203609870202</v>
      </c>
      <c r="CJ24" s="93">
        <v>-0.84938831927492153</v>
      </c>
      <c r="CK24" s="93">
        <v>0.55791281892363431</v>
      </c>
      <c r="CL24" s="93">
        <f t="shared" si="32"/>
        <v>-0.29147550035128722</v>
      </c>
      <c r="CM24" s="106"/>
      <c r="CN24" s="39">
        <f t="shared" si="33"/>
        <v>2.6888973859664045</v>
      </c>
      <c r="CO24" s="93">
        <v>0.33202881694333602</v>
      </c>
      <c r="CP24" s="93">
        <v>-5.5220961006352098E-2</v>
      </c>
      <c r="CQ24" s="93">
        <v>0.10089420845148493</v>
      </c>
      <c r="CR24" s="93">
        <f t="shared" si="34"/>
        <v>4.5673247445132834E-2</v>
      </c>
      <c r="CS24" s="90" t="str">
        <f t="shared" si="35"/>
        <v>Support services</v>
      </c>
      <c r="CT24" s="39">
        <f t="shared" si="36"/>
        <v>2.8750024457964374</v>
      </c>
      <c r="CU24" s="11">
        <v>0.37636819583539599</v>
      </c>
      <c r="CV24" s="93">
        <v>-7.4905000655096768E-2</v>
      </c>
      <c r="CW24" s="93">
        <v>0.12333428166928057</v>
      </c>
      <c r="CX24" s="93">
        <f t="shared" si="37"/>
        <v>4.8429281014183798E-2</v>
      </c>
      <c r="CY24" s="93"/>
      <c r="CZ24" s="39">
        <f t="shared" si="38"/>
        <v>2.9399620026260287</v>
      </c>
      <c r="DA24" s="93">
        <v>0.12111950782073322</v>
      </c>
      <c r="DB24" s="93">
        <v>-1.5755893923551086E-2</v>
      </c>
      <c r="DC24" s="93">
        <v>4.0708666056747972E-2</v>
      </c>
      <c r="DD24" s="93">
        <f t="shared" si="39"/>
        <v>2.4952772133196886E-2</v>
      </c>
      <c r="DF24" s="39">
        <f t="shared" si="40"/>
        <v>2.7520154670829022</v>
      </c>
      <c r="DG24" s="93">
        <v>0.18821330670549469</v>
      </c>
      <c r="DH24" s="93">
        <v>-5.1795488505508955E-2</v>
      </c>
      <c r="DI24" s="93">
        <v>5.8705299862000827E-2</v>
      </c>
      <c r="DJ24" s="93">
        <f t="shared" si="41"/>
        <v>6.9098113564918726E-3</v>
      </c>
      <c r="DK24" s="106"/>
      <c r="DL24" s="39">
        <f t="shared" si="42"/>
        <v>3.0985559180604971</v>
      </c>
      <c r="DM24" s="93">
        <v>6.7035381309168043E-2</v>
      </c>
      <c r="DN24" s="93">
        <v>-7.3536182260367233E-3</v>
      </c>
      <c r="DO24" s="93">
        <v>2.3920315750531766E-2</v>
      </c>
      <c r="DP24" s="93">
        <f t="shared" si="43"/>
        <v>1.6566697524495043E-2</v>
      </c>
    </row>
    <row r="25" spans="1:120" x14ac:dyDescent="0.2">
      <c r="A25" s="90" t="str">
        <f>name!B21</f>
        <v>Public admin. and defence</v>
      </c>
      <c r="B25" s="39">
        <f t="shared" si="1"/>
        <v>2.7845669367305037</v>
      </c>
      <c r="C25" s="11">
        <v>1.4539999999999971</v>
      </c>
      <c r="D25" s="93">
        <v>0.21500000000000094</v>
      </c>
      <c r="E25" s="93">
        <v>0.45956628499740532</v>
      </c>
      <c r="F25" s="93">
        <f t="shared" si="2"/>
        <v>0.67456628499740623</v>
      </c>
      <c r="G25" s="93"/>
      <c r="H25" s="39">
        <f t="shared" si="3"/>
        <v>2.6966927781336025</v>
      </c>
      <c r="I25" s="93">
        <v>0.14128910231210851</v>
      </c>
      <c r="J25" s="93">
        <v>5.9444251924195786E-2</v>
      </c>
      <c r="K25" s="93">
        <v>4.3073676239935618E-2</v>
      </c>
      <c r="L25" s="93">
        <f t="shared" si="4"/>
        <v>0.10251792816413141</v>
      </c>
      <c r="N25" s="39">
        <f t="shared" si="5"/>
        <v>2.6438542588399061</v>
      </c>
      <c r="O25" s="93">
        <v>0.56893580875873839</v>
      </c>
      <c r="P25" s="93">
        <v>-4.4190249880834614E-2</v>
      </c>
      <c r="Q25" s="93">
        <v>0.1696360952189005</v>
      </c>
      <c r="R25" s="93">
        <f t="shared" si="6"/>
        <v>0.12544584533806588</v>
      </c>
      <c r="S25" s="106"/>
      <c r="T25" s="39">
        <f t="shared" si="7"/>
        <v>2.9075064601016942</v>
      </c>
      <c r="U25" s="93">
        <v>0.74377508892915023</v>
      </c>
      <c r="V25" s="93">
        <v>0.1997459979566398</v>
      </c>
      <c r="W25" s="93">
        <v>0.24685651353856922</v>
      </c>
      <c r="X25" s="93">
        <f t="shared" si="8"/>
        <v>0.44660251149520902</v>
      </c>
      <c r="Y25" s="90" t="str">
        <f t="shared" si="0"/>
        <v>Public admin. and defence</v>
      </c>
      <c r="Z25" s="39">
        <f t="shared" si="9"/>
        <v>2.8851376822067953</v>
      </c>
      <c r="AA25" s="11">
        <v>0.84360733843630331</v>
      </c>
      <c r="AB25" s="93">
        <v>0.17538381792273638</v>
      </c>
      <c r="AC25" s="93">
        <v>0.27755055757017433</v>
      </c>
      <c r="AD25" s="93">
        <f t="shared" si="10"/>
        <v>0.45293437549291071</v>
      </c>
      <c r="AE25" s="93"/>
      <c r="AF25" s="39">
        <f t="shared" si="11"/>
        <v>2.8363041726107818</v>
      </c>
      <c r="AG25" s="93">
        <v>5.6376739584906382E-2</v>
      </c>
      <c r="AH25" s="93">
        <v>4.262009008845738E-2</v>
      </c>
      <c r="AI25" s="93">
        <v>1.819333158200891E-2</v>
      </c>
      <c r="AJ25" s="93">
        <f t="shared" si="12"/>
        <v>6.0813421670466286E-2</v>
      </c>
      <c r="AL25" s="39">
        <f t="shared" si="13"/>
        <v>2.7318188913314945</v>
      </c>
      <c r="AM25" s="93">
        <v>0.2229228681509284</v>
      </c>
      <c r="AN25" s="93">
        <v>-3.594728389981916E-2</v>
      </c>
      <c r="AO25" s="93">
        <v>6.895717164724055E-2</v>
      </c>
      <c r="AP25" s="93">
        <f t="shared" si="14"/>
        <v>3.300988774742139E-2</v>
      </c>
      <c r="AQ25" s="106"/>
      <c r="AR25" s="39">
        <f t="shared" si="15"/>
        <v>2.9499838912350862</v>
      </c>
      <c r="AS25" s="93">
        <v>0.56430773070046847</v>
      </c>
      <c r="AT25" s="93">
        <v>0.16871101173409817</v>
      </c>
      <c r="AU25" s="93">
        <v>0.1904000543409248</v>
      </c>
      <c r="AV25" s="93">
        <f t="shared" si="16"/>
        <v>0.35911106607502297</v>
      </c>
      <c r="AW25" s="90" t="str">
        <f t="shared" si="17"/>
        <v>Public admin. and defence</v>
      </c>
      <c r="AX25" s="39">
        <f t="shared" si="18"/>
        <v>2.6712682976481661</v>
      </c>
      <c r="AY25" s="11">
        <v>0.35758518146798612</v>
      </c>
      <c r="AZ25" s="93">
        <v>6.3217768742032318E-2</v>
      </c>
      <c r="BA25" s="93">
        <v>0.10786026085378261</v>
      </c>
      <c r="BB25" s="93">
        <f t="shared" si="19"/>
        <v>0.17107802959581492</v>
      </c>
      <c r="BC25" s="93"/>
      <c r="BD25" s="39">
        <f t="shared" si="20"/>
        <v>2.5535596624299828</v>
      </c>
      <c r="BE25" s="93">
        <v>2.8974499483491539E-2</v>
      </c>
      <c r="BF25" s="93">
        <v>1.0961155611916022E-2</v>
      </c>
      <c r="BG25" s="93">
        <v>8.3095724333202906E-3</v>
      </c>
      <c r="BH25" s="93">
        <f t="shared" si="21"/>
        <v>1.9270728045236312E-2</v>
      </c>
      <c r="BJ25" s="39">
        <f t="shared" si="22"/>
        <v>2.6033003151064049</v>
      </c>
      <c r="BK25" s="93">
        <v>0.18013735955834875</v>
      </c>
      <c r="BL25" s="93">
        <v>2.6082866221255052E-2</v>
      </c>
      <c r="BM25" s="93">
        <v>5.2788172825711882E-2</v>
      </c>
      <c r="BN25" s="93">
        <f t="shared" si="23"/>
        <v>7.8871039046966934E-2</v>
      </c>
      <c r="BO25" s="106"/>
      <c r="BP25" s="39">
        <f t="shared" si="24"/>
        <v>2.7758580766297891</v>
      </c>
      <c r="BQ25" s="93">
        <v>0.1484733224261458</v>
      </c>
      <c r="BR25" s="93">
        <v>2.6173746908861251E-2</v>
      </c>
      <c r="BS25" s="93">
        <v>4.6762515594750455E-2</v>
      </c>
      <c r="BT25" s="93">
        <f t="shared" si="25"/>
        <v>7.293626250361171E-2</v>
      </c>
      <c r="BU25" s="90" t="str">
        <f t="shared" si="26"/>
        <v>Public admin. and defence</v>
      </c>
      <c r="BV25" s="39">
        <f t="shared" si="27"/>
        <v>2.5698479897014792</v>
      </c>
      <c r="BW25" s="11">
        <v>0.22357616997639901</v>
      </c>
      <c r="BX25" s="93">
        <v>-2.6493246139725597E-2</v>
      </c>
      <c r="BY25" s="93">
        <v>6.4576488658442441E-2</v>
      </c>
      <c r="BZ25" s="93">
        <f t="shared" si="28"/>
        <v>3.8083242518716844E-2</v>
      </c>
      <c r="CA25" s="93"/>
      <c r="CB25" s="39">
        <f t="shared" si="29"/>
        <v>2.5646022644530531</v>
      </c>
      <c r="CC25" s="93">
        <v>4.6530899706966611E-2</v>
      </c>
      <c r="CD25" s="93">
        <v>4.0427545658888358E-3</v>
      </c>
      <c r="CE25" s="93">
        <v>1.3409060753716812E-2</v>
      </c>
      <c r="CF25" s="93">
        <f t="shared" si="30"/>
        <v>1.7451815319605646E-2</v>
      </c>
      <c r="CH25" s="39">
        <f t="shared" si="31"/>
        <v>2.5510430080478264</v>
      </c>
      <c r="CI25" s="93">
        <v>0.1512576574370198</v>
      </c>
      <c r="CJ25" s="93">
        <v>-3.4244162090111052E-2</v>
      </c>
      <c r="CK25" s="93">
        <v>4.3331298473152743E-2</v>
      </c>
      <c r="CL25" s="93">
        <f t="shared" si="32"/>
        <v>9.0871363830416912E-3</v>
      </c>
      <c r="CM25" s="106"/>
      <c r="CN25" s="39">
        <f t="shared" si="33"/>
        <v>2.6888973859667598</v>
      </c>
      <c r="CO25" s="93">
        <v>2.5787612832412595E-2</v>
      </c>
      <c r="CP25" s="93">
        <v>3.7081613844966248E-3</v>
      </c>
      <c r="CQ25" s="93">
        <v>7.836129431572891E-3</v>
      </c>
      <c r="CR25" s="93">
        <f t="shared" si="34"/>
        <v>1.1544290816069516E-2</v>
      </c>
      <c r="CS25" s="90" t="str">
        <f t="shared" si="35"/>
        <v>Public admin. and defence</v>
      </c>
      <c r="CT25" s="39">
        <f t="shared" si="36"/>
        <v>2.8750024457971257</v>
      </c>
      <c r="CU25" s="11">
        <v>2.9231310119308785E-2</v>
      </c>
      <c r="CV25" s="93">
        <v>2.8916594749578122E-3</v>
      </c>
      <c r="CW25" s="93">
        <v>9.578977915005971E-3</v>
      </c>
      <c r="CX25" s="93">
        <f t="shared" si="37"/>
        <v>1.2470637389963783E-2</v>
      </c>
      <c r="CY25" s="93"/>
      <c r="CZ25" s="39">
        <f t="shared" si="38"/>
        <v>2.9399620026260287</v>
      </c>
      <c r="DA25" s="93">
        <v>9.4069635367439817E-3</v>
      </c>
      <c r="DB25" s="93">
        <v>1.8202516579335466E-3</v>
      </c>
      <c r="DC25" s="93">
        <v>3.1617114708896062E-3</v>
      </c>
      <c r="DD25" s="93">
        <f t="shared" si="39"/>
        <v>4.9819631288231525E-3</v>
      </c>
      <c r="DF25" s="39">
        <f t="shared" si="40"/>
        <v>2.7520154670842789</v>
      </c>
      <c r="DG25" s="93">
        <v>1.4617923612441512E-2</v>
      </c>
      <c r="DH25" s="93">
        <v>-8.1670112159448079E-5</v>
      </c>
      <c r="DI25" s="93">
        <v>4.5594522727953144E-3</v>
      </c>
      <c r="DJ25" s="93">
        <f t="shared" si="41"/>
        <v>4.4777821606358662E-3</v>
      </c>
      <c r="DK25" s="106"/>
      <c r="DL25" s="39">
        <f t="shared" si="42"/>
        <v>3.0985559180585875</v>
      </c>
      <c r="DM25" s="93">
        <v>5.2064229701232886E-3</v>
      </c>
      <c r="DN25" s="93">
        <v>1.1530779291837137E-3</v>
      </c>
      <c r="DO25" s="93">
        <v>1.8578141713210513E-3</v>
      </c>
      <c r="DP25" s="93">
        <f t="shared" si="43"/>
        <v>3.0108921005047649E-3</v>
      </c>
    </row>
    <row r="26" spans="1:120" x14ac:dyDescent="0.2">
      <c r="A26" s="90" t="str">
        <f>name!B22</f>
        <v>Education</v>
      </c>
      <c r="B26" s="39">
        <f t="shared" si="1"/>
        <v>2.7941946420653396</v>
      </c>
      <c r="C26" s="11">
        <v>27.519999999999932</v>
      </c>
      <c r="D26" s="93">
        <v>5.4400000000000306</v>
      </c>
      <c r="E26" s="93">
        <v>8.7321954612186001</v>
      </c>
      <c r="F26" s="93">
        <f t="shared" si="2"/>
        <v>14.172195461218632</v>
      </c>
      <c r="G26" s="93"/>
      <c r="H26" s="39">
        <f t="shared" si="3"/>
        <v>2.7029013910380817</v>
      </c>
      <c r="I26" s="93">
        <v>4.1940595367848887</v>
      </c>
      <c r="J26" s="93">
        <v>0.48827775119455635</v>
      </c>
      <c r="K26" s="93">
        <v>1.2819187642232284</v>
      </c>
      <c r="L26" s="93">
        <f t="shared" si="4"/>
        <v>1.7701965154177848</v>
      </c>
      <c r="N26" s="39">
        <f t="shared" si="5"/>
        <v>2.6641720196424856</v>
      </c>
      <c r="O26" s="93">
        <v>13.503625138933433</v>
      </c>
      <c r="P26" s="93">
        <v>0.84821921937760381</v>
      </c>
      <c r="Q26" s="93">
        <v>4.0610233469695309</v>
      </c>
      <c r="R26" s="93">
        <f t="shared" si="6"/>
        <v>4.9092425663471344</v>
      </c>
      <c r="S26" s="106"/>
      <c r="T26" s="39">
        <f t="shared" si="7"/>
        <v>3.008734431358584</v>
      </c>
      <c r="U26" s="93">
        <v>9.822315324281611</v>
      </c>
      <c r="V26" s="93">
        <v>4.1035030294278707</v>
      </c>
      <c r="W26" s="93">
        <v>3.3892533500258399</v>
      </c>
      <c r="X26" s="93">
        <f t="shared" si="8"/>
        <v>7.4927563794537111</v>
      </c>
      <c r="Y26" s="90" t="str">
        <f t="shared" si="0"/>
        <v>Education</v>
      </c>
      <c r="Z26" s="39">
        <f t="shared" si="9"/>
        <v>2.9117760664267189</v>
      </c>
      <c r="AA26" s="11">
        <v>12.395569669075353</v>
      </c>
      <c r="AB26" s="93">
        <v>5.0801062397678249</v>
      </c>
      <c r="AC26" s="93">
        <v>4.1209000120001473</v>
      </c>
      <c r="AD26" s="93">
        <f t="shared" si="10"/>
        <v>9.2010062517679714</v>
      </c>
      <c r="AE26" s="93"/>
      <c r="AF26" s="39">
        <f t="shared" si="11"/>
        <v>2.5937636321570645</v>
      </c>
      <c r="AG26" s="93">
        <v>0.81258397047140074</v>
      </c>
      <c r="AH26" s="93">
        <v>0.63966731573933144</v>
      </c>
      <c r="AI26" s="93">
        <v>0.23714666545277929</v>
      </c>
      <c r="AJ26" s="93">
        <f t="shared" si="12"/>
        <v>0.87681398119211074</v>
      </c>
      <c r="AL26" s="39">
        <f t="shared" si="13"/>
        <v>2.6939990649745837</v>
      </c>
      <c r="AM26" s="93">
        <v>4.0463139611233547</v>
      </c>
      <c r="AN26" s="93">
        <v>0.77655527040304539</v>
      </c>
      <c r="AO26" s="93">
        <v>1.2321825690004835</v>
      </c>
      <c r="AP26" s="93">
        <f t="shared" si="14"/>
        <v>2.0087378394035289</v>
      </c>
      <c r="AQ26" s="106"/>
      <c r="AR26" s="39">
        <f t="shared" si="15"/>
        <v>3.0604341026309489</v>
      </c>
      <c r="AS26" s="93">
        <v>7.5366717374805985</v>
      </c>
      <c r="AT26" s="93">
        <v>3.6638836536254487</v>
      </c>
      <c r="AU26" s="93">
        <v>2.6515707775468846</v>
      </c>
      <c r="AV26" s="93">
        <f t="shared" si="16"/>
        <v>6.3154544311723333</v>
      </c>
      <c r="AW26" s="90" t="str">
        <f t="shared" si="17"/>
        <v>Education</v>
      </c>
      <c r="AX26" s="39">
        <f t="shared" si="18"/>
        <v>2.6688337014858732</v>
      </c>
      <c r="AY26" s="11">
        <v>4.0745695684818486</v>
      </c>
      <c r="AZ26" s="93">
        <v>-0.65076923691411093</v>
      </c>
      <c r="BA26" s="93">
        <v>1.227775929825986</v>
      </c>
      <c r="BB26" s="93">
        <f t="shared" si="19"/>
        <v>0.57700669291187512</v>
      </c>
      <c r="BC26" s="93"/>
      <c r="BD26" s="39">
        <f t="shared" si="20"/>
        <v>2.5882032430875057</v>
      </c>
      <c r="BE26" s="93">
        <v>0.26691123725535981</v>
      </c>
      <c r="BF26" s="93">
        <v>-0.19380533282346687</v>
      </c>
      <c r="BG26" s="93">
        <v>7.7709251306618335E-2</v>
      </c>
      <c r="BH26" s="93">
        <f t="shared" si="21"/>
        <v>-0.11609608151684854</v>
      </c>
      <c r="BJ26" s="39">
        <f t="shared" si="22"/>
        <v>2.6104632834062169</v>
      </c>
      <c r="BK26" s="93">
        <v>2.4396136341847261</v>
      </c>
      <c r="BL26" s="93">
        <v>-0.51114595901616455</v>
      </c>
      <c r="BM26" s="93">
        <v>0.7171170827738349</v>
      </c>
      <c r="BN26" s="93">
        <f t="shared" si="23"/>
        <v>0.20597112375767035</v>
      </c>
      <c r="BO26" s="106"/>
      <c r="BP26" s="39">
        <f t="shared" si="24"/>
        <v>2.7877134101330858</v>
      </c>
      <c r="BQ26" s="93">
        <v>1.3680446970417623</v>
      </c>
      <c r="BR26" s="93">
        <v>5.4182054925520501E-2</v>
      </c>
      <c r="BS26" s="93">
        <v>0.43294959574553271</v>
      </c>
      <c r="BT26" s="93">
        <f t="shared" si="25"/>
        <v>0.48713165067105324</v>
      </c>
      <c r="BU26" s="90" t="str">
        <f t="shared" si="26"/>
        <v>Education</v>
      </c>
      <c r="BV26" s="39">
        <f t="shared" si="27"/>
        <v>2.5719174756100083</v>
      </c>
      <c r="BW26" s="11">
        <v>6.5723358416890418</v>
      </c>
      <c r="BX26" s="93">
        <v>-0.15751225654061013</v>
      </c>
      <c r="BY26" s="93">
        <v>1.9000258963583028</v>
      </c>
      <c r="BZ26" s="93">
        <f t="shared" si="28"/>
        <v>1.7425136398176926</v>
      </c>
      <c r="CA26" s="93"/>
      <c r="CB26" s="39">
        <f t="shared" si="29"/>
        <v>2.5863835000538682</v>
      </c>
      <c r="CC26" s="93">
        <v>1.6317851440554909</v>
      </c>
      <c r="CD26" s="93">
        <v>-0.43279551678413736</v>
      </c>
      <c r="CE26" s="93">
        <v>0.47470859686707906</v>
      </c>
      <c r="CF26" s="93">
        <f t="shared" si="30"/>
        <v>4.1913080082941701E-2</v>
      </c>
      <c r="CH26" s="39">
        <f t="shared" si="31"/>
        <v>2.542118825536166</v>
      </c>
      <c r="CI26" s="93">
        <v>4.3810752206434573</v>
      </c>
      <c r="CJ26" s="93">
        <v>2.5793305536142896E-2</v>
      </c>
      <c r="CK26" s="93">
        <v>1.250158852183944</v>
      </c>
      <c r="CL26" s="93">
        <f t="shared" si="32"/>
        <v>1.275952157720087</v>
      </c>
      <c r="CM26" s="106"/>
      <c r="CN26" s="39">
        <f t="shared" si="33"/>
        <v>2.7611586651374198</v>
      </c>
      <c r="CO26" s="93">
        <v>0.55947547699009315</v>
      </c>
      <c r="CP26" s="93">
        <v>0.24948995470738433</v>
      </c>
      <c r="CQ26" s="93">
        <v>0.17515844730727984</v>
      </c>
      <c r="CR26" s="93">
        <f t="shared" si="34"/>
        <v>0.42464840201466414</v>
      </c>
      <c r="CS26" s="90" t="str">
        <f t="shared" si="35"/>
        <v>Education</v>
      </c>
      <c r="CT26" s="39">
        <f t="shared" si="36"/>
        <v>2.9030497321535176</v>
      </c>
      <c r="CU26" s="11">
        <v>4.4775249207536891</v>
      </c>
      <c r="CV26" s="93">
        <v>1.168175253686927</v>
      </c>
      <c r="CW26" s="93">
        <v>1.4834936230341631</v>
      </c>
      <c r="CX26" s="93">
        <f t="shared" si="37"/>
        <v>2.6516688767210903</v>
      </c>
      <c r="CY26" s="93"/>
      <c r="CZ26" s="39">
        <f t="shared" si="38"/>
        <v>2.9086772572280095</v>
      </c>
      <c r="DA26" s="93">
        <v>1.4827791850026377</v>
      </c>
      <c r="DB26" s="93">
        <v>0.47521128506282911</v>
      </c>
      <c r="DC26" s="93">
        <v>0.4923542505967517</v>
      </c>
      <c r="DD26" s="93">
        <f t="shared" si="39"/>
        <v>0.96756553565958081</v>
      </c>
      <c r="DF26" s="39">
        <f t="shared" si="40"/>
        <v>2.8678141931647749</v>
      </c>
      <c r="DG26" s="93">
        <v>2.6366223229818955</v>
      </c>
      <c r="DH26" s="93">
        <v>0.55701660245458018</v>
      </c>
      <c r="DI26" s="93">
        <v>0.86156484301126879</v>
      </c>
      <c r="DJ26" s="93">
        <f t="shared" si="41"/>
        <v>1.418581445465849</v>
      </c>
      <c r="DK26" s="106"/>
      <c r="DL26" s="39">
        <f t="shared" si="42"/>
        <v>3.1363650139041965</v>
      </c>
      <c r="DM26" s="93">
        <v>0.35812341276915594</v>
      </c>
      <c r="DN26" s="93">
        <v>0.13594736616951764</v>
      </c>
      <c r="DO26" s="93">
        <v>0.12957452942614286</v>
      </c>
      <c r="DP26" s="93">
        <f t="shared" si="43"/>
        <v>0.26552189559566053</v>
      </c>
    </row>
    <row r="27" spans="1:120" x14ac:dyDescent="0.2">
      <c r="A27" s="90" t="str">
        <f>name!B23</f>
        <v>Health and social work</v>
      </c>
      <c r="B27" s="39">
        <f t="shared" si="1"/>
        <v>2.5950961839178666</v>
      </c>
      <c r="C27" s="11">
        <v>275.60199999999969</v>
      </c>
      <c r="D27" s="93">
        <v>-1.6730000000003524</v>
      </c>
      <c r="E27" s="93">
        <v>80.47866678861341</v>
      </c>
      <c r="F27" s="93">
        <f t="shared" si="2"/>
        <v>78.805666788613053</v>
      </c>
      <c r="G27" s="93"/>
      <c r="H27" s="39">
        <f t="shared" si="3"/>
        <v>2.4695756737683316</v>
      </c>
      <c r="I27" s="93">
        <v>81.511675089783012</v>
      </c>
      <c r="J27" s="93">
        <v>-19.797720579312639</v>
      </c>
      <c r="K27" s="93">
        <v>22.520863469623457</v>
      </c>
      <c r="L27" s="93">
        <f t="shared" si="4"/>
        <v>2.7231428903108181</v>
      </c>
      <c r="N27" s="39">
        <f t="shared" si="5"/>
        <v>2.5552337751491017</v>
      </c>
      <c r="O27" s="93">
        <v>150.28991841904894</v>
      </c>
      <c r="P27" s="93">
        <v>8.7057795230669974</v>
      </c>
      <c r="Q27" s="93">
        <v>43.133091870505552</v>
      </c>
      <c r="R27" s="93">
        <f t="shared" si="6"/>
        <v>51.838871393572546</v>
      </c>
      <c r="S27" s="106"/>
      <c r="T27" s="39">
        <f t="shared" si="7"/>
        <v>2.9581093378684198</v>
      </c>
      <c r="U27" s="93">
        <v>43.800406491167763</v>
      </c>
      <c r="V27" s="93">
        <v>9.418941056245286</v>
      </c>
      <c r="W27" s="93">
        <v>14.824711448484381</v>
      </c>
      <c r="X27" s="93">
        <f t="shared" si="8"/>
        <v>24.243652504729667</v>
      </c>
      <c r="Y27" s="90" t="str">
        <f t="shared" si="0"/>
        <v>Health and social work</v>
      </c>
      <c r="Z27" s="39">
        <f t="shared" si="9"/>
        <v>3.1186773432537507</v>
      </c>
      <c r="AA27" s="11">
        <v>64.293915126009693</v>
      </c>
      <c r="AB27" s="93">
        <v>17.722549991381833</v>
      </c>
      <c r="AC27" s="93">
        <v>23.112480454512202</v>
      </c>
      <c r="AD27" s="93">
        <f t="shared" si="10"/>
        <v>40.835030445894034</v>
      </c>
      <c r="AE27" s="93"/>
      <c r="AF27" s="39">
        <f t="shared" si="11"/>
        <v>3.0783063740929206</v>
      </c>
      <c r="AG27" s="93">
        <v>9.9195473983854772</v>
      </c>
      <c r="AH27" s="93">
        <v>1.4973424642898829</v>
      </c>
      <c r="AI27" s="93">
        <v>3.5131923201060649</v>
      </c>
      <c r="AJ27" s="93">
        <f t="shared" si="12"/>
        <v>5.010534784395948</v>
      </c>
      <c r="AL27" s="39">
        <f t="shared" si="13"/>
        <v>3.1315372831501653</v>
      </c>
      <c r="AM27" s="93">
        <v>25.525698517196087</v>
      </c>
      <c r="AN27" s="93">
        <v>10.147584573449684</v>
      </c>
      <c r="AO27" s="93">
        <v>9.2193201705336563</v>
      </c>
      <c r="AP27" s="93">
        <f t="shared" si="14"/>
        <v>19.366904743983341</v>
      </c>
      <c r="AQ27" s="106"/>
      <c r="AR27" s="39">
        <f t="shared" si="15"/>
        <v>3.121149070624285</v>
      </c>
      <c r="AS27" s="93">
        <v>28.848669210428131</v>
      </c>
      <c r="AT27" s="93">
        <v>6.0776229536422628</v>
      </c>
      <c r="AU27" s="93">
        <v>10.379967963872479</v>
      </c>
      <c r="AV27" s="93">
        <f t="shared" si="16"/>
        <v>16.457590917514743</v>
      </c>
      <c r="AW27" s="90" t="str">
        <f t="shared" si="17"/>
        <v>Health and social work</v>
      </c>
      <c r="AX27" s="39">
        <f t="shared" si="18"/>
        <v>2.6759668403012915</v>
      </c>
      <c r="AY27" s="11">
        <v>16.521747365931887</v>
      </c>
      <c r="AZ27" s="93">
        <v>-0.90533997621618789</v>
      </c>
      <c r="BA27" s="93">
        <v>4.9933832774217386</v>
      </c>
      <c r="BB27" s="93">
        <f t="shared" si="19"/>
        <v>4.088043301205551</v>
      </c>
      <c r="BC27" s="93"/>
      <c r="BD27" s="39">
        <f t="shared" si="20"/>
        <v>2.5787165892088737</v>
      </c>
      <c r="BE27" s="93">
        <v>2.1756544236878499</v>
      </c>
      <c r="BF27" s="93">
        <v>-0.17162265131127769</v>
      </c>
      <c r="BG27" s="93">
        <v>0.63082928217437373</v>
      </c>
      <c r="BH27" s="93">
        <f t="shared" si="21"/>
        <v>0.45920663086309604</v>
      </c>
      <c r="BJ27" s="39">
        <f t="shared" si="22"/>
        <v>2.6312555462310261</v>
      </c>
      <c r="BK27" s="93">
        <v>8.5774116106248197</v>
      </c>
      <c r="BL27" s="93">
        <v>-1.3110321038488253</v>
      </c>
      <c r="BM27" s="93">
        <v>2.5438144946044696</v>
      </c>
      <c r="BN27" s="93">
        <f t="shared" si="23"/>
        <v>1.2327823907556443</v>
      </c>
      <c r="BO27" s="106"/>
      <c r="BP27" s="39">
        <f t="shared" si="24"/>
        <v>2.7783786676990552</v>
      </c>
      <c r="BQ27" s="93">
        <v>5.7686813316192156</v>
      </c>
      <c r="BR27" s="93">
        <v>0.57731477894391503</v>
      </c>
      <c r="BS27" s="93">
        <v>1.8187395006428966</v>
      </c>
      <c r="BT27" s="93">
        <f t="shared" si="25"/>
        <v>2.3960542795868118</v>
      </c>
      <c r="BU27" s="90" t="str">
        <f t="shared" si="26"/>
        <v>Health and social work</v>
      </c>
      <c r="BV27" s="39">
        <f t="shared" si="27"/>
        <v>2.4185311777933372</v>
      </c>
      <c r="BW27" s="11">
        <v>185.64731569674743</v>
      </c>
      <c r="BX27" s="93">
        <v>-20.042065793695048</v>
      </c>
      <c r="BY27" s="93">
        <v>50.114846449207548</v>
      </c>
      <c r="BZ27" s="93">
        <f t="shared" si="28"/>
        <v>30.072780655512499</v>
      </c>
      <c r="CA27" s="93"/>
      <c r="CB27" s="39">
        <f t="shared" si="29"/>
        <v>2.3870453919311752</v>
      </c>
      <c r="CC27" s="93">
        <v>65.07948365464064</v>
      </c>
      <c r="CD27" s="93">
        <v>-20.422001047817911</v>
      </c>
      <c r="CE27" s="93">
        <v>17.314254108560334</v>
      </c>
      <c r="CF27" s="93">
        <f t="shared" si="30"/>
        <v>-3.1077469392575772</v>
      </c>
      <c r="CH27" s="39">
        <f t="shared" si="31"/>
        <v>2.4258065702267961</v>
      </c>
      <c r="CI27" s="93">
        <v>111.69445579336453</v>
      </c>
      <c r="CJ27" s="93">
        <v>-1.7999732059359685</v>
      </c>
      <c r="CK27" s="93">
        <v>30.252323208272195</v>
      </c>
      <c r="CL27" s="93">
        <f t="shared" si="32"/>
        <v>28.452350002336225</v>
      </c>
      <c r="CM27" s="106"/>
      <c r="CN27" s="39">
        <f t="shared" si="33"/>
        <v>2.5566857264312626</v>
      </c>
      <c r="CO27" s="93">
        <v>8.8733762487422378</v>
      </c>
      <c r="CP27" s="93">
        <v>2.1799084600588299</v>
      </c>
      <c r="CQ27" s="93">
        <v>2.5482691323750268</v>
      </c>
      <c r="CR27" s="93">
        <f t="shared" si="34"/>
        <v>4.7281775924338572</v>
      </c>
      <c r="CS27" s="90" t="str">
        <f t="shared" si="35"/>
        <v>Health and social work</v>
      </c>
      <c r="CT27" s="39">
        <f t="shared" si="36"/>
        <v>2.2325047123997521</v>
      </c>
      <c r="CU27" s="11">
        <v>9.139021811310748</v>
      </c>
      <c r="CV27" s="93">
        <v>1.5518557785290545</v>
      </c>
      <c r="CW27" s="93">
        <v>2.2579566074718973</v>
      </c>
      <c r="CX27" s="93">
        <f t="shared" si="37"/>
        <v>3.8098123860009521</v>
      </c>
      <c r="CY27" s="93"/>
      <c r="CZ27" s="39">
        <f t="shared" si="38"/>
        <v>2.2155897378276945</v>
      </c>
      <c r="DA27" s="93">
        <v>4.3369896130690391</v>
      </c>
      <c r="DB27" s="93">
        <v>-0.70143934447333278</v>
      </c>
      <c r="DC27" s="93">
        <v>1.0625877587826875</v>
      </c>
      <c r="DD27" s="93">
        <f t="shared" si="39"/>
        <v>0.36114841430935474</v>
      </c>
      <c r="DF27" s="39">
        <f t="shared" si="40"/>
        <v>2.2465820104417666</v>
      </c>
      <c r="DG27" s="93">
        <v>4.4923524978635268</v>
      </c>
      <c r="DH27" s="93">
        <v>1.6692002594021076</v>
      </c>
      <c r="DI27" s="93">
        <v>1.1176339970952323</v>
      </c>
      <c r="DJ27" s="93">
        <f t="shared" si="41"/>
        <v>2.7868342564973396</v>
      </c>
      <c r="DK27" s="106"/>
      <c r="DL27" s="39">
        <f t="shared" si="42"/>
        <v>2.2648343335861076</v>
      </c>
      <c r="DM27" s="93">
        <v>0.30967970037818215</v>
      </c>
      <c r="DN27" s="93">
        <v>0.58409486360027985</v>
      </c>
      <c r="DO27" s="93">
        <v>7.7734851593977319E-2</v>
      </c>
      <c r="DP27" s="93">
        <f t="shared" si="43"/>
        <v>0.66182971519425715</v>
      </c>
    </row>
    <row r="28" spans="1:120" x14ac:dyDescent="0.2">
      <c r="A28" s="90" t="str">
        <f>name!B24</f>
        <v>Arts and entertainment</v>
      </c>
      <c r="B28" s="39">
        <f t="shared" si="1"/>
        <v>2.6894345447805668</v>
      </c>
      <c r="C28" s="11">
        <v>583.99199872311158</v>
      </c>
      <c r="D28" s="93">
        <v>22.974992839555728</v>
      </c>
      <c r="E28" s="93">
        <v>177.49855672479771</v>
      </c>
      <c r="F28" s="93">
        <f t="shared" si="2"/>
        <v>200.47354956435345</v>
      </c>
      <c r="G28" s="93"/>
      <c r="H28" s="39">
        <f t="shared" si="3"/>
        <v>2.5241340757117703</v>
      </c>
      <c r="I28" s="93">
        <v>112.61142831364945</v>
      </c>
      <c r="J28" s="93">
        <v>-19.950461975362895</v>
      </c>
      <c r="K28" s="93">
        <v>31.880492992433172</v>
      </c>
      <c r="L28" s="93">
        <f t="shared" si="4"/>
        <v>11.930031017070277</v>
      </c>
      <c r="N28" s="39">
        <f t="shared" si="5"/>
        <v>2.5965813402446081</v>
      </c>
      <c r="O28" s="93">
        <v>322.09728549501801</v>
      </c>
      <c r="P28" s="93">
        <v>22.98072850143604</v>
      </c>
      <c r="Q28" s="93">
        <v>94.116022316887069</v>
      </c>
      <c r="R28" s="93">
        <f t="shared" si="6"/>
        <v>117.0967508183231</v>
      </c>
      <c r="S28" s="106"/>
      <c r="T28" s="39">
        <f t="shared" si="7"/>
        <v>3.0082665428908584</v>
      </c>
      <c r="U28" s="93">
        <v>149.28328491444404</v>
      </c>
      <c r="V28" s="93">
        <v>19.94472631348258</v>
      </c>
      <c r="W28" s="93">
        <v>51.5020414154775</v>
      </c>
      <c r="X28" s="93">
        <f t="shared" si="8"/>
        <v>71.446767728960083</v>
      </c>
      <c r="Y28" s="90" t="str">
        <f t="shared" si="0"/>
        <v>Arts and entertainment</v>
      </c>
      <c r="Z28" s="39">
        <f t="shared" si="9"/>
        <v>3.2588943559272998</v>
      </c>
      <c r="AA28" s="11">
        <v>161.66137310285907</v>
      </c>
      <c r="AB28" s="93">
        <v>1.3326548882882316</v>
      </c>
      <c r="AC28" s="93">
        <v>61.121073231490051</v>
      </c>
      <c r="AD28" s="93">
        <f t="shared" si="10"/>
        <v>62.453728119778283</v>
      </c>
      <c r="AE28" s="93"/>
      <c r="AF28" s="39">
        <f t="shared" si="11"/>
        <v>3.2768095159466437</v>
      </c>
      <c r="AG28" s="93">
        <v>13.303128548274954</v>
      </c>
      <c r="AH28" s="93">
        <v>-1.9338514027227476</v>
      </c>
      <c r="AI28" s="93">
        <v>5.0614902397360089</v>
      </c>
      <c r="AJ28" s="93">
        <f t="shared" si="12"/>
        <v>3.1276388370132615</v>
      </c>
      <c r="AL28" s="39">
        <f t="shared" si="13"/>
        <v>3.2222682296140004</v>
      </c>
      <c r="AM28" s="93">
        <v>61.167755464113846</v>
      </c>
      <c r="AN28" s="93">
        <v>-4.1267654969595462</v>
      </c>
      <c r="AO28" s="93">
        <v>22.827842408062001</v>
      </c>
      <c r="AP28" s="93">
        <f t="shared" si="14"/>
        <v>18.701076911102454</v>
      </c>
      <c r="AQ28" s="106"/>
      <c r="AR28" s="39">
        <f t="shared" si="15"/>
        <v>3.2817897264484586</v>
      </c>
      <c r="AS28" s="93">
        <v>87.190489090470265</v>
      </c>
      <c r="AT28" s="93">
        <v>7.3932717879705248</v>
      </c>
      <c r="AU28" s="93">
        <v>33.231740583692044</v>
      </c>
      <c r="AV28" s="93">
        <f t="shared" si="16"/>
        <v>40.625012371662571</v>
      </c>
      <c r="AW28" s="90" t="str">
        <f t="shared" si="17"/>
        <v>Arts and entertainment</v>
      </c>
      <c r="AX28" s="39">
        <f t="shared" si="18"/>
        <v>2.4581982255185597</v>
      </c>
      <c r="AY28" s="11">
        <v>274.12096692663408</v>
      </c>
      <c r="AZ28" s="93">
        <v>19.909375624336565</v>
      </c>
      <c r="BA28" s="93">
        <v>75.348629505054475</v>
      </c>
      <c r="BB28" s="93">
        <f t="shared" si="19"/>
        <v>95.258005129391037</v>
      </c>
      <c r="BC28" s="93"/>
      <c r="BD28" s="39">
        <f t="shared" si="20"/>
        <v>2.3965751535212299</v>
      </c>
      <c r="BE28" s="93">
        <v>52.434042602494252</v>
      </c>
      <c r="BF28" s="93">
        <v>-10.478560037555006</v>
      </c>
      <c r="BG28" s="93">
        <v>14.01177557326081</v>
      </c>
      <c r="BH28" s="93">
        <f t="shared" si="21"/>
        <v>3.5332155357058035</v>
      </c>
      <c r="BJ28" s="39">
        <f t="shared" si="22"/>
        <v>2.4303568044377055</v>
      </c>
      <c r="BK28" s="93">
        <v>169.82026195600062</v>
      </c>
      <c r="BL28" s="93">
        <v>22.045877770222617</v>
      </c>
      <c r="BM28" s="93">
        <v>46.091529986569107</v>
      </c>
      <c r="BN28" s="93">
        <f t="shared" si="23"/>
        <v>68.137407756791731</v>
      </c>
      <c r="BO28" s="106"/>
      <c r="BP28" s="39">
        <f t="shared" si="24"/>
        <v>2.6103523894776215</v>
      </c>
      <c r="BQ28" s="93">
        <v>51.866662368139195</v>
      </c>
      <c r="BR28" s="93">
        <v>8.3420578916689543</v>
      </c>
      <c r="BS28" s="93">
        <v>15.245323945224559</v>
      </c>
      <c r="BT28" s="93">
        <f t="shared" si="25"/>
        <v>23.587381836893513</v>
      </c>
      <c r="BU28" s="90" t="str">
        <f t="shared" si="26"/>
        <v>Arts and entertainment</v>
      </c>
      <c r="BV28" s="39">
        <f t="shared" si="27"/>
        <v>2.5546872517099084</v>
      </c>
      <c r="BW28" s="11">
        <v>107.2598983032326</v>
      </c>
      <c r="BX28" s="93">
        <v>-4.6347125764802879</v>
      </c>
      <c r="BY28" s="93">
        <v>30.776152696349076</v>
      </c>
      <c r="BZ28" s="93">
        <f t="shared" si="28"/>
        <v>26.14144011986879</v>
      </c>
      <c r="CA28" s="93"/>
      <c r="CB28" s="39">
        <f t="shared" si="29"/>
        <v>2.4937117735407188</v>
      </c>
      <c r="CC28" s="93">
        <v>30.58519142119675</v>
      </c>
      <c r="CD28" s="93">
        <v>-4.9664708583329622</v>
      </c>
      <c r="CE28" s="93">
        <v>8.5424270700257328</v>
      </c>
      <c r="CF28" s="93">
        <f t="shared" si="30"/>
        <v>3.5759562116927706</v>
      </c>
      <c r="CH28" s="39">
        <f t="shared" si="31"/>
        <v>2.5657893609980054</v>
      </c>
      <c r="CI28" s="93">
        <v>68.527793794387208</v>
      </c>
      <c r="CJ28" s="93">
        <v>-2.6111534978573356</v>
      </c>
      <c r="CK28" s="93">
        <v>19.75824225652681</v>
      </c>
      <c r="CL28" s="93">
        <f t="shared" si="32"/>
        <v>17.147088758669476</v>
      </c>
      <c r="CM28" s="106"/>
      <c r="CN28" s="39">
        <f t="shared" si="33"/>
        <v>2.6887677275016175</v>
      </c>
      <c r="CO28" s="93">
        <v>8.1469130876486417</v>
      </c>
      <c r="CP28" s="93">
        <v>2.9429117797100104</v>
      </c>
      <c r="CQ28" s="93">
        <v>2.4754833697965344</v>
      </c>
      <c r="CR28" s="93">
        <f t="shared" si="34"/>
        <v>5.4183951495065443</v>
      </c>
      <c r="CS28" s="90" t="str">
        <f t="shared" si="35"/>
        <v>Arts and entertainment</v>
      </c>
      <c r="CT28" s="39">
        <f t="shared" si="36"/>
        <v>2.2595665716523383</v>
      </c>
      <c r="CU28" s="11">
        <v>40.949760390385762</v>
      </c>
      <c r="CV28" s="93">
        <v>6.3676749034112179</v>
      </c>
      <c r="CW28" s="93">
        <v>10.252701291904129</v>
      </c>
      <c r="CX28" s="93">
        <f t="shared" si="37"/>
        <v>16.620376195315348</v>
      </c>
      <c r="CY28" s="93"/>
      <c r="CZ28" s="39">
        <f t="shared" si="38"/>
        <v>2.3528014807572273</v>
      </c>
      <c r="DA28" s="93">
        <v>16.289065741683487</v>
      </c>
      <c r="DB28" s="93">
        <v>-2.5715796767521768</v>
      </c>
      <c r="DC28" s="93">
        <v>4.264800109410622</v>
      </c>
      <c r="DD28" s="93">
        <f t="shared" si="39"/>
        <v>1.6932204326584452</v>
      </c>
      <c r="DF28" s="39">
        <f t="shared" si="40"/>
        <v>2.1812946342883111</v>
      </c>
      <c r="DG28" s="93">
        <v>22.581474280516332</v>
      </c>
      <c r="DH28" s="93">
        <v>7.6727697260303049</v>
      </c>
      <c r="DI28" s="93">
        <v>5.438407665729156</v>
      </c>
      <c r="DJ28" s="93">
        <f t="shared" si="41"/>
        <v>13.111177391759462</v>
      </c>
      <c r="DK28" s="106"/>
      <c r="DL28" s="39">
        <f t="shared" si="42"/>
        <v>2.372728806531299</v>
      </c>
      <c r="DM28" s="93">
        <v>2.0792203681859425</v>
      </c>
      <c r="DN28" s="93">
        <v>1.2664848541330906</v>
      </c>
      <c r="DO28" s="93">
        <v>0.54949351676435321</v>
      </c>
      <c r="DP28" s="93">
        <f t="shared" si="43"/>
        <v>1.8159783708974437</v>
      </c>
    </row>
    <row r="29" spans="1:120" x14ac:dyDescent="0.2">
      <c r="A29" s="90" t="str">
        <f>name!B25</f>
        <v>Other services</v>
      </c>
      <c r="B29" s="39">
        <f t="shared" si="1"/>
        <v>2.7838069142694266</v>
      </c>
      <c r="C29" s="11">
        <v>108.16125170522943</v>
      </c>
      <c r="D29" s="93">
        <v>8.1774730396989117</v>
      </c>
      <c r="E29" s="93">
        <v>34.176039083117807</v>
      </c>
      <c r="F29" s="93">
        <f t="shared" si="2"/>
        <v>42.353512122816717</v>
      </c>
      <c r="G29" s="93"/>
      <c r="H29" s="39">
        <f t="shared" si="3"/>
        <v>2.6834266880037649</v>
      </c>
      <c r="I29" s="93">
        <v>32.326959698464499</v>
      </c>
      <c r="J29" s="93">
        <v>-6.1167969801013387</v>
      </c>
      <c r="K29" s="93">
        <v>9.8008028887364027</v>
      </c>
      <c r="L29" s="93">
        <f t="shared" si="4"/>
        <v>3.6840059086350641</v>
      </c>
      <c r="N29" s="39">
        <f t="shared" si="5"/>
        <v>2.7760834170330817</v>
      </c>
      <c r="O29" s="93">
        <v>57.398886868822629</v>
      </c>
      <c r="P29" s="93">
        <v>7.6406602287910461</v>
      </c>
      <c r="Q29" s="93">
        <v>18.079760081959783</v>
      </c>
      <c r="R29" s="93">
        <f t="shared" si="6"/>
        <v>25.720420310750828</v>
      </c>
      <c r="S29" s="106"/>
      <c r="T29" s="39">
        <f t="shared" si="7"/>
        <v>2.981376043016648</v>
      </c>
      <c r="U29" s="93">
        <v>18.435405137942325</v>
      </c>
      <c r="V29" s="93">
        <v>6.6536097910092034</v>
      </c>
      <c r="W29" s="93">
        <v>6.2954761124216301</v>
      </c>
      <c r="X29" s="93">
        <f t="shared" si="8"/>
        <v>12.949085903430834</v>
      </c>
      <c r="Y29" s="90" t="str">
        <f t="shared" si="0"/>
        <v>Other services</v>
      </c>
      <c r="Z29" s="39">
        <f t="shared" si="9"/>
        <v>3.3946693153821483</v>
      </c>
      <c r="AA29" s="11">
        <v>18.73707769261355</v>
      </c>
      <c r="AB29" s="93">
        <v>3.9696712217231607</v>
      </c>
      <c r="AC29" s="93">
        <v>7.4256694078981278</v>
      </c>
      <c r="AD29" s="93">
        <f t="shared" si="10"/>
        <v>11.395340629621288</v>
      </c>
      <c r="AE29" s="93"/>
      <c r="AF29" s="39">
        <f t="shared" si="11"/>
        <v>3.6016336348735356</v>
      </c>
      <c r="AG29" s="93">
        <v>2.3415431027696858</v>
      </c>
      <c r="AH29" s="93">
        <v>0.24514900613498003</v>
      </c>
      <c r="AI29" s="93">
        <v>0.99401256180311637</v>
      </c>
      <c r="AJ29" s="93">
        <f t="shared" si="12"/>
        <v>1.2391615679380963</v>
      </c>
      <c r="AL29" s="39">
        <f t="shared" si="13"/>
        <v>3.5014338519299582</v>
      </c>
      <c r="AM29" s="93">
        <v>8.1965364975682427</v>
      </c>
      <c r="AN29" s="93">
        <v>1.8824630168780692</v>
      </c>
      <c r="AO29" s="93">
        <v>3.3670895885720658</v>
      </c>
      <c r="AP29" s="93">
        <f t="shared" si="14"/>
        <v>5.2495526054501349</v>
      </c>
      <c r="AQ29" s="106"/>
      <c r="AR29" s="39">
        <f t="shared" si="15"/>
        <v>3.2265730612790922</v>
      </c>
      <c r="AS29" s="93">
        <v>8.1989980922756232</v>
      </c>
      <c r="AT29" s="93">
        <v>1.8420591987101114</v>
      </c>
      <c r="AU29" s="93">
        <v>3.0645672575229463</v>
      </c>
      <c r="AV29" s="93">
        <f t="shared" si="16"/>
        <v>4.9066264562330577</v>
      </c>
      <c r="AW29" s="90" t="str">
        <f t="shared" si="17"/>
        <v>Other services</v>
      </c>
      <c r="AX29" s="39">
        <f t="shared" si="18"/>
        <v>2.6483238273837584</v>
      </c>
      <c r="AY29" s="11">
        <v>19.032176889267678</v>
      </c>
      <c r="AZ29" s="93">
        <v>1.0956652491419592</v>
      </c>
      <c r="BA29" s="93">
        <v>5.685467852803928</v>
      </c>
      <c r="BB29" s="93">
        <f t="shared" si="19"/>
        <v>6.7811331019458869</v>
      </c>
      <c r="BC29" s="93"/>
      <c r="BD29" s="39">
        <f t="shared" si="20"/>
        <v>2.5698311582555533</v>
      </c>
      <c r="BE29" s="93">
        <v>3.4123327833961343</v>
      </c>
      <c r="BF29" s="93">
        <v>-0.44962292514756064</v>
      </c>
      <c r="BG29" s="93">
        <v>0.9855918713750732</v>
      </c>
      <c r="BH29" s="93">
        <f t="shared" si="21"/>
        <v>0.53596894622751257</v>
      </c>
      <c r="BJ29" s="39">
        <f t="shared" si="22"/>
        <v>2.6113519594407553</v>
      </c>
      <c r="BK29" s="93">
        <v>10.441678809376455</v>
      </c>
      <c r="BL29" s="93">
        <v>0.67813132541245391</v>
      </c>
      <c r="BM29" s="93">
        <v>3.0704702368243959</v>
      </c>
      <c r="BN29" s="93">
        <f t="shared" si="23"/>
        <v>3.7486015622368498</v>
      </c>
      <c r="BO29" s="106"/>
      <c r="BP29" s="39">
        <f t="shared" si="24"/>
        <v>2.7736136732418482</v>
      </c>
      <c r="BQ29" s="93">
        <v>5.1781652964950879</v>
      </c>
      <c r="BR29" s="93">
        <v>0.86715684887706568</v>
      </c>
      <c r="BS29" s="93">
        <v>1.6294057446044583</v>
      </c>
      <c r="BT29" s="93">
        <f t="shared" si="25"/>
        <v>2.4965625934815239</v>
      </c>
      <c r="BU29" s="90" t="str">
        <f t="shared" si="26"/>
        <v>Other services</v>
      </c>
      <c r="BV29" s="39">
        <f t="shared" si="27"/>
        <v>2.6772484709001398</v>
      </c>
      <c r="BW29" s="11">
        <v>66.201397878138252</v>
      </c>
      <c r="BX29" s="93">
        <v>1.2456325163985658</v>
      </c>
      <c r="BY29" s="93">
        <v>20.01887239295467</v>
      </c>
      <c r="BZ29" s="93">
        <f t="shared" si="28"/>
        <v>21.264504909353235</v>
      </c>
      <c r="CA29" s="93"/>
      <c r="CB29" s="39">
        <f t="shared" si="29"/>
        <v>2.6461497895164943</v>
      </c>
      <c r="CC29" s="93">
        <v>24.360601420401576</v>
      </c>
      <c r="CD29" s="93">
        <v>-5.6900213912272246</v>
      </c>
      <c r="CE29" s="93">
        <v>7.2705240080694988</v>
      </c>
      <c r="CF29" s="93">
        <f t="shared" si="30"/>
        <v>1.5805026168422742</v>
      </c>
      <c r="CH29" s="39">
        <f t="shared" si="31"/>
        <v>2.6783758996457463</v>
      </c>
      <c r="CI29" s="93">
        <v>37.050128855405674</v>
      </c>
      <c r="CJ29" s="93">
        <v>3.896536363658667</v>
      </c>
      <c r="CK29" s="93">
        <v>11.209016818125267</v>
      </c>
      <c r="CL29" s="93">
        <f t="shared" si="32"/>
        <v>15.105553181783934</v>
      </c>
      <c r="CM29" s="106"/>
      <c r="CN29" s="39">
        <f t="shared" si="33"/>
        <v>2.8254837692558654</v>
      </c>
      <c r="CO29" s="93">
        <v>4.7906676023310046</v>
      </c>
      <c r="CP29" s="93">
        <v>3.0391175439671234</v>
      </c>
      <c r="CQ29" s="93">
        <v>1.5393315667599037</v>
      </c>
      <c r="CR29" s="93">
        <f t="shared" si="34"/>
        <v>4.5784491107270266</v>
      </c>
      <c r="CS29" s="90" t="str">
        <f t="shared" si="35"/>
        <v>Other services</v>
      </c>
      <c r="CT29" s="39">
        <f t="shared" si="36"/>
        <v>2.2533546481934286</v>
      </c>
      <c r="CU29" s="11">
        <v>4.1905992452099587</v>
      </c>
      <c r="CV29" s="93">
        <v>1.8665040524352257</v>
      </c>
      <c r="CW29" s="93">
        <v>1.046029429461087</v>
      </c>
      <c r="CX29" s="93">
        <f t="shared" si="37"/>
        <v>2.9125334818963129</v>
      </c>
      <c r="CY29" s="93"/>
      <c r="CZ29" s="39">
        <f t="shared" si="38"/>
        <v>2.2474701591650437</v>
      </c>
      <c r="DA29" s="93">
        <v>2.2124823918971015</v>
      </c>
      <c r="DB29" s="93">
        <v>-0.22230166986153393</v>
      </c>
      <c r="DC29" s="93">
        <v>0.55067444748871397</v>
      </c>
      <c r="DD29" s="93">
        <f t="shared" si="39"/>
        <v>0.32837277762718003</v>
      </c>
      <c r="DF29" s="39">
        <f t="shared" si="40"/>
        <v>2.2830190168655617</v>
      </c>
      <c r="DG29" s="93">
        <v>1.7105427064722503</v>
      </c>
      <c r="DH29" s="93">
        <v>1.1835295228418568</v>
      </c>
      <c r="DI29" s="93">
        <v>0.43318343843805091</v>
      </c>
      <c r="DJ29" s="93">
        <f t="shared" si="41"/>
        <v>1.6167129612799076</v>
      </c>
      <c r="DK29" s="106"/>
      <c r="DL29" s="39">
        <f t="shared" si="42"/>
        <v>2.1112277164391235</v>
      </c>
      <c r="DM29" s="93">
        <v>0.26757414684060715</v>
      </c>
      <c r="DN29" s="93">
        <v>0.90527619945490279</v>
      </c>
      <c r="DO29" s="93">
        <v>6.2171543534321853E-2</v>
      </c>
      <c r="DP29" s="93">
        <f t="shared" si="43"/>
        <v>0.96744774298922465</v>
      </c>
    </row>
    <row r="30" spans="1:120" x14ac:dyDescent="0.2">
      <c r="A30" s="90">
        <f>name!B26</f>
        <v>0</v>
      </c>
      <c r="B30" s="39">
        <f t="shared" si="1"/>
        <v>2.81853341281606</v>
      </c>
      <c r="C30" s="11">
        <v>3.6239999999999957</v>
      </c>
      <c r="D30" s="93">
        <v>0.24699999999999425</v>
      </c>
      <c r="E30" s="93">
        <v>1.161223619177874</v>
      </c>
      <c r="F30" s="93">
        <f t="shared" si="2"/>
        <v>1.4082236191778683</v>
      </c>
      <c r="G30" s="93"/>
      <c r="H30" s="39">
        <f t="shared" si="3"/>
        <v>2.6181998345442992</v>
      </c>
      <c r="I30" s="93">
        <v>0.8854137576985297</v>
      </c>
      <c r="J30" s="93">
        <v>-0.37920842251297887</v>
      </c>
      <c r="K30" s="93">
        <v>0.26112881202833382</v>
      </c>
      <c r="L30" s="93">
        <f t="shared" si="4"/>
        <v>-0.11807961048464505</v>
      </c>
      <c r="N30" s="39">
        <f t="shared" si="5"/>
        <v>2.6529788153066836</v>
      </c>
      <c r="O30" s="93">
        <v>1.3832584282800451</v>
      </c>
      <c r="P30" s="93">
        <v>0.23337200314420425</v>
      </c>
      <c r="Q30" s="93">
        <v>0.41403459662136033</v>
      </c>
      <c r="R30" s="93">
        <f t="shared" si="6"/>
        <v>0.64740659976556458</v>
      </c>
      <c r="S30" s="106"/>
      <c r="T30" s="39">
        <f t="shared" si="7"/>
        <v>3.1122102767148885</v>
      </c>
      <c r="U30" s="93">
        <v>1.3553278140214204</v>
      </c>
      <c r="V30" s="93">
        <v>0.39283641936876895</v>
      </c>
      <c r="W30" s="93">
        <v>0.48606021052817994</v>
      </c>
      <c r="X30" s="93">
        <f t="shared" si="8"/>
        <v>0.87889662989694894</v>
      </c>
      <c r="Y30" s="90">
        <f t="shared" si="0"/>
        <v>0</v>
      </c>
      <c r="Z30" s="39">
        <f t="shared" si="9"/>
        <v>2.9443653428279148</v>
      </c>
      <c r="AA30" s="11">
        <v>1.8811280324430137</v>
      </c>
      <c r="AB30" s="93">
        <v>0.12648602226143923</v>
      </c>
      <c r="AC30" s="93">
        <v>0.63332866226922047</v>
      </c>
      <c r="AD30" s="93">
        <f t="shared" si="10"/>
        <v>0.7598146845306597</v>
      </c>
      <c r="AE30" s="93"/>
      <c r="AF30" s="39">
        <f t="shared" si="11"/>
        <v>2.5616056481945648</v>
      </c>
      <c r="AG30" s="93">
        <v>0.39195326978431944</v>
      </c>
      <c r="AH30" s="93">
        <v>-0.20952388317933862</v>
      </c>
      <c r="AI30" s="93">
        <v>0.11280379340146277</v>
      </c>
      <c r="AJ30" s="93">
        <f t="shared" si="12"/>
        <v>-9.6720089777875856E-2</v>
      </c>
      <c r="AL30" s="39">
        <f t="shared" si="13"/>
        <v>2.6346340495356335</v>
      </c>
      <c r="AM30" s="93">
        <v>0.4129117991411031</v>
      </c>
      <c r="AN30" s="93">
        <v>-1.2440580648808345E-2</v>
      </c>
      <c r="AO30" s="93">
        <v>0.1226340711227917</v>
      </c>
      <c r="AP30" s="93">
        <f t="shared" si="14"/>
        <v>0.11019349047398336</v>
      </c>
      <c r="AQ30" s="106"/>
      <c r="AR30" s="39">
        <f t="shared" si="15"/>
        <v>3.1958990333170068</v>
      </c>
      <c r="AS30" s="93">
        <v>1.0762629635175913</v>
      </c>
      <c r="AT30" s="93">
        <v>0.34845048608958623</v>
      </c>
      <c r="AU30" s="93">
        <v>0.39789079774496594</v>
      </c>
      <c r="AV30" s="93">
        <f t="shared" si="16"/>
        <v>0.74634128383455223</v>
      </c>
      <c r="AW30" s="90">
        <f t="shared" si="17"/>
        <v>0</v>
      </c>
      <c r="AX30" s="39">
        <f t="shared" si="18"/>
        <v>2.6556901882889949</v>
      </c>
      <c r="AY30" s="11">
        <v>0.79016052016002847</v>
      </c>
      <c r="AZ30" s="93">
        <v>-5.5512159780558507E-3</v>
      </c>
      <c r="BA30" s="93">
        <v>0.23678073042517134</v>
      </c>
      <c r="BB30" s="93">
        <f t="shared" si="19"/>
        <v>0.23122951444711548</v>
      </c>
      <c r="BC30" s="93"/>
      <c r="BD30" s="39">
        <f t="shared" si="20"/>
        <v>2.6320188411371737</v>
      </c>
      <c r="BE30" s="93">
        <v>0.10890628043772764</v>
      </c>
      <c r="BF30" s="93">
        <v>-3.6714040606319942E-2</v>
      </c>
      <c r="BG30" s="93">
        <v>3.2308984136424024E-2</v>
      </c>
      <c r="BH30" s="93">
        <f t="shared" si="21"/>
        <v>-4.4050564698959183E-3</v>
      </c>
      <c r="BJ30" s="39">
        <f t="shared" si="22"/>
        <v>2.632798184440821</v>
      </c>
      <c r="BK30" s="93">
        <v>0.54343409949213617</v>
      </c>
      <c r="BL30" s="93">
        <v>6.5977065103502874E-2</v>
      </c>
      <c r="BM30" s="93">
        <v>0.16127289650651028</v>
      </c>
      <c r="BN30" s="93">
        <f t="shared" si="23"/>
        <v>0.22724996161001315</v>
      </c>
      <c r="BO30" s="106"/>
      <c r="BP30" s="39">
        <f t="shared" si="24"/>
        <v>2.7640342004974006</v>
      </c>
      <c r="BQ30" s="93">
        <v>0.13782014023016467</v>
      </c>
      <c r="BR30" s="93">
        <v>-3.4814240475238789E-2</v>
      </c>
      <c r="BS30" s="93">
        <v>4.319884978223705E-2</v>
      </c>
      <c r="BT30" s="93">
        <f t="shared" si="25"/>
        <v>8.3846093069982613E-3</v>
      </c>
      <c r="BU30" s="90">
        <f t="shared" si="26"/>
        <v>0</v>
      </c>
      <c r="BV30" s="39">
        <f t="shared" si="27"/>
        <v>2.7443857826882523</v>
      </c>
      <c r="BW30" s="11">
        <v>0.71149816309577474</v>
      </c>
      <c r="BX30" s="93">
        <v>0.24504437900903087</v>
      </c>
      <c r="BY30" s="93">
        <v>0.22122934558787391</v>
      </c>
      <c r="BZ30" s="93">
        <f t="shared" si="28"/>
        <v>0.46627372459690475</v>
      </c>
      <c r="CA30" s="93"/>
      <c r="CB30" s="39">
        <f t="shared" si="29"/>
        <v>2.6198589066564582</v>
      </c>
      <c r="CC30" s="93">
        <v>0.18443335988879814</v>
      </c>
      <c r="CD30" s="93">
        <v>-4.0323210155314967E-2</v>
      </c>
      <c r="CE30" s="93">
        <v>5.4432240278174497E-2</v>
      </c>
      <c r="CF30" s="93">
        <f t="shared" si="30"/>
        <v>1.410903012285953E-2</v>
      </c>
      <c r="CH30" s="39">
        <f t="shared" si="31"/>
        <v>2.782142672137855</v>
      </c>
      <c r="CI30" s="93">
        <v>0.38582009293331226</v>
      </c>
      <c r="CJ30" s="93">
        <v>0.20616741540992439</v>
      </c>
      <c r="CK30" s="93">
        <v>0.12182654230872253</v>
      </c>
      <c r="CL30" s="93">
        <f t="shared" si="32"/>
        <v>0.32799395771864692</v>
      </c>
      <c r="CM30" s="106"/>
      <c r="CN30" s="39">
        <f t="shared" si="33"/>
        <v>2.802650191366185</v>
      </c>
      <c r="CO30" s="93">
        <v>0.14124471027366434</v>
      </c>
      <c r="CP30" s="93">
        <v>7.9200173754421455E-2</v>
      </c>
      <c r="CQ30" s="93">
        <v>4.4970563000976925E-2</v>
      </c>
      <c r="CR30" s="93">
        <f t="shared" si="34"/>
        <v>0.12417073675539839</v>
      </c>
      <c r="CS30" s="90">
        <f t="shared" si="35"/>
        <v>0</v>
      </c>
      <c r="CT30" s="39">
        <f t="shared" si="36"/>
        <v>2.5769124618272299</v>
      </c>
      <c r="CU30" s="11">
        <v>0.24121328430117833</v>
      </c>
      <c r="CV30" s="93">
        <v>-0.11897918529242003</v>
      </c>
      <c r="CW30" s="93">
        <v>6.9884880895608265E-2</v>
      </c>
      <c r="CX30" s="93">
        <f t="shared" si="37"/>
        <v>-4.9094304396811769E-2</v>
      </c>
      <c r="CY30" s="93"/>
      <c r="CZ30" s="39">
        <f t="shared" si="38"/>
        <v>2.7192664271063816</v>
      </c>
      <c r="DA30" s="93">
        <v>0.20012084758768453</v>
      </c>
      <c r="DB30" s="93">
        <v>-9.2647288572005396E-2</v>
      </c>
      <c r="DC30" s="93">
        <v>6.1583794212272509E-2</v>
      </c>
      <c r="DD30" s="93">
        <f t="shared" si="39"/>
        <v>-3.1063494359732886E-2</v>
      </c>
      <c r="DF30" s="39">
        <f t="shared" si="40"/>
        <v>1.8569836908540527</v>
      </c>
      <c r="DG30" s="93">
        <v>4.1092436713493816E-2</v>
      </c>
      <c r="DH30" s="93">
        <v>-2.6331896720414642E-2</v>
      </c>
      <c r="DI30" s="93">
        <v>8.3010866833357552E-3</v>
      </c>
      <c r="DJ30" s="93">
        <f t="shared" si="41"/>
        <v>-1.8030810037078886E-2</v>
      </c>
      <c r="DK30" s="106"/>
      <c r="DL30" s="39">
        <f t="shared" si="42"/>
        <v>0</v>
      </c>
      <c r="DM30" s="93">
        <v>0</v>
      </c>
      <c r="DN30" s="93">
        <v>0</v>
      </c>
      <c r="DO30" s="93">
        <v>0</v>
      </c>
      <c r="DP30" s="93">
        <f t="shared" si="43"/>
        <v>0</v>
      </c>
    </row>
    <row r="31" spans="1:120" x14ac:dyDescent="0.2">
      <c r="A31" s="90">
        <f>name!B27</f>
        <v>0</v>
      </c>
      <c r="B31" s="39">
        <f t="shared" si="1"/>
        <v>2.6734729787020628</v>
      </c>
      <c r="C31" s="11">
        <v>5.3973840679838156</v>
      </c>
      <c r="D31" s="93">
        <v>1.1408021816129781</v>
      </c>
      <c r="E31" s="93">
        <v>1.6295494976716494</v>
      </c>
      <c r="F31" s="93">
        <f t="shared" si="2"/>
        <v>2.7703516792846274</v>
      </c>
      <c r="G31" s="93"/>
      <c r="H31" s="39">
        <f t="shared" si="3"/>
        <v>2.4242144760953321</v>
      </c>
      <c r="I31" s="93">
        <v>0.66792410715744144</v>
      </c>
      <c r="J31" s="93">
        <v>8.7081733597755159E-2</v>
      </c>
      <c r="K31" s="93">
        <v>0.18077459401533136</v>
      </c>
      <c r="L31" s="93">
        <f t="shared" si="4"/>
        <v>0.26785632761308653</v>
      </c>
      <c r="N31" s="39">
        <f t="shared" si="5"/>
        <v>2.609263332573919</v>
      </c>
      <c r="O31" s="93">
        <v>2.0775695012091084</v>
      </c>
      <c r="P31" s="93">
        <v>0.2544737074116219</v>
      </c>
      <c r="Q31" s="93">
        <v>0.6103809444492555</v>
      </c>
      <c r="R31" s="93">
        <f t="shared" si="6"/>
        <v>0.8648546518608774</v>
      </c>
      <c r="S31" s="106"/>
      <c r="T31" s="39">
        <f t="shared" si="7"/>
        <v>2.7851854419137734</v>
      </c>
      <c r="U31" s="93">
        <v>2.6518904596172663</v>
      </c>
      <c r="V31" s="93">
        <v>0.79924674060360146</v>
      </c>
      <c r="W31" s="93">
        <v>0.83839395920706195</v>
      </c>
      <c r="X31" s="93">
        <f t="shared" si="8"/>
        <v>1.6376406998106634</v>
      </c>
      <c r="Y31" s="90">
        <f t="shared" si="0"/>
        <v>0</v>
      </c>
      <c r="Z31" s="39">
        <f t="shared" si="9"/>
        <v>2.8165513572584899</v>
      </c>
      <c r="AA31" s="11">
        <v>2.214362158393115</v>
      </c>
      <c r="AB31" s="93">
        <v>0.76697330164247091</v>
      </c>
      <c r="AC31" s="93">
        <v>0.7089754858112105</v>
      </c>
      <c r="AD31" s="93">
        <f t="shared" si="10"/>
        <v>1.4759487874536814</v>
      </c>
      <c r="AE31" s="93"/>
      <c r="AF31" s="39">
        <f t="shared" si="11"/>
        <v>2.4947991741868014</v>
      </c>
      <c r="AG31" s="93">
        <v>9.3295900311954727E-2</v>
      </c>
      <c r="AH31" s="93">
        <v>7.3611029159494539E-3</v>
      </c>
      <c r="AI31" s="93">
        <v>2.6070156753053058E-2</v>
      </c>
      <c r="AJ31" s="93">
        <f t="shared" si="12"/>
        <v>3.3431259669002511E-2</v>
      </c>
      <c r="AL31" s="39">
        <f t="shared" si="13"/>
        <v>2.7753358006801676</v>
      </c>
      <c r="AM31" s="93">
        <v>0.4972447918516455</v>
      </c>
      <c r="AN31" s="93">
        <v>9.6394295735497987E-2</v>
      </c>
      <c r="AO31" s="93">
        <v>0.15657684325353696</v>
      </c>
      <c r="AP31" s="93">
        <f t="shared" si="14"/>
        <v>0.25297113898903495</v>
      </c>
      <c r="AQ31" s="106"/>
      <c r="AR31" s="39">
        <f t="shared" si="15"/>
        <v>2.8473360407721415</v>
      </c>
      <c r="AS31" s="93">
        <v>1.6238214662295147</v>
      </c>
      <c r="AT31" s="93">
        <v>0.66321790299102346</v>
      </c>
      <c r="AU31" s="93">
        <v>0.52632848580462055</v>
      </c>
      <c r="AV31" s="93">
        <f t="shared" si="16"/>
        <v>1.1895463887956441</v>
      </c>
      <c r="AW31" s="90">
        <f t="shared" si="17"/>
        <v>0</v>
      </c>
      <c r="AX31" s="39">
        <f t="shared" si="18"/>
        <v>2.6299606183572521</v>
      </c>
      <c r="AY31" s="11">
        <v>2.2783095768098032</v>
      </c>
      <c r="AZ31" s="93">
        <v>0.28087299486229567</v>
      </c>
      <c r="BA31" s="93">
        <v>0.67530864231188981</v>
      </c>
      <c r="BB31" s="93">
        <f t="shared" si="19"/>
        <v>0.95618163717418547</v>
      </c>
      <c r="BC31" s="93"/>
      <c r="BD31" s="39">
        <f t="shared" si="20"/>
        <v>2.5631080985660804</v>
      </c>
      <c r="BE31" s="93">
        <v>0.22101247964060855</v>
      </c>
      <c r="BF31" s="93">
        <v>-1.6947941898083588E-2</v>
      </c>
      <c r="BG31" s="93">
        <v>6.3648887364331108E-2</v>
      </c>
      <c r="BH31" s="93">
        <f t="shared" si="21"/>
        <v>4.670094546624752E-2</v>
      </c>
      <c r="BJ31" s="39">
        <f t="shared" si="22"/>
        <v>2.5856877347969265</v>
      </c>
      <c r="BK31" s="93">
        <v>1.1148096584511451</v>
      </c>
      <c r="BL31" s="93">
        <v>0.19268434666122614</v>
      </c>
      <c r="BM31" s="93">
        <v>0.32421576182958223</v>
      </c>
      <c r="BN31" s="93">
        <f t="shared" si="23"/>
        <v>0.51690010849080836</v>
      </c>
      <c r="BO31" s="106"/>
      <c r="BP31" s="39">
        <f t="shared" si="24"/>
        <v>2.6976564051442775</v>
      </c>
      <c r="BQ31" s="93">
        <v>0.94248743871804974</v>
      </c>
      <c r="BR31" s="93">
        <v>0.10513659009915316</v>
      </c>
      <c r="BS31" s="93">
        <v>0.28744399311797653</v>
      </c>
      <c r="BT31" s="93">
        <f t="shared" si="25"/>
        <v>0.39258058321712969</v>
      </c>
      <c r="BU31" s="90">
        <f t="shared" si="26"/>
        <v>0</v>
      </c>
      <c r="BV31" s="39">
        <f t="shared" si="27"/>
        <v>2.6073314286228833</v>
      </c>
      <c r="BW31" s="11">
        <v>0.44551231145339021</v>
      </c>
      <c r="BX31" s="93">
        <v>-8.3373030656131442E-3</v>
      </c>
      <c r="BY31" s="93">
        <v>0.13078107806231981</v>
      </c>
      <c r="BZ31" s="93">
        <f t="shared" si="28"/>
        <v>0.12244377499670667</v>
      </c>
      <c r="CA31" s="93"/>
      <c r="CB31" s="39">
        <f t="shared" si="29"/>
        <v>2.4365291604826034</v>
      </c>
      <c r="CC31" s="93">
        <v>8.6276945213152031E-2</v>
      </c>
      <c r="CD31" s="93">
        <v>-4.2074055456051036E-2</v>
      </c>
      <c r="CE31" s="93">
        <v>2.3482855274529982E-2</v>
      </c>
      <c r="CF31" s="93">
        <f t="shared" si="30"/>
        <v>-1.8591200181521054E-2</v>
      </c>
      <c r="CH31" s="39">
        <f t="shared" si="31"/>
        <v>2.6262299218310803</v>
      </c>
      <c r="CI31" s="93">
        <v>0.29498731949520918</v>
      </c>
      <c r="CJ31" s="93">
        <v>2.0855293533474064E-2</v>
      </c>
      <c r="CK31" s="93">
        <v>8.7297539162572352E-2</v>
      </c>
      <c r="CL31" s="93">
        <f t="shared" si="32"/>
        <v>0.10815283269604642</v>
      </c>
      <c r="CM31" s="106"/>
      <c r="CN31" s="39">
        <f t="shared" si="33"/>
        <v>2.7472823291570414</v>
      </c>
      <c r="CO31" s="93">
        <v>6.4248046745029E-2</v>
      </c>
      <c r="CP31" s="93">
        <v>1.2881458856963826E-2</v>
      </c>
      <c r="CQ31" s="93">
        <v>2.000068362521747E-2</v>
      </c>
      <c r="CR31" s="93">
        <f t="shared" si="34"/>
        <v>3.2882142482181298E-2</v>
      </c>
      <c r="CS31" s="90">
        <f t="shared" si="35"/>
        <v>0</v>
      </c>
      <c r="CT31" s="39">
        <f t="shared" si="36"/>
        <v>2.2508925088840614</v>
      </c>
      <c r="CU31" s="11">
        <v>0.45920002132750753</v>
      </c>
      <c r="CV31" s="93">
        <v>0.10129318817382489</v>
      </c>
      <c r="CW31" s="93">
        <v>0.11448429148622874</v>
      </c>
      <c r="CX31" s="93">
        <f t="shared" si="37"/>
        <v>0.21577747966005362</v>
      </c>
      <c r="CY31" s="93"/>
      <c r="CZ31" s="39">
        <f t="shared" si="38"/>
        <v>2.2790784934704211</v>
      </c>
      <c r="DA31" s="93">
        <v>0.26733878199172612</v>
      </c>
      <c r="DB31" s="93">
        <v>0.13874262803594034</v>
      </c>
      <c r="DC31" s="93">
        <v>6.7572694623417223E-2</v>
      </c>
      <c r="DD31" s="93">
        <f t="shared" si="39"/>
        <v>0.20631532265935756</v>
      </c>
      <c r="DF31" s="39">
        <f t="shared" si="40"/>
        <v>2.2401417134240154</v>
      </c>
      <c r="DG31" s="93">
        <v>0.17052773141110822</v>
      </c>
      <c r="DH31" s="93">
        <v>-5.5460228518576328E-2</v>
      </c>
      <c r="DI31" s="93">
        <v>4.2290800203563968E-2</v>
      </c>
      <c r="DJ31" s="93">
        <f t="shared" si="41"/>
        <v>-1.316942831501236E-2</v>
      </c>
      <c r="DK31" s="106"/>
      <c r="DL31" s="39">
        <f t="shared" si="42"/>
        <v>1.9799306613629053</v>
      </c>
      <c r="DM31" s="93">
        <v>2.1333507924673225E-2</v>
      </c>
      <c r="DN31" s="93">
        <v>1.8010788656460896E-2</v>
      </c>
      <c r="DO31" s="93">
        <v>4.6207966592475454E-3</v>
      </c>
      <c r="DP31" s="93">
        <f t="shared" si="43"/>
        <v>2.2631585315708441E-2</v>
      </c>
    </row>
    <row r="32" spans="1:120" x14ac:dyDescent="0.2">
      <c r="A32" s="90">
        <f>name!B28</f>
        <v>0</v>
      </c>
      <c r="B32" s="39">
        <f t="shared" si="1"/>
        <v>2.7212419765566098</v>
      </c>
      <c r="C32" s="11">
        <v>123.7608458367669</v>
      </c>
      <c r="D32" s="93">
        <v>13.119074771958418</v>
      </c>
      <c r="E32" s="93">
        <v>38.116429497024313</v>
      </c>
      <c r="F32" s="93">
        <f t="shared" si="2"/>
        <v>51.23550426898273</v>
      </c>
      <c r="G32" s="93"/>
      <c r="H32" s="39">
        <f t="shared" si="3"/>
        <v>2.5243885852895165</v>
      </c>
      <c r="I32" s="93">
        <v>26.847077802333636</v>
      </c>
      <c r="J32" s="93">
        <v>-7.8031435741815161</v>
      </c>
      <c r="K32" s="93">
        <v>7.6013099907891046</v>
      </c>
      <c r="L32" s="93">
        <f t="shared" si="4"/>
        <v>-0.20183358339241142</v>
      </c>
      <c r="N32" s="39">
        <f t="shared" si="5"/>
        <v>2.6624455318525975</v>
      </c>
      <c r="O32" s="93">
        <v>63.941359181744446</v>
      </c>
      <c r="P32" s="93">
        <v>7.8349731558739144</v>
      </c>
      <c r="Q32" s="93">
        <v>19.215469387990549</v>
      </c>
      <c r="R32" s="93">
        <f t="shared" si="6"/>
        <v>27.050442543864463</v>
      </c>
      <c r="S32" s="106"/>
      <c r="T32" s="39">
        <f t="shared" si="7"/>
        <v>2.9906749697417023</v>
      </c>
      <c r="U32" s="93">
        <v>32.972408852688829</v>
      </c>
      <c r="V32" s="93">
        <v>13.087245190266019</v>
      </c>
      <c r="W32" s="93">
        <v>11.299650118244649</v>
      </c>
      <c r="X32" s="93">
        <f t="shared" si="8"/>
        <v>24.386895308510667</v>
      </c>
      <c r="Y32" s="90">
        <f t="shared" si="0"/>
        <v>0</v>
      </c>
      <c r="Z32" s="39">
        <f t="shared" si="9"/>
        <v>3.0765850108950499</v>
      </c>
      <c r="AA32" s="11">
        <v>38.83635765848959</v>
      </c>
      <c r="AB32" s="93">
        <v>9.7986800365741935</v>
      </c>
      <c r="AC32" s="93">
        <v>13.745837027625093</v>
      </c>
      <c r="AD32" s="93">
        <f t="shared" si="10"/>
        <v>23.544517064199287</v>
      </c>
      <c r="AE32" s="93"/>
      <c r="AF32" s="39">
        <f t="shared" si="11"/>
        <v>3.0191901547181432</v>
      </c>
      <c r="AG32" s="93">
        <v>2.7303033528832836</v>
      </c>
      <c r="AH32" s="93">
        <v>7.5430584829441968E-2</v>
      </c>
      <c r="AI32" s="93">
        <v>0.94583812987341553</v>
      </c>
      <c r="AJ32" s="93">
        <f t="shared" si="12"/>
        <v>1.0212687147028574</v>
      </c>
      <c r="AL32" s="39">
        <f t="shared" si="13"/>
        <v>3.0173281094963533</v>
      </c>
      <c r="AM32" s="93">
        <v>15.834000720976697</v>
      </c>
      <c r="AN32" s="93">
        <v>4.2727073292572078</v>
      </c>
      <c r="AO32" s="93">
        <v>5.4813988049700901</v>
      </c>
      <c r="AP32" s="93">
        <f t="shared" si="14"/>
        <v>9.7541061342272979</v>
      </c>
      <c r="AQ32" s="106"/>
      <c r="AR32" s="39">
        <f t="shared" si="15"/>
        <v>3.1303340410858471</v>
      </c>
      <c r="AS32" s="93">
        <v>20.272053584629607</v>
      </c>
      <c r="AT32" s="93">
        <v>5.4505421224875432</v>
      </c>
      <c r="AU32" s="93">
        <v>7.3186000927815886</v>
      </c>
      <c r="AV32" s="93">
        <f t="shared" si="16"/>
        <v>12.769142215269131</v>
      </c>
      <c r="AW32" s="90">
        <f t="shared" si="17"/>
        <v>0</v>
      </c>
      <c r="AX32" s="39">
        <f t="shared" si="18"/>
        <v>2.6584881857450782</v>
      </c>
      <c r="AY32" s="11">
        <v>47.806403154901318</v>
      </c>
      <c r="AZ32" s="93">
        <v>-7.0421609841178725</v>
      </c>
      <c r="BA32" s="93">
        <v>14.342678022761262</v>
      </c>
      <c r="BB32" s="93">
        <f t="shared" si="19"/>
        <v>7.30051703864339</v>
      </c>
      <c r="BC32" s="93"/>
      <c r="BD32" s="39">
        <f t="shared" si="20"/>
        <v>2.6161806421257428</v>
      </c>
      <c r="BE32" s="93">
        <v>10.847301910693686</v>
      </c>
      <c r="BF32" s="93">
        <v>-4.5098176413100948</v>
      </c>
      <c r="BG32" s="93">
        <v>3.196354334448817</v>
      </c>
      <c r="BH32" s="93">
        <f t="shared" si="21"/>
        <v>-1.3134633068612778</v>
      </c>
      <c r="BJ32" s="39">
        <f t="shared" si="22"/>
        <v>2.6374751567947108</v>
      </c>
      <c r="BK32" s="93">
        <v>28.371369231702417</v>
      </c>
      <c r="BL32" s="93">
        <v>-3.0931884379730161</v>
      </c>
      <c r="BM32" s="93">
        <v>8.4364337781793513</v>
      </c>
      <c r="BN32" s="93">
        <f t="shared" si="23"/>
        <v>5.3432453402063356</v>
      </c>
      <c r="BO32" s="106"/>
      <c r="BP32" s="39">
        <f t="shared" si="24"/>
        <v>2.7805305911498435</v>
      </c>
      <c r="BQ32" s="93">
        <v>8.5877320125052172</v>
      </c>
      <c r="BR32" s="93">
        <v>0.56084509516523873</v>
      </c>
      <c r="BS32" s="93">
        <v>2.7098899101330933</v>
      </c>
      <c r="BT32" s="93">
        <f t="shared" si="25"/>
        <v>3.2707350052983322</v>
      </c>
      <c r="BU32" s="90">
        <f t="shared" si="26"/>
        <v>0</v>
      </c>
      <c r="BV32" s="39">
        <f t="shared" si="27"/>
        <v>2.6565095608896083</v>
      </c>
      <c r="BW32" s="11">
        <v>19.849533341962385</v>
      </c>
      <c r="BX32" s="93">
        <v>1.9836189361300114</v>
      </c>
      <c r="BY32" s="93">
        <v>5.9502012149531671</v>
      </c>
      <c r="BZ32" s="93">
        <f t="shared" si="28"/>
        <v>7.9338201510831787</v>
      </c>
      <c r="CA32" s="93"/>
      <c r="CB32" s="39">
        <f t="shared" si="29"/>
        <v>2.6205599538537738</v>
      </c>
      <c r="CC32" s="93">
        <v>6.8203543745401731</v>
      </c>
      <c r="CD32" s="93">
        <v>-1.6267924145713057</v>
      </c>
      <c r="CE32" s="93">
        <v>2.0135102832400635</v>
      </c>
      <c r="CF32" s="93">
        <f t="shared" si="30"/>
        <v>0.38671786866875779</v>
      </c>
      <c r="CH32" s="39">
        <f t="shared" si="31"/>
        <v>2.6438862721386736</v>
      </c>
      <c r="CI32" s="93">
        <v>10.586487257709154</v>
      </c>
      <c r="CJ32" s="93">
        <v>1.7602610215326151</v>
      </c>
      <c r="CK32" s="93">
        <v>3.1565507372840993</v>
      </c>
      <c r="CL32" s="93">
        <f t="shared" si="32"/>
        <v>4.9168117588167144</v>
      </c>
      <c r="CM32" s="106"/>
      <c r="CN32" s="39">
        <f t="shared" si="33"/>
        <v>2.8103646649090264</v>
      </c>
      <c r="CO32" s="93">
        <v>2.4426917097130554</v>
      </c>
      <c r="CP32" s="93">
        <v>1.850150329168702</v>
      </c>
      <c r="CQ32" s="93">
        <v>0.78014019442900417</v>
      </c>
      <c r="CR32" s="93">
        <f t="shared" si="34"/>
        <v>2.6302905235977061</v>
      </c>
      <c r="CS32" s="90">
        <f t="shared" si="35"/>
        <v>0</v>
      </c>
      <c r="CT32" s="39">
        <f t="shared" si="36"/>
        <v>2.1425269866725216</v>
      </c>
      <c r="CU32" s="11">
        <v>17.268551681413616</v>
      </c>
      <c r="CV32" s="93">
        <v>8.3789367833720867</v>
      </c>
      <c r="CW32" s="93">
        <v>4.0777132316847844</v>
      </c>
      <c r="CX32" s="93">
        <f t="shared" si="37"/>
        <v>12.456650015056871</v>
      </c>
      <c r="CY32" s="93"/>
      <c r="CZ32" s="39">
        <f t="shared" si="38"/>
        <v>2.0431060525095246</v>
      </c>
      <c r="DA32" s="93">
        <v>6.4491181642164932</v>
      </c>
      <c r="DB32" s="93">
        <v>-1.7419641031295572</v>
      </c>
      <c r="DC32" s="93">
        <v>1.4456072432268086</v>
      </c>
      <c r="DD32" s="93">
        <f t="shared" si="39"/>
        <v>-0.29635685990274863</v>
      </c>
      <c r="DF32" s="39">
        <f t="shared" si="40"/>
        <v>2.1249626362792373</v>
      </c>
      <c r="DG32" s="93">
        <v>9.1495019713561767</v>
      </c>
      <c r="DH32" s="93">
        <v>4.8951932430571077</v>
      </c>
      <c r="DI32" s="93">
        <v>2.1410860675570116</v>
      </c>
      <c r="DJ32" s="93">
        <f t="shared" si="41"/>
        <v>7.0362793106141197</v>
      </c>
      <c r="DK32" s="106"/>
      <c r="DL32" s="39">
        <f t="shared" si="42"/>
        <v>2.6111687821135154</v>
      </c>
      <c r="DM32" s="93">
        <v>1.6699315458409487</v>
      </c>
      <c r="DN32" s="93">
        <v>5.2257076434445349</v>
      </c>
      <c r="DO32" s="93">
        <v>0.49101992090096452</v>
      </c>
      <c r="DP32" s="93">
        <f t="shared" si="43"/>
        <v>5.7167275643454998</v>
      </c>
    </row>
    <row r="33" spans="1:120" x14ac:dyDescent="0.2">
      <c r="A33" s="90">
        <f>name!B29</f>
        <v>0</v>
      </c>
      <c r="B33" s="39">
        <f t="shared" si="1"/>
        <v>3.0653273318685947</v>
      </c>
      <c r="C33" s="11">
        <v>154.97099999999972</v>
      </c>
      <c r="D33" s="93">
        <v>3.3030000000000879</v>
      </c>
      <c r="E33" s="93">
        <v>54.621773436017577</v>
      </c>
      <c r="F33" s="93">
        <f t="shared" si="2"/>
        <v>57.924773436017666</v>
      </c>
      <c r="G33" s="93"/>
      <c r="H33" s="39">
        <f t="shared" si="3"/>
        <v>2.9436319407800893</v>
      </c>
      <c r="I33" s="93">
        <v>50.957790570188273</v>
      </c>
      <c r="J33" s="93">
        <v>-5.207332958391917</v>
      </c>
      <c r="K33" s="93">
        <v>17.151358481765701</v>
      </c>
      <c r="L33" s="93">
        <f t="shared" si="4"/>
        <v>11.944025523373785</v>
      </c>
      <c r="N33" s="39">
        <f t="shared" si="5"/>
        <v>3.080091904459592</v>
      </c>
      <c r="O33" s="93">
        <v>82.75191339584687</v>
      </c>
      <c r="P33" s="93">
        <v>5.6365125249630674</v>
      </c>
      <c r="Q33" s="93">
        <v>29.327542834156286</v>
      </c>
      <c r="R33" s="93">
        <f t="shared" si="6"/>
        <v>34.964055359119357</v>
      </c>
      <c r="S33" s="106"/>
      <c r="T33" s="39">
        <f t="shared" si="7"/>
        <v>3.2956222869682472</v>
      </c>
      <c r="U33" s="93">
        <v>21.261296033964598</v>
      </c>
      <c r="V33" s="93">
        <v>2.873820433428937</v>
      </c>
      <c r="W33" s="93">
        <v>8.1428721200955785</v>
      </c>
      <c r="X33" s="93">
        <f t="shared" si="8"/>
        <v>11.016692553524516</v>
      </c>
      <c r="Y33" s="90">
        <f t="shared" si="0"/>
        <v>0</v>
      </c>
      <c r="Z33" s="39">
        <f t="shared" si="9"/>
        <v>4.0504340600003408</v>
      </c>
      <c r="AA33" s="11">
        <v>43.296648877844632</v>
      </c>
      <c r="AB33" s="93">
        <v>-7.3473712231151156</v>
      </c>
      <c r="AC33" s="93">
        <v>21.104445332065058</v>
      </c>
      <c r="AD33" s="93">
        <f t="shared" si="10"/>
        <v>13.757074108949944</v>
      </c>
      <c r="AE33" s="93"/>
      <c r="AF33" s="39">
        <f t="shared" si="11"/>
        <v>4.0754800931313673</v>
      </c>
      <c r="AG33" s="93">
        <v>10.106732188154798</v>
      </c>
      <c r="AH33" s="93">
        <v>-4.7657768055697005</v>
      </c>
      <c r="AI33" s="93">
        <v>4.9626340231866539</v>
      </c>
      <c r="AJ33" s="93">
        <f t="shared" si="12"/>
        <v>0.19685721761695341</v>
      </c>
      <c r="AL33" s="39">
        <f t="shared" si="13"/>
        <v>4.032928627335286</v>
      </c>
      <c r="AM33" s="93">
        <v>24.904995907126381</v>
      </c>
      <c r="AN33" s="93">
        <v>-2.8493267756162344</v>
      </c>
      <c r="AO33" s="93">
        <v>12.077372396997415</v>
      </c>
      <c r="AP33" s="93">
        <f t="shared" si="14"/>
        <v>9.228045621381181</v>
      </c>
      <c r="AQ33" s="106"/>
      <c r="AR33" s="39">
        <f t="shared" si="15"/>
        <v>4.0724091362593917</v>
      </c>
      <c r="AS33" s="93">
        <v>8.2849207825634537</v>
      </c>
      <c r="AT33" s="93">
        <v>0.26773235807081874</v>
      </c>
      <c r="AU33" s="93">
        <v>4.0644389118809876</v>
      </c>
      <c r="AV33" s="93">
        <f t="shared" si="16"/>
        <v>4.3321712699518065</v>
      </c>
      <c r="AW33" s="90">
        <f t="shared" si="17"/>
        <v>0</v>
      </c>
      <c r="AX33" s="39">
        <f t="shared" si="18"/>
        <v>2.5547598396461035</v>
      </c>
      <c r="AY33" s="11">
        <v>78.997845710276223</v>
      </c>
      <c r="AZ33" s="93">
        <v>9.7021663700437788</v>
      </c>
      <c r="BA33" s="93">
        <v>22.667623064076533</v>
      </c>
      <c r="BB33" s="93">
        <f t="shared" si="19"/>
        <v>32.369789434120314</v>
      </c>
      <c r="BC33" s="93"/>
      <c r="BD33" s="39">
        <f t="shared" si="20"/>
        <v>2.5174195387168252</v>
      </c>
      <c r="BE33" s="93">
        <v>26.37395315468379</v>
      </c>
      <c r="BF33" s="93">
        <v>1.6686028083983007</v>
      </c>
      <c r="BG33" s="93">
        <v>7.4443560709851919</v>
      </c>
      <c r="BH33" s="93">
        <f t="shared" si="21"/>
        <v>9.112958879383493</v>
      </c>
      <c r="BJ33" s="39">
        <f t="shared" si="22"/>
        <v>2.5486671581746334</v>
      </c>
      <c r="BK33" s="93">
        <v>42.663657472306795</v>
      </c>
      <c r="BL33" s="93">
        <v>6.2773062085895344</v>
      </c>
      <c r="BM33" s="93">
        <v>12.209289576322305</v>
      </c>
      <c r="BN33" s="93">
        <f t="shared" si="23"/>
        <v>18.486595784911842</v>
      </c>
      <c r="BO33" s="106"/>
      <c r="BP33" s="39">
        <f t="shared" si="24"/>
        <v>2.6788844840362147</v>
      </c>
      <c r="BQ33" s="93">
        <v>9.9602350832856388</v>
      </c>
      <c r="BR33" s="93">
        <v>1.7562573530559429</v>
      </c>
      <c r="BS33" s="93">
        <v>3.0139774167690323</v>
      </c>
      <c r="BT33" s="93">
        <f t="shared" si="25"/>
        <v>4.7702347698249756</v>
      </c>
      <c r="BU33" s="90">
        <f t="shared" si="26"/>
        <v>0</v>
      </c>
      <c r="BV33" s="39">
        <f t="shared" si="27"/>
        <v>2.6173395636761576</v>
      </c>
      <c r="BW33" s="11">
        <v>3.1913404184740064</v>
      </c>
      <c r="BX33" s="93">
        <v>1.1226335486044625</v>
      </c>
      <c r="BY33" s="93">
        <v>0.94085301244670572</v>
      </c>
      <c r="BZ33" s="93">
        <f t="shared" si="28"/>
        <v>2.0634865610511683</v>
      </c>
      <c r="CA33" s="93"/>
      <c r="CB33" s="39">
        <f t="shared" si="29"/>
        <v>2.5929383707474774</v>
      </c>
      <c r="CC33" s="93">
        <v>1.3470262007787908</v>
      </c>
      <c r="CD33" s="93">
        <v>-0.26599294418410591</v>
      </c>
      <c r="CE33" s="93">
        <v>0.39297973448013812</v>
      </c>
      <c r="CF33" s="93">
        <f t="shared" si="30"/>
        <v>0.12698679029603221</v>
      </c>
      <c r="CH33" s="39">
        <f t="shared" si="31"/>
        <v>2.6512654768499289</v>
      </c>
      <c r="CI33" s="93">
        <v>1.6842985207880887</v>
      </c>
      <c r="CJ33" s="93">
        <v>1.2839192112138034</v>
      </c>
      <c r="CK33" s="93">
        <v>0.50377617701394806</v>
      </c>
      <c r="CL33" s="93">
        <f t="shared" si="32"/>
        <v>1.7876953882277515</v>
      </c>
      <c r="CM33" s="106"/>
      <c r="CN33" s="39">
        <f t="shared" si="33"/>
        <v>2.4638723480357561</v>
      </c>
      <c r="CO33" s="93">
        <v>0.16001569690712689</v>
      </c>
      <c r="CP33" s="93">
        <v>0.10470728157476483</v>
      </c>
      <c r="CQ33" s="93">
        <v>4.4097100952619553E-2</v>
      </c>
      <c r="CR33" s="93">
        <f t="shared" si="34"/>
        <v>0.14880438252738437</v>
      </c>
      <c r="CS33" s="90">
        <f t="shared" si="35"/>
        <v>0</v>
      </c>
      <c r="CT33" s="39">
        <f t="shared" si="36"/>
        <v>2.939646040038868</v>
      </c>
      <c r="CU33" s="11">
        <v>29.485164993404876</v>
      </c>
      <c r="CV33" s="93">
        <v>-0.17442869553303728</v>
      </c>
      <c r="CW33" s="93">
        <v>9.9088520274292744</v>
      </c>
      <c r="CX33" s="93">
        <f t="shared" si="37"/>
        <v>9.7344233318962363</v>
      </c>
      <c r="CY33" s="93"/>
      <c r="CZ33" s="39">
        <f t="shared" si="38"/>
        <v>2.9037153176336705</v>
      </c>
      <c r="DA33" s="93">
        <v>13.13007902657089</v>
      </c>
      <c r="DB33" s="93">
        <v>-1.8441660170364109</v>
      </c>
      <c r="DC33" s="93">
        <v>4.3513886531137187</v>
      </c>
      <c r="DD33" s="93">
        <f t="shared" si="39"/>
        <v>2.5072226360773078</v>
      </c>
      <c r="DF33" s="39">
        <f t="shared" si="40"/>
        <v>2.9399957923162523</v>
      </c>
      <c r="DG33" s="93">
        <v>13.498961495625606</v>
      </c>
      <c r="DH33" s="93">
        <v>0.92461388077596329</v>
      </c>
      <c r="DI33" s="93">
        <v>4.5371046838226157</v>
      </c>
      <c r="DJ33" s="93">
        <f t="shared" si="41"/>
        <v>5.4617185645985789</v>
      </c>
      <c r="DK33" s="106"/>
      <c r="DL33" s="39">
        <f t="shared" si="42"/>
        <v>3.1017595685842725</v>
      </c>
      <c r="DM33" s="93">
        <v>2.856124471208378</v>
      </c>
      <c r="DN33" s="93">
        <v>0.74512344072741044</v>
      </c>
      <c r="DO33" s="93">
        <v>1.0203586904929389</v>
      </c>
      <c r="DP33" s="93">
        <f t="shared" si="43"/>
        <v>1.7654821312203492</v>
      </c>
    </row>
    <row r="34" spans="1:120" x14ac:dyDescent="0.2">
      <c r="A34" s="90">
        <f>name!B30</f>
        <v>0</v>
      </c>
      <c r="B34" s="39">
        <f t="shared" si="1"/>
        <v>2.9160956930703641</v>
      </c>
      <c r="C34" s="11">
        <v>23.473999999999943</v>
      </c>
      <c r="D34" s="93">
        <v>1.4800000000000508</v>
      </c>
      <c r="E34" s="93">
        <v>7.8170489049169243</v>
      </c>
      <c r="F34" s="93">
        <f t="shared" si="2"/>
        <v>9.2970489049169753</v>
      </c>
      <c r="G34" s="93"/>
      <c r="H34" s="39">
        <f t="shared" si="3"/>
        <v>2.8413998152179376</v>
      </c>
      <c r="I34" s="93">
        <v>1.0959429864268337</v>
      </c>
      <c r="J34" s="93">
        <v>-0.1037259015403591</v>
      </c>
      <c r="K34" s="93">
        <v>0.35439010241011099</v>
      </c>
      <c r="L34" s="93">
        <f t="shared" si="4"/>
        <v>0.25066420086975189</v>
      </c>
      <c r="N34" s="39">
        <f t="shared" si="5"/>
        <v>2.7368083593868553</v>
      </c>
      <c r="O34" s="93">
        <v>5.7095877901633001</v>
      </c>
      <c r="P34" s="93">
        <v>-0.37327834266091714</v>
      </c>
      <c r="Q34" s="93">
        <v>1.7697896880944277</v>
      </c>
      <c r="R34" s="93">
        <f t="shared" si="6"/>
        <v>1.3965113454335105</v>
      </c>
      <c r="S34" s="106"/>
      <c r="T34" s="39">
        <f t="shared" si="7"/>
        <v>2.9817357423914226</v>
      </c>
      <c r="U34" s="93">
        <v>16.668469223409804</v>
      </c>
      <c r="V34" s="93">
        <v>1.9570042442013271</v>
      </c>
      <c r="W34" s="93">
        <v>5.6928691144123853</v>
      </c>
      <c r="X34" s="93">
        <f t="shared" si="8"/>
        <v>7.6498733586137124</v>
      </c>
      <c r="Y34" s="90">
        <f t="shared" si="0"/>
        <v>0</v>
      </c>
      <c r="Z34" s="39">
        <f t="shared" si="9"/>
        <v>2.9622047611067126</v>
      </c>
      <c r="AA34" s="11">
        <v>19.751750114413298</v>
      </c>
      <c r="AB34" s="93">
        <v>1.9847428369989049</v>
      </c>
      <c r="AC34" s="93">
        <v>6.6957068627363743</v>
      </c>
      <c r="AD34" s="93">
        <f t="shared" si="10"/>
        <v>8.6804496997352789</v>
      </c>
      <c r="AE34" s="93"/>
      <c r="AF34" s="39">
        <f t="shared" si="11"/>
        <v>2.8503434562277441</v>
      </c>
      <c r="AG34" s="93">
        <v>0.53141404120681335</v>
      </c>
      <c r="AH34" s="93">
        <v>5.7773207866578854E-3</v>
      </c>
      <c r="AI34" s="93">
        <v>0.17245277094298822</v>
      </c>
      <c r="AJ34" s="93">
        <f t="shared" si="12"/>
        <v>0.1782300917296461</v>
      </c>
      <c r="AL34" s="39">
        <f t="shared" si="13"/>
        <v>2.8052118952712313</v>
      </c>
      <c r="AM34" s="93">
        <v>3.8176590294715562</v>
      </c>
      <c r="AN34" s="93">
        <v>-9.3651610208796005E-2</v>
      </c>
      <c r="AO34" s="93">
        <v>1.2167495955135688</v>
      </c>
      <c r="AP34" s="93">
        <f t="shared" si="14"/>
        <v>1.1230979853047727</v>
      </c>
      <c r="AQ34" s="106"/>
      <c r="AR34" s="39">
        <f t="shared" si="15"/>
        <v>3.0046124829515852</v>
      </c>
      <c r="AS34" s="93">
        <v>15.402677043734929</v>
      </c>
      <c r="AT34" s="93">
        <v>2.0726171264210431</v>
      </c>
      <c r="AU34" s="93">
        <v>5.3065044962798176</v>
      </c>
      <c r="AV34" s="93">
        <f t="shared" si="16"/>
        <v>7.3791216227008611</v>
      </c>
      <c r="AW34" s="90">
        <f t="shared" si="17"/>
        <v>0</v>
      </c>
      <c r="AX34" s="39">
        <f t="shared" si="18"/>
        <v>2.6373612310459427</v>
      </c>
      <c r="AY34" s="11">
        <v>2.374731535280187</v>
      </c>
      <c r="AZ34" s="93">
        <v>-0.52610301968475415</v>
      </c>
      <c r="BA34" s="93">
        <v>0.70610956275344761</v>
      </c>
      <c r="BB34" s="93">
        <f t="shared" si="19"/>
        <v>0.18000654306869346</v>
      </c>
      <c r="BC34" s="93"/>
      <c r="BD34" s="39">
        <f t="shared" si="20"/>
        <v>2.6142974667533903</v>
      </c>
      <c r="BE34" s="93">
        <v>0.19374258077031151</v>
      </c>
      <c r="BF34" s="93">
        <v>-6.9067346278153099E-2</v>
      </c>
      <c r="BG34" s="93">
        <v>5.7043738869553398E-2</v>
      </c>
      <c r="BH34" s="93">
        <f t="shared" si="21"/>
        <v>-1.2023607408599701E-2</v>
      </c>
      <c r="BJ34" s="39">
        <f t="shared" si="22"/>
        <v>2.5779959595980673</v>
      </c>
      <c r="BK34" s="93">
        <v>1.3032102618231316</v>
      </c>
      <c r="BL34" s="93">
        <v>-0.29057782168208351</v>
      </c>
      <c r="BM34" s="93">
        <v>0.37774669225068269</v>
      </c>
      <c r="BN34" s="93">
        <f t="shared" si="23"/>
        <v>8.7168870568599177E-2</v>
      </c>
      <c r="BO34" s="106"/>
      <c r="BP34" s="39">
        <f t="shared" si="24"/>
        <v>2.7299783965388569</v>
      </c>
      <c r="BQ34" s="93">
        <v>0.87777869268674391</v>
      </c>
      <c r="BR34" s="93">
        <v>-0.16645785172451752</v>
      </c>
      <c r="BS34" s="93">
        <v>0.27131913163321136</v>
      </c>
      <c r="BT34" s="93">
        <f t="shared" si="25"/>
        <v>0.10486127990869384</v>
      </c>
      <c r="BU34" s="90">
        <f t="shared" si="26"/>
        <v>0</v>
      </c>
      <c r="BV34" s="39">
        <f t="shared" si="27"/>
        <v>2.6468617353205159</v>
      </c>
      <c r="BW34" s="11">
        <v>1.0085113638560528</v>
      </c>
      <c r="BX34" s="93">
        <v>-2.6892226884003306E-2</v>
      </c>
      <c r="BY34" s="93">
        <v>0.30108528970707676</v>
      </c>
      <c r="BZ34" s="93">
        <f t="shared" si="28"/>
        <v>0.27419306282307343</v>
      </c>
      <c r="CA34" s="93"/>
      <c r="CB34" s="39">
        <f t="shared" si="29"/>
        <v>2.9715317472071456</v>
      </c>
      <c r="CC34" s="93">
        <v>0.11005468485323042</v>
      </c>
      <c r="CD34" s="93">
        <v>-1.7792453645316623E-2</v>
      </c>
      <c r="CE34" s="93">
        <v>3.7441322944962968E-2</v>
      </c>
      <c r="CF34" s="93">
        <f t="shared" si="30"/>
        <v>1.9648869299646345E-2</v>
      </c>
      <c r="CH34" s="39">
        <f t="shared" si="31"/>
        <v>2.6078916675794428</v>
      </c>
      <c r="CI34" s="93">
        <v>0.53681981591731076</v>
      </c>
      <c r="CJ34" s="93">
        <v>-2.205025681449153E-2</v>
      </c>
      <c r="CK34" s="93">
        <v>0.1576225040625937</v>
      </c>
      <c r="CL34" s="93">
        <f t="shared" si="32"/>
        <v>0.13557224724810218</v>
      </c>
      <c r="CM34" s="106"/>
      <c r="CN34" s="39">
        <f t="shared" si="33"/>
        <v>2.604308479860018</v>
      </c>
      <c r="CO34" s="93">
        <v>0.36163686308551168</v>
      </c>
      <c r="CP34" s="93">
        <v>1.2950483575804845E-2</v>
      </c>
      <c r="CQ34" s="93">
        <v>0.10602146269952011</v>
      </c>
      <c r="CR34" s="93">
        <f t="shared" si="34"/>
        <v>0.11897194627532495</v>
      </c>
      <c r="CS34" s="90">
        <f t="shared" si="35"/>
        <v>0</v>
      </c>
      <c r="CT34" s="39">
        <f t="shared" si="36"/>
        <v>2.9446387229132842</v>
      </c>
      <c r="CU34" s="11">
        <v>0.33900698645039778</v>
      </c>
      <c r="CV34" s="93">
        <v>4.8252409569903426E-2</v>
      </c>
      <c r="CW34" s="93">
        <v>0.11414718972002513</v>
      </c>
      <c r="CX34" s="93">
        <f t="shared" si="37"/>
        <v>0.16239959928992856</v>
      </c>
      <c r="CY34" s="93"/>
      <c r="CZ34" s="39">
        <f t="shared" si="38"/>
        <v>2.9346268426516664</v>
      </c>
      <c r="DA34" s="93">
        <v>0.26073167959647875</v>
      </c>
      <c r="DB34" s="93">
        <v>-2.2643422403547261E-2</v>
      </c>
      <c r="DC34" s="93">
        <v>8.7452269652606385E-2</v>
      </c>
      <c r="DD34" s="93">
        <f t="shared" si="39"/>
        <v>6.4808847249059123E-2</v>
      </c>
      <c r="DF34" s="39">
        <f t="shared" si="40"/>
        <v>2.9736967059325492</v>
      </c>
      <c r="DG34" s="93">
        <v>5.1898682951301692E-2</v>
      </c>
      <c r="DH34" s="93">
        <v>3.3001346044453983E-2</v>
      </c>
      <c r="DI34" s="93">
        <v>1.7670896267582607E-2</v>
      </c>
      <c r="DJ34" s="93">
        <f t="shared" si="41"/>
        <v>5.067224231203659E-2</v>
      </c>
      <c r="DK34" s="106"/>
      <c r="DL34" s="39">
        <f t="shared" si="42"/>
        <v>2.986239445321015</v>
      </c>
      <c r="DM34" s="93">
        <v>2.637662390261741E-2</v>
      </c>
      <c r="DN34" s="93">
        <v>3.7894485928996711E-2</v>
      </c>
      <c r="DO34" s="93">
        <v>9.0240237998361478E-3</v>
      </c>
      <c r="DP34" s="93">
        <f t="shared" si="43"/>
        <v>4.6918509728832859E-2</v>
      </c>
    </row>
    <row r="35" spans="1:120" x14ac:dyDescent="0.2">
      <c r="A35" s="90">
        <f>name!B31</f>
        <v>0</v>
      </c>
      <c r="B35" s="39">
        <f t="shared" si="1"/>
        <v>2.8621080323697479</v>
      </c>
      <c r="C35" s="11">
        <v>28.894999999999936</v>
      </c>
      <c r="D35" s="93">
        <v>1.6460000000000381</v>
      </c>
      <c r="E35" s="93">
        <v>9.420712233917067</v>
      </c>
      <c r="F35" s="93">
        <f t="shared" si="2"/>
        <v>11.066712233917105</v>
      </c>
      <c r="G35" s="93"/>
      <c r="H35" s="39">
        <f t="shared" si="3"/>
        <v>2.6633825373017173</v>
      </c>
      <c r="I35" s="93">
        <v>1.9794220652335754</v>
      </c>
      <c r="J35" s="93">
        <v>-0.35248216003289656</v>
      </c>
      <c r="K35" s="93">
        <v>0.59508506788336712</v>
      </c>
      <c r="L35" s="93">
        <f t="shared" si="4"/>
        <v>0.24260290785047056</v>
      </c>
      <c r="N35" s="39">
        <f t="shared" si="5"/>
        <v>2.6696771260062091</v>
      </c>
      <c r="O35" s="93">
        <v>10.289648262531291</v>
      </c>
      <c r="P35" s="93">
        <v>0.71798490602012099</v>
      </c>
      <c r="Q35" s="93">
        <v>3.1016441026996522</v>
      </c>
      <c r="R35" s="93">
        <f t="shared" si="6"/>
        <v>3.8196290087197733</v>
      </c>
      <c r="S35" s="106"/>
      <c r="T35" s="39">
        <f t="shared" si="7"/>
        <v>3.0027901952621061</v>
      </c>
      <c r="U35" s="93">
        <v>16.625929672235067</v>
      </c>
      <c r="V35" s="93">
        <v>1.2804972540128137</v>
      </c>
      <c r="W35" s="93">
        <v>5.7239830633340478</v>
      </c>
      <c r="X35" s="93">
        <f t="shared" si="8"/>
        <v>7.0044803173468617</v>
      </c>
      <c r="Y35" s="90">
        <f t="shared" si="0"/>
        <v>0</v>
      </c>
      <c r="Z35" s="39">
        <f t="shared" si="9"/>
        <v>3.0215443790052143</v>
      </c>
      <c r="AA35" s="11">
        <v>17.580481963655998</v>
      </c>
      <c r="AB35" s="93">
        <v>2.8098087008328023</v>
      </c>
      <c r="AC35" s="93">
        <v>6.095681909765899</v>
      </c>
      <c r="AD35" s="93">
        <f t="shared" si="10"/>
        <v>8.9054906105987008</v>
      </c>
      <c r="AE35" s="93"/>
      <c r="AF35" s="39">
        <f t="shared" si="11"/>
        <v>2.9707695648767851</v>
      </c>
      <c r="AG35" s="93">
        <v>0.5967101275394916</v>
      </c>
      <c r="AH35" s="93">
        <v>0.21095192443473093</v>
      </c>
      <c r="AI35" s="93">
        <v>0.20294549270816775</v>
      </c>
      <c r="AJ35" s="93">
        <f t="shared" si="12"/>
        <v>0.41389741714289868</v>
      </c>
      <c r="AL35" s="39">
        <f t="shared" si="13"/>
        <v>2.828445336027241</v>
      </c>
      <c r="AM35" s="93">
        <v>4.2778021615675197</v>
      </c>
      <c r="AN35" s="93">
        <v>1.1605153808737563</v>
      </c>
      <c r="AO35" s="93">
        <v>1.3761664496642632</v>
      </c>
      <c r="AP35" s="93">
        <f t="shared" si="14"/>
        <v>2.5366818305380194</v>
      </c>
      <c r="AQ35" s="106"/>
      <c r="AR35" s="39">
        <f t="shared" si="15"/>
        <v>3.0881955582803711</v>
      </c>
      <c r="AS35" s="93">
        <v>12.705969674548985</v>
      </c>
      <c r="AT35" s="93">
        <v>1.4383413955243152</v>
      </c>
      <c r="AU35" s="93">
        <v>4.5165699673934689</v>
      </c>
      <c r="AV35" s="93">
        <f t="shared" si="16"/>
        <v>5.9549113629177839</v>
      </c>
      <c r="AW35" s="90">
        <f t="shared" si="17"/>
        <v>0</v>
      </c>
      <c r="AX35" s="39">
        <f t="shared" si="18"/>
        <v>2.6020134806948869</v>
      </c>
      <c r="AY35" s="11">
        <v>7.0600510279774715</v>
      </c>
      <c r="AZ35" s="93">
        <v>-0.82070299664328927</v>
      </c>
      <c r="BA35" s="93">
        <v>2.067760735617695</v>
      </c>
      <c r="BB35" s="93">
        <f t="shared" si="19"/>
        <v>1.2470577389744057</v>
      </c>
      <c r="BC35" s="93"/>
      <c r="BD35" s="39">
        <f t="shared" si="20"/>
        <v>2.5053318006841074</v>
      </c>
      <c r="BE35" s="93">
        <v>0.58242692656334427</v>
      </c>
      <c r="BF35" s="93">
        <v>-0.32828833435573068</v>
      </c>
      <c r="BG35" s="93">
        <v>0.16351669099146005</v>
      </c>
      <c r="BH35" s="93">
        <f t="shared" si="21"/>
        <v>-0.16477164336427064</v>
      </c>
      <c r="BJ35" s="39">
        <f t="shared" si="22"/>
        <v>2.528922957277846</v>
      </c>
      <c r="BK35" s="93">
        <v>3.4980513979754475</v>
      </c>
      <c r="BL35" s="93">
        <v>-0.21403758136916518</v>
      </c>
      <c r="BM35" s="93">
        <v>0.99240143264883662</v>
      </c>
      <c r="BN35" s="93">
        <f t="shared" si="23"/>
        <v>0.77836385127967145</v>
      </c>
      <c r="BO35" s="106"/>
      <c r="BP35" s="39">
        <f t="shared" si="24"/>
        <v>2.7058922134773455</v>
      </c>
      <c r="BQ35" s="93">
        <v>2.9795727034386803</v>
      </c>
      <c r="BR35" s="93">
        <v>-0.27837708091839342</v>
      </c>
      <c r="BS35" s="93">
        <v>0.91184261197739835</v>
      </c>
      <c r="BT35" s="93">
        <f t="shared" si="25"/>
        <v>0.63346553105900494</v>
      </c>
      <c r="BU35" s="90">
        <f t="shared" si="26"/>
        <v>0</v>
      </c>
      <c r="BV35" s="39">
        <f t="shared" si="27"/>
        <v>2.6025333799874595</v>
      </c>
      <c r="BW35" s="11">
        <v>3.9916086369088277</v>
      </c>
      <c r="BX35" s="93">
        <v>-0.36860749517507152</v>
      </c>
      <c r="BY35" s="93">
        <v>1.1693311871886336</v>
      </c>
      <c r="BZ35" s="93">
        <f t="shared" si="28"/>
        <v>0.80072369201356208</v>
      </c>
      <c r="CA35" s="93"/>
      <c r="CB35" s="39">
        <f t="shared" si="29"/>
        <v>2.5262794249925946</v>
      </c>
      <c r="CC35" s="93">
        <v>0.76479151317239202</v>
      </c>
      <c r="CD35" s="93">
        <v>-0.20773686960970486</v>
      </c>
      <c r="CE35" s="93">
        <v>0.21671918013294533</v>
      </c>
      <c r="CF35" s="93">
        <f t="shared" si="30"/>
        <v>8.9823105232404721E-3</v>
      </c>
      <c r="CH35" s="39">
        <f t="shared" si="31"/>
        <v>2.5896950806788999</v>
      </c>
      <c r="CI35" s="93">
        <v>2.4153471822787229</v>
      </c>
      <c r="CJ35" s="93">
        <v>-0.2502303844660983</v>
      </c>
      <c r="CK35" s="93">
        <v>0.70366416736616388</v>
      </c>
      <c r="CL35" s="93">
        <f t="shared" si="32"/>
        <v>0.45343378290006559</v>
      </c>
      <c r="CM35" s="106"/>
      <c r="CN35" s="39">
        <f t="shared" si="33"/>
        <v>2.7118274856430702</v>
      </c>
      <c r="CO35" s="93">
        <v>0.81146994145771245</v>
      </c>
      <c r="CP35" s="93">
        <v>8.9359758900731598E-2</v>
      </c>
      <c r="CQ35" s="93">
        <v>0.24894783968952428</v>
      </c>
      <c r="CR35" s="93">
        <f t="shared" si="34"/>
        <v>0.33830759859025589</v>
      </c>
      <c r="CS35" s="90">
        <f t="shared" si="35"/>
        <v>0</v>
      </c>
      <c r="CT35" s="39">
        <f t="shared" si="36"/>
        <v>2.9279629310322131</v>
      </c>
      <c r="CU35" s="11">
        <v>0.26285837145763702</v>
      </c>
      <c r="CV35" s="93">
        <v>2.5501790985596576E-2</v>
      </c>
      <c r="CW35" s="93">
        <v>8.7938401344838837E-2</v>
      </c>
      <c r="CX35" s="93">
        <f t="shared" si="37"/>
        <v>0.11344019233043541</v>
      </c>
      <c r="CY35" s="93"/>
      <c r="CZ35" s="39">
        <f t="shared" si="38"/>
        <v>2.9343651326463327</v>
      </c>
      <c r="DA35" s="93">
        <v>3.5493497958347456E-2</v>
      </c>
      <c r="DB35" s="93">
        <v>-2.740888050219192E-2</v>
      </c>
      <c r="DC35" s="93">
        <v>1.1903704050793999E-2</v>
      </c>
      <c r="DD35" s="93">
        <f t="shared" si="39"/>
        <v>-1.5505176451397921E-2</v>
      </c>
      <c r="DF35" s="39">
        <f t="shared" si="40"/>
        <v>2.6485565988142667</v>
      </c>
      <c r="DG35" s="93">
        <v>9.8447520709600847E-2</v>
      </c>
      <c r="DH35" s="93">
        <v>2.1737490981628024E-2</v>
      </c>
      <c r="DI35" s="93">
        <v>2.941205302038874E-2</v>
      </c>
      <c r="DJ35" s="93">
        <f t="shared" si="41"/>
        <v>5.1149544002016767E-2</v>
      </c>
      <c r="DK35" s="106"/>
      <c r="DL35" s="39">
        <f t="shared" si="42"/>
        <v>3.1350944801386671</v>
      </c>
      <c r="DM35" s="93">
        <v>0.12891735278968872</v>
      </c>
      <c r="DN35" s="93">
        <v>3.1173180506160469E-2</v>
      </c>
      <c r="DO35" s="93">
        <v>4.6622644273656109E-2</v>
      </c>
      <c r="DP35" s="93">
        <f t="shared" si="43"/>
        <v>7.7795824779816586E-2</v>
      </c>
    </row>
    <row r="36" spans="1:120" x14ac:dyDescent="0.2">
      <c r="A36" s="90">
        <f>name!B32</f>
        <v>0</v>
      </c>
      <c r="B36" s="39">
        <f t="shared" si="1"/>
        <v>2.9945367077332863</v>
      </c>
      <c r="C36" s="11">
        <v>56.486999999999881</v>
      </c>
      <c r="D36" s="93">
        <v>9.4270000000000458</v>
      </c>
      <c r="E36" s="93">
        <v>19.386548178062384</v>
      </c>
      <c r="F36" s="93">
        <f t="shared" si="2"/>
        <v>28.81354817806243</v>
      </c>
      <c r="G36" s="93"/>
      <c r="H36" s="39">
        <f t="shared" si="3"/>
        <v>2.6683655064911882</v>
      </c>
      <c r="I36" s="93">
        <v>3.0739661220094856</v>
      </c>
      <c r="J36" s="93">
        <v>1.6985913874363638</v>
      </c>
      <c r="K36" s="93">
        <v>0.92608514366015537</v>
      </c>
      <c r="L36" s="93">
        <f t="shared" si="4"/>
        <v>2.6246765310965192</v>
      </c>
      <c r="N36" s="39">
        <f t="shared" si="5"/>
        <v>2.7983270973520824</v>
      </c>
      <c r="O36" s="93">
        <v>10.80483185043264</v>
      </c>
      <c r="P36" s="93">
        <v>0.32429358730751345</v>
      </c>
      <c r="Q36" s="93">
        <v>3.4341351738504251</v>
      </c>
      <c r="R36" s="93">
        <f t="shared" si="6"/>
        <v>3.7584287611579388</v>
      </c>
      <c r="S36" s="106"/>
      <c r="T36" s="39">
        <f t="shared" si="7"/>
        <v>3.0668385216106264</v>
      </c>
      <c r="U36" s="93">
        <v>42.608202027557752</v>
      </c>
      <c r="V36" s="93">
        <v>7.4041150252561669</v>
      </c>
      <c r="W36" s="93">
        <v>15.026327860551801</v>
      </c>
      <c r="X36" s="93">
        <f t="shared" si="8"/>
        <v>22.430442885807967</v>
      </c>
      <c r="Y36" s="90">
        <f t="shared" si="0"/>
        <v>0</v>
      </c>
      <c r="Z36" s="39">
        <f t="shared" si="9"/>
        <v>3.0309771831799281</v>
      </c>
      <c r="AA36" s="11">
        <v>51.021735996170101</v>
      </c>
      <c r="AB36" s="93">
        <v>9.5647099325395999</v>
      </c>
      <c r="AC36" s="93">
        <v>17.753710691282151</v>
      </c>
      <c r="AD36" s="93">
        <f t="shared" si="10"/>
        <v>27.318420623821751</v>
      </c>
      <c r="AE36" s="93"/>
      <c r="AF36" s="39">
        <f t="shared" si="11"/>
        <v>2.7156970530987756</v>
      </c>
      <c r="AG36" s="93">
        <v>1.8966772091595998</v>
      </c>
      <c r="AH36" s="93">
        <v>1.1084660999032749</v>
      </c>
      <c r="AI36" s="93">
        <v>0.58280846211724435</v>
      </c>
      <c r="AJ36" s="93">
        <f t="shared" si="12"/>
        <v>1.6912745620205194</v>
      </c>
      <c r="AL36" s="39">
        <f t="shared" si="13"/>
        <v>2.8544377950161515</v>
      </c>
      <c r="AM36" s="93">
        <v>8.7151787782400429</v>
      </c>
      <c r="AN36" s="93">
        <v>0.37231764916359472</v>
      </c>
      <c r="AO36" s="93">
        <v>2.8328178136294691</v>
      </c>
      <c r="AP36" s="93">
        <f t="shared" si="14"/>
        <v>3.2051354627930637</v>
      </c>
      <c r="AQ36" s="106"/>
      <c r="AR36" s="39">
        <f t="shared" si="15"/>
        <v>3.0832355344662776</v>
      </c>
      <c r="AS36" s="93">
        <v>40.409880008770457</v>
      </c>
      <c r="AT36" s="93">
        <v>8.0839261834727303</v>
      </c>
      <c r="AU36" s="93">
        <v>14.338084415535439</v>
      </c>
      <c r="AV36" s="93">
        <f t="shared" si="16"/>
        <v>22.422010599008168</v>
      </c>
      <c r="AW36" s="90">
        <f t="shared" si="17"/>
        <v>0</v>
      </c>
      <c r="AX36" s="39">
        <f t="shared" si="18"/>
        <v>2.6442828612915692</v>
      </c>
      <c r="AY36" s="11">
        <v>4.1117223502687619</v>
      </c>
      <c r="AZ36" s="93">
        <v>-1.2602457015033561</v>
      </c>
      <c r="BA36" s="93">
        <v>1.2261898817352725</v>
      </c>
      <c r="BB36" s="93">
        <f t="shared" si="19"/>
        <v>-3.4055819768083584E-2</v>
      </c>
      <c r="BC36" s="93"/>
      <c r="BD36" s="39">
        <f t="shared" si="20"/>
        <v>2.5250973136344612</v>
      </c>
      <c r="BE36" s="93">
        <v>0.59212142104784216</v>
      </c>
      <c r="BF36" s="93">
        <v>5.5003227893673415E-2</v>
      </c>
      <c r="BG36" s="93">
        <v>0.1677019969682341</v>
      </c>
      <c r="BH36" s="93">
        <f t="shared" si="21"/>
        <v>0.22270522486190752</v>
      </c>
      <c r="BJ36" s="39">
        <f t="shared" si="22"/>
        <v>2.5953522288273634</v>
      </c>
      <c r="BK36" s="93">
        <v>1.6781048923637909</v>
      </c>
      <c r="BL36" s="93">
        <v>-0.50299398657548378</v>
      </c>
      <c r="BM36" s="93">
        <v>0.49007829174845352</v>
      </c>
      <c r="BN36" s="93">
        <f t="shared" si="23"/>
        <v>-1.2915694827030255E-2</v>
      </c>
      <c r="BO36" s="106"/>
      <c r="BP36" s="39">
        <f t="shared" si="24"/>
        <v>2.7266024857339533</v>
      </c>
      <c r="BQ36" s="93">
        <v>1.8414960368571291</v>
      </c>
      <c r="BR36" s="93">
        <v>-0.81225494282154564</v>
      </c>
      <c r="BS36" s="93">
        <v>0.56840959301858496</v>
      </c>
      <c r="BT36" s="93">
        <f t="shared" si="25"/>
        <v>-0.24384534980296069</v>
      </c>
      <c r="BU36" s="90">
        <f t="shared" si="26"/>
        <v>0</v>
      </c>
      <c r="BV36" s="39">
        <f t="shared" si="27"/>
        <v>2.6699286086445007</v>
      </c>
      <c r="BW36" s="11">
        <v>0.94096087042845011</v>
      </c>
      <c r="BX36" s="93">
        <v>1.0673588590067584</v>
      </c>
      <c r="BY36" s="93">
        <v>0.28366707092484866</v>
      </c>
      <c r="BZ36" s="93">
        <f t="shared" si="28"/>
        <v>1.3510259299316072</v>
      </c>
      <c r="CA36" s="93"/>
      <c r="CB36" s="39">
        <f t="shared" si="29"/>
        <v>2.4755931087015126</v>
      </c>
      <c r="CC36" s="93">
        <v>0.24637925552867021</v>
      </c>
      <c r="CD36" s="93">
        <v>0.45294770729803285</v>
      </c>
      <c r="CE36" s="93">
        <v>6.8256840443345096E-2</v>
      </c>
      <c r="CF36" s="93">
        <f t="shared" si="30"/>
        <v>0.52120454774137792</v>
      </c>
      <c r="CH36" s="39">
        <f t="shared" si="31"/>
        <v>2.5317857369329788</v>
      </c>
      <c r="CI36" s="93">
        <v>0.34250238229029917</v>
      </c>
      <c r="CJ36" s="93">
        <v>0.47722061778305425</v>
      </c>
      <c r="CK36" s="93">
        <v>9.7291120958866453E-2</v>
      </c>
      <c r="CL36" s="93">
        <f t="shared" si="32"/>
        <v>0.57451173874192074</v>
      </c>
      <c r="CM36" s="106"/>
      <c r="CN36" s="39">
        <f t="shared" si="33"/>
        <v>2.9352369214464158</v>
      </c>
      <c r="CO36" s="93">
        <v>0.35207923260948076</v>
      </c>
      <c r="CP36" s="93">
        <v>0.13719053392567115</v>
      </c>
      <c r="CQ36" s="93">
        <v>0.1181191095226371</v>
      </c>
      <c r="CR36" s="93">
        <f t="shared" si="34"/>
        <v>0.25530964344830825</v>
      </c>
      <c r="CS36" s="90">
        <f t="shared" si="35"/>
        <v>0</v>
      </c>
      <c r="CT36" s="39">
        <f t="shared" si="36"/>
        <v>2.6431615692057875</v>
      </c>
      <c r="CU36" s="11">
        <v>0.41258078313257079</v>
      </c>
      <c r="CV36" s="93">
        <v>5.5176909957042726E-2</v>
      </c>
      <c r="CW36" s="93">
        <v>0.12298053412010829</v>
      </c>
      <c r="CX36" s="93">
        <f t="shared" si="37"/>
        <v>0.17815744407715101</v>
      </c>
      <c r="CY36" s="93"/>
      <c r="CZ36" s="39">
        <f t="shared" si="38"/>
        <v>2.7900274591234453</v>
      </c>
      <c r="DA36" s="93">
        <v>0.33878823627337318</v>
      </c>
      <c r="DB36" s="93">
        <v>8.2174352341382664E-2</v>
      </c>
      <c r="DC36" s="93">
        <v>0.10731784413133177</v>
      </c>
      <c r="DD36" s="93">
        <f t="shared" si="39"/>
        <v>0.18949219647271442</v>
      </c>
      <c r="DF36" s="39">
        <f t="shared" si="40"/>
        <v>1.8569836908540527</v>
      </c>
      <c r="DG36" s="93">
        <v>6.9045797538509451E-2</v>
      </c>
      <c r="DH36" s="93">
        <v>-2.2250693063651759E-2</v>
      </c>
      <c r="DI36" s="93">
        <v>1.3947947513635921E-2</v>
      </c>
      <c r="DJ36" s="93">
        <f t="shared" si="41"/>
        <v>-8.3027455500158387E-3</v>
      </c>
      <c r="DK36" s="106"/>
      <c r="DL36" s="39">
        <f t="shared" si="42"/>
        <v>3.1320498905442085</v>
      </c>
      <c r="DM36" s="93">
        <v>4.7467493206881754E-3</v>
      </c>
      <c r="DN36" s="93">
        <v>-4.7467493206881754E-3</v>
      </c>
      <c r="DO36" s="93">
        <v>1.714742475140592E-3</v>
      </c>
      <c r="DP36" s="93">
        <f t="shared" si="43"/>
        <v>-3.0320068455475836E-3</v>
      </c>
    </row>
    <row r="37" spans="1:120" x14ac:dyDescent="0.2">
      <c r="A37" s="90">
        <f>name!B33</f>
        <v>0</v>
      </c>
      <c r="B37" s="39">
        <f t="shared" si="1"/>
        <v>3.0105219210724066</v>
      </c>
      <c r="C37" s="11">
        <v>138.06999999999971</v>
      </c>
      <c r="D37" s="93">
        <v>5.2479999999998874</v>
      </c>
      <c r="E37" s="93">
        <v>47.674174099563118</v>
      </c>
      <c r="F37" s="93">
        <f t="shared" si="2"/>
        <v>52.922174099563009</v>
      </c>
      <c r="G37" s="93"/>
      <c r="H37" s="39">
        <f t="shared" si="3"/>
        <v>2.7387217667445674</v>
      </c>
      <c r="I37" s="93">
        <v>5.0762170042485808</v>
      </c>
      <c r="J37" s="93">
        <v>-1.6886317271375544</v>
      </c>
      <c r="K37" s="93">
        <v>1.5747035569122914</v>
      </c>
      <c r="L37" s="93">
        <f t="shared" si="4"/>
        <v>-0.11392817022526303</v>
      </c>
      <c r="N37" s="39">
        <f t="shared" si="5"/>
        <v>2.8045296362573024</v>
      </c>
      <c r="O37" s="93">
        <v>28.306731283971203</v>
      </c>
      <c r="P37" s="93">
        <v>-8.2765906536960721</v>
      </c>
      <c r="Q37" s="93">
        <v>9.0193352638725663</v>
      </c>
      <c r="R37" s="93">
        <f t="shared" si="6"/>
        <v>0.74274461017649429</v>
      </c>
      <c r="S37" s="106"/>
      <c r="T37" s="39">
        <f t="shared" si="7"/>
        <v>3.078543964604763</v>
      </c>
      <c r="U37" s="93">
        <v>104.68705171177994</v>
      </c>
      <c r="V37" s="93">
        <v>15.213222380833514</v>
      </c>
      <c r="W37" s="93">
        <v>37.080135278778265</v>
      </c>
      <c r="X37" s="93">
        <f t="shared" si="8"/>
        <v>52.293357659611779</v>
      </c>
      <c r="Y37" s="90">
        <f t="shared" si="0"/>
        <v>0</v>
      </c>
      <c r="Z37" s="39">
        <f t="shared" si="9"/>
        <v>3.1854311581563932</v>
      </c>
      <c r="AA37" s="11">
        <v>84.169352157623123</v>
      </c>
      <c r="AB37" s="93">
        <v>11.293223881137797</v>
      </c>
      <c r="AC37" s="93">
        <v>31.000236702092703</v>
      </c>
      <c r="AD37" s="93">
        <f t="shared" si="10"/>
        <v>42.293460583230498</v>
      </c>
      <c r="AE37" s="93"/>
      <c r="AF37" s="39">
        <f t="shared" si="11"/>
        <v>2.8758144240809802</v>
      </c>
      <c r="AG37" s="93">
        <v>1.561209729824472</v>
      </c>
      <c r="AH37" s="93">
        <v>-0.14303116627554172</v>
      </c>
      <c r="AI37" s="93">
        <v>0.51176550062084825</v>
      </c>
      <c r="AJ37" s="93">
        <f t="shared" si="12"/>
        <v>0.36873433434530656</v>
      </c>
      <c r="AL37" s="39">
        <f t="shared" si="13"/>
        <v>3.0188955093647607</v>
      </c>
      <c r="AM37" s="93">
        <v>12.208732860551185</v>
      </c>
      <c r="AN37" s="93">
        <v>-2.5285459351532285</v>
      </c>
      <c r="AO37" s="93">
        <v>4.2289079044003817</v>
      </c>
      <c r="AP37" s="93">
        <f t="shared" si="14"/>
        <v>1.7003619692471532</v>
      </c>
      <c r="AQ37" s="106"/>
      <c r="AR37" s="39">
        <f t="shared" si="15"/>
        <v>3.2208226301510656</v>
      </c>
      <c r="AS37" s="93">
        <v>70.39940956724746</v>
      </c>
      <c r="AT37" s="93">
        <v>13.964800982566569</v>
      </c>
      <c r="AU37" s="93">
        <v>26.259563297071477</v>
      </c>
      <c r="AV37" s="93">
        <f t="shared" si="16"/>
        <v>40.224364279638046</v>
      </c>
      <c r="AW37" s="90">
        <f t="shared" si="17"/>
        <v>0</v>
      </c>
      <c r="AX37" s="39">
        <f t="shared" si="18"/>
        <v>2.7267134522667158</v>
      </c>
      <c r="AY37" s="11">
        <v>51.927409634180037</v>
      </c>
      <c r="AZ37" s="93">
        <v>-6.0856524291559531</v>
      </c>
      <c r="BA37" s="93">
        <v>16.029026927967443</v>
      </c>
      <c r="BB37" s="93">
        <f t="shared" si="19"/>
        <v>9.9433744988114903</v>
      </c>
      <c r="BC37" s="93"/>
      <c r="BD37" s="39">
        <f t="shared" si="20"/>
        <v>2.6091217857213467</v>
      </c>
      <c r="BE37" s="93">
        <v>2.7243795006504485</v>
      </c>
      <c r="BF37" s="93">
        <v>-1.1532037322243214</v>
      </c>
      <c r="BG37" s="93">
        <v>0.80036230481528592</v>
      </c>
      <c r="BH37" s="93">
        <f t="shared" si="21"/>
        <v>-0.35284142740903546</v>
      </c>
      <c r="BJ37" s="39">
        <f t="shared" si="22"/>
        <v>2.6299443244254261</v>
      </c>
      <c r="BK37" s="93">
        <v>15.359163285338358</v>
      </c>
      <c r="BL37" s="93">
        <v>-5.9558823651697637</v>
      </c>
      <c r="BM37" s="93">
        <v>4.5525435996448893</v>
      </c>
      <c r="BN37" s="93">
        <f t="shared" si="23"/>
        <v>-1.4033387655248744</v>
      </c>
      <c r="BO37" s="106"/>
      <c r="BP37" s="39">
        <f t="shared" si="24"/>
        <v>2.7797379262401334</v>
      </c>
      <c r="BQ37" s="93">
        <v>33.843866848191233</v>
      </c>
      <c r="BR37" s="93">
        <v>1.0234336682381324</v>
      </c>
      <c r="BS37" s="93">
        <v>10.676121023507269</v>
      </c>
      <c r="BT37" s="93">
        <f t="shared" si="25"/>
        <v>11.699554691745401</v>
      </c>
      <c r="BU37" s="90">
        <f t="shared" si="26"/>
        <v>0</v>
      </c>
      <c r="BV37" s="39">
        <f t="shared" si="27"/>
        <v>2.6792477491861755</v>
      </c>
      <c r="BW37" s="11">
        <v>0.56980182682378044</v>
      </c>
      <c r="BX37" s="93">
        <v>1.0313467302711063E-2</v>
      </c>
      <c r="BY37" s="93">
        <v>0.17244888032198771</v>
      </c>
      <c r="BZ37" s="93">
        <f t="shared" si="28"/>
        <v>0.18276234762469878</v>
      </c>
      <c r="CA37" s="93"/>
      <c r="CB37" s="39">
        <f t="shared" si="29"/>
        <v>2.8367883930212612</v>
      </c>
      <c r="CC37" s="93">
        <v>0.20099431010344829</v>
      </c>
      <c r="CD37" s="93">
        <v>-5.7907920738398629E-2</v>
      </c>
      <c r="CE37" s="93">
        <v>6.4875370800946713E-2</v>
      </c>
      <c r="CF37" s="93">
        <f t="shared" si="30"/>
        <v>6.9674500625480848E-3</v>
      </c>
      <c r="CH37" s="39">
        <f t="shared" si="31"/>
        <v>2.5723272891071236</v>
      </c>
      <c r="CI37" s="93">
        <v>0.24513927427280902</v>
      </c>
      <c r="CJ37" s="93">
        <v>6.3410914542454982E-2</v>
      </c>
      <c r="CK37" s="93">
        <v>7.0881032615846981E-2</v>
      </c>
      <c r="CL37" s="93">
        <f t="shared" si="32"/>
        <v>0.13429194715830195</v>
      </c>
      <c r="CM37" s="106"/>
      <c r="CN37" s="39">
        <f t="shared" si="33"/>
        <v>2.6322808837923928</v>
      </c>
      <c r="CO37" s="93">
        <v>0.12366824244752304</v>
      </c>
      <c r="CP37" s="93">
        <v>4.8104734986547104E-3</v>
      </c>
      <c r="CQ37" s="93">
        <v>3.6692476905194005E-2</v>
      </c>
      <c r="CR37" s="93">
        <f t="shared" si="34"/>
        <v>4.1502950403848715E-2</v>
      </c>
      <c r="CS37" s="90">
        <f t="shared" si="35"/>
        <v>0</v>
      </c>
      <c r="CT37" s="39">
        <f t="shared" si="36"/>
        <v>2.9441443737506567</v>
      </c>
      <c r="CU37" s="11">
        <v>1.4034363813727799</v>
      </c>
      <c r="CV37" s="93">
        <v>3.0115080715330519E-2</v>
      </c>
      <c r="CW37" s="93">
        <v>0.47246158918098952</v>
      </c>
      <c r="CX37" s="93">
        <f t="shared" si="37"/>
        <v>0.50257666989631999</v>
      </c>
      <c r="CY37" s="93"/>
      <c r="CZ37" s="39">
        <f t="shared" si="38"/>
        <v>2.9337226933785931</v>
      </c>
      <c r="DA37" s="93">
        <v>0.58963346367021108</v>
      </c>
      <c r="DB37" s="93">
        <v>-0.33448890789929281</v>
      </c>
      <c r="DC37" s="93">
        <v>0.19770038067521037</v>
      </c>
      <c r="DD37" s="93">
        <f t="shared" si="39"/>
        <v>-0.13678852722408244</v>
      </c>
      <c r="DF37" s="39">
        <f t="shared" si="40"/>
        <v>2.9566467111862726</v>
      </c>
      <c r="DG37" s="93">
        <v>0.49369586380885072</v>
      </c>
      <c r="DH37" s="93">
        <v>0.14442673208446449</v>
      </c>
      <c r="DI37" s="93">
        <v>0.16700272721144677</v>
      </c>
      <c r="DJ37" s="93">
        <f t="shared" si="41"/>
        <v>0.31142945929591126</v>
      </c>
      <c r="DK37" s="106"/>
      <c r="DL37" s="39">
        <f t="shared" si="42"/>
        <v>2.944039552625588</v>
      </c>
      <c r="DM37" s="93">
        <v>0.32010705389371841</v>
      </c>
      <c r="DN37" s="93">
        <v>0.22017725653015885</v>
      </c>
      <c r="DO37" s="93">
        <v>0.10775848129433241</v>
      </c>
      <c r="DP37" s="93">
        <f t="shared" si="43"/>
        <v>0.32793573782449126</v>
      </c>
    </row>
    <row r="38" spans="1:120" x14ac:dyDescent="0.2">
      <c r="A38" s="90">
        <f>name!B34</f>
        <v>0</v>
      </c>
      <c r="B38" s="39">
        <f t="shared" si="1"/>
        <v>2.8257154904523185</v>
      </c>
      <c r="C38" s="11">
        <v>26.81499999999993</v>
      </c>
      <c r="D38" s="93">
        <v>7.5369999999999937</v>
      </c>
      <c r="E38" s="93">
        <v>8.6169620938889029</v>
      </c>
      <c r="F38" s="93">
        <f t="shared" si="2"/>
        <v>16.153962093888897</v>
      </c>
      <c r="G38" s="93"/>
      <c r="H38" s="39">
        <f t="shared" si="3"/>
        <v>2.7595137651860391</v>
      </c>
      <c r="I38" s="93">
        <v>9.6078449399321268</v>
      </c>
      <c r="J38" s="93">
        <v>1.1945418938920125</v>
      </c>
      <c r="K38" s="93">
        <v>3.0059681556585636</v>
      </c>
      <c r="L38" s="93">
        <f t="shared" si="4"/>
        <v>4.2005100495505765</v>
      </c>
      <c r="N38" s="39">
        <f t="shared" si="5"/>
        <v>2.7341953758082793</v>
      </c>
      <c r="O38" s="93">
        <v>9.4171479489873615</v>
      </c>
      <c r="P38" s="93">
        <v>4.3258837135697759</v>
      </c>
      <c r="Q38" s="93">
        <v>2.9158776210009156</v>
      </c>
      <c r="R38" s="93">
        <f t="shared" si="6"/>
        <v>7.2417613345706915</v>
      </c>
      <c r="S38" s="106"/>
      <c r="T38" s="39">
        <f t="shared" si="7"/>
        <v>3.0157359045575483</v>
      </c>
      <c r="U38" s="93">
        <v>7.7900071110804436</v>
      </c>
      <c r="V38" s="93">
        <v>2.0165743925382058</v>
      </c>
      <c r="W38" s="93">
        <v>2.6951163172294232</v>
      </c>
      <c r="X38" s="93">
        <f t="shared" si="8"/>
        <v>4.7116907097676286</v>
      </c>
      <c r="Y38" s="90">
        <f t="shared" si="0"/>
        <v>0</v>
      </c>
      <c r="Z38" s="39">
        <f t="shared" si="9"/>
        <v>2.9620533437984875</v>
      </c>
      <c r="AA38" s="11">
        <v>14.110138053458403</v>
      </c>
      <c r="AB38" s="93">
        <v>3.9764107081502162</v>
      </c>
      <c r="AC38" s="93">
        <v>4.782961494721258</v>
      </c>
      <c r="AD38" s="93">
        <f t="shared" si="10"/>
        <v>8.7593722028714751</v>
      </c>
      <c r="AE38" s="93"/>
      <c r="AF38" s="39">
        <f t="shared" si="11"/>
        <v>3.0508290138248517</v>
      </c>
      <c r="AG38" s="93">
        <v>2.6202275395242833</v>
      </c>
      <c r="AH38" s="93">
        <v>0.73551593091479284</v>
      </c>
      <c r="AI38" s="93">
        <v>0.91855524570148372</v>
      </c>
      <c r="AJ38" s="93">
        <f t="shared" si="12"/>
        <v>1.6540711766162766</v>
      </c>
      <c r="AL38" s="39">
        <f t="shared" si="13"/>
        <v>2.7890299588156253</v>
      </c>
      <c r="AM38" s="93">
        <v>5.0463247440146821</v>
      </c>
      <c r="AN38" s="93">
        <v>1.6277822226639092</v>
      </c>
      <c r="AO38" s="93">
        <v>1.5978779135482615</v>
      </c>
      <c r="AP38" s="93">
        <f t="shared" si="14"/>
        <v>3.2256601362121708</v>
      </c>
      <c r="AQ38" s="106"/>
      <c r="AR38" s="39">
        <f t="shared" si="15"/>
        <v>3.0598777753332529</v>
      </c>
      <c r="AS38" s="93">
        <v>6.4435857699194363</v>
      </c>
      <c r="AT38" s="93">
        <v>1.6131125545715137</v>
      </c>
      <c r="AU38" s="93">
        <v>2.266528335471512</v>
      </c>
      <c r="AV38" s="93">
        <f t="shared" si="16"/>
        <v>3.8796408900430257</v>
      </c>
      <c r="AW38" s="90">
        <f t="shared" si="17"/>
        <v>0</v>
      </c>
      <c r="AX38" s="39">
        <f t="shared" si="18"/>
        <v>2.6178151526021098</v>
      </c>
      <c r="AY38" s="11">
        <v>7.6620754162084248</v>
      </c>
      <c r="AZ38" s="93">
        <v>4.1655399185813149</v>
      </c>
      <c r="BA38" s="93">
        <v>2.2593497360645594</v>
      </c>
      <c r="BB38" s="93">
        <f t="shared" si="19"/>
        <v>6.4248896546458738</v>
      </c>
      <c r="BC38" s="93"/>
      <c r="BD38" s="39">
        <f t="shared" si="20"/>
        <v>2.5608888175541633</v>
      </c>
      <c r="BE38" s="93">
        <v>3.3773615761310447</v>
      </c>
      <c r="BF38" s="93">
        <v>1.945929096670862</v>
      </c>
      <c r="BG38" s="93">
        <v>0.97169760077091438</v>
      </c>
      <c r="BH38" s="93">
        <f t="shared" si="21"/>
        <v>2.9176266974417766</v>
      </c>
      <c r="BJ38" s="39">
        <f t="shared" si="22"/>
        <v>2.6173073729337526</v>
      </c>
      <c r="BK38" s="93">
        <v>3.0704844325527145</v>
      </c>
      <c r="BL38" s="93">
        <v>1.9069257326115823</v>
      </c>
      <c r="BM38" s="93">
        <v>0.90521045953698565</v>
      </c>
      <c r="BN38" s="93">
        <f t="shared" si="23"/>
        <v>2.8121361921485679</v>
      </c>
      <c r="BO38" s="106"/>
      <c r="BP38" s="39">
        <f t="shared" si="24"/>
        <v>2.7759432511544002</v>
      </c>
      <c r="BQ38" s="93">
        <v>1.2142294075246651</v>
      </c>
      <c r="BR38" s="93">
        <v>0.31268508929887001</v>
      </c>
      <c r="BS38" s="93">
        <v>0.38244167575665899</v>
      </c>
      <c r="BT38" s="93">
        <f t="shared" si="25"/>
        <v>0.69512676505552906</v>
      </c>
      <c r="BU38" s="90">
        <f t="shared" si="26"/>
        <v>0</v>
      </c>
      <c r="BV38" s="39">
        <f t="shared" si="27"/>
        <v>2.414473236517467</v>
      </c>
      <c r="BW38" s="11">
        <v>1.7431494173157795</v>
      </c>
      <c r="BX38" s="93">
        <v>0.61248561781568023</v>
      </c>
      <c r="BY38" s="93">
        <v>0.46968017566679687</v>
      </c>
      <c r="BZ38" s="93">
        <f t="shared" si="28"/>
        <v>1.0821657934824771</v>
      </c>
      <c r="CA38" s="93"/>
      <c r="CB38" s="39">
        <f t="shared" si="29"/>
        <v>2.3405169267602499</v>
      </c>
      <c r="CC38" s="93">
        <v>1.2042700345147108</v>
      </c>
      <c r="CD38" s="93">
        <v>0.30980767932272152</v>
      </c>
      <c r="CE38" s="93">
        <v>0.31347892181305265</v>
      </c>
      <c r="CF38" s="93">
        <f t="shared" si="30"/>
        <v>0.62328660113577417</v>
      </c>
      <c r="CH38" s="39">
        <f t="shared" si="31"/>
        <v>2.5716323827520871</v>
      </c>
      <c r="CI38" s="93">
        <v>0.51030481802269645</v>
      </c>
      <c r="CJ38" s="93">
        <v>0.30519047738461286</v>
      </c>
      <c r="CK38" s="93">
        <v>0.14750801317099851</v>
      </c>
      <c r="CL38" s="93">
        <f t="shared" si="32"/>
        <v>0.4526984905556114</v>
      </c>
      <c r="CM38" s="106"/>
      <c r="CN38" s="39">
        <f t="shared" si="33"/>
        <v>2.6917180041436728</v>
      </c>
      <c r="CO38" s="93">
        <v>2.8574564778372218E-2</v>
      </c>
      <c r="CP38" s="93">
        <v>-2.5125388916541216E-3</v>
      </c>
      <c r="CQ38" s="93">
        <v>8.6932406827457485E-3</v>
      </c>
      <c r="CR38" s="93">
        <f t="shared" si="34"/>
        <v>6.1807017910916265E-3</v>
      </c>
      <c r="CS38" s="90">
        <f t="shared" si="35"/>
        <v>0</v>
      </c>
      <c r="CT38" s="39">
        <f t="shared" si="36"/>
        <v>2.930505677421591</v>
      </c>
      <c r="CU38" s="11">
        <v>3.299637113017325</v>
      </c>
      <c r="CV38" s="93">
        <v>-1.2174362445472158</v>
      </c>
      <c r="CW38" s="93">
        <v>1.1049706874362895</v>
      </c>
      <c r="CX38" s="93">
        <f t="shared" si="37"/>
        <v>-0.11246555711092632</v>
      </c>
      <c r="CY38" s="93"/>
      <c r="CZ38" s="39">
        <f t="shared" si="38"/>
        <v>2.919374445859102</v>
      </c>
      <c r="DA38" s="93">
        <v>2.4059857897620875</v>
      </c>
      <c r="DB38" s="93">
        <v>-1.7967108130163638</v>
      </c>
      <c r="DC38" s="93">
        <v>0.80223638737311287</v>
      </c>
      <c r="DD38" s="93">
        <f t="shared" si="39"/>
        <v>-0.99447442564325095</v>
      </c>
      <c r="DF38" s="39">
        <f t="shared" si="40"/>
        <v>2.937506325372885</v>
      </c>
      <c r="DG38" s="93">
        <v>0.79003395439726709</v>
      </c>
      <c r="DH38" s="93">
        <v>0.48598528090967197</v>
      </c>
      <c r="DI38" s="93">
        <v>0.26528123474467041</v>
      </c>
      <c r="DJ38" s="93">
        <f t="shared" si="41"/>
        <v>0.75126651565434233</v>
      </c>
      <c r="DK38" s="106"/>
      <c r="DL38" s="39">
        <f t="shared" si="42"/>
        <v>3.1336395897629599</v>
      </c>
      <c r="DM38" s="93">
        <v>0.10361736885797046</v>
      </c>
      <c r="DN38" s="93">
        <v>9.3289287559476172E-2</v>
      </c>
      <c r="DO38" s="93">
        <v>3.7453065318506049E-2</v>
      </c>
      <c r="DP38" s="93">
        <f t="shared" si="43"/>
        <v>0.13074235287798222</v>
      </c>
    </row>
    <row r="39" spans="1:120" x14ac:dyDescent="0.2">
      <c r="A39" s="90">
        <f>name!B35</f>
        <v>0</v>
      </c>
      <c r="B39" s="39">
        <f t="shared" si="1"/>
        <v>2.9211108203484271</v>
      </c>
      <c r="C39" s="11">
        <v>368.77606295320101</v>
      </c>
      <c r="D39" s="93">
        <v>84.761622092085645</v>
      </c>
      <c r="E39" s="93">
        <v>123.04528099391801</v>
      </c>
      <c r="F39" s="93">
        <f t="shared" si="2"/>
        <v>207.80690308600367</v>
      </c>
      <c r="G39" s="93"/>
      <c r="H39" s="39">
        <f t="shared" si="3"/>
        <v>2.7717249598931071</v>
      </c>
      <c r="I39" s="93">
        <v>32.837927119185728</v>
      </c>
      <c r="J39" s="93">
        <v>4.3237049506459986</v>
      </c>
      <c r="K39" s="93">
        <v>10.325129723137874</v>
      </c>
      <c r="L39" s="93">
        <f t="shared" si="4"/>
        <v>14.648834673783872</v>
      </c>
      <c r="N39" s="39">
        <f t="shared" si="5"/>
        <v>2.7656612940708758</v>
      </c>
      <c r="O39" s="93">
        <v>92.687769994006359</v>
      </c>
      <c r="P39" s="93">
        <v>19.710235186067983</v>
      </c>
      <c r="Q39" s="93">
        <v>29.071671128619347</v>
      </c>
      <c r="R39" s="93">
        <f t="shared" si="6"/>
        <v>48.781906314687333</v>
      </c>
      <c r="S39" s="106"/>
      <c r="T39" s="39">
        <f t="shared" si="7"/>
        <v>2.9997068221470746</v>
      </c>
      <c r="U39" s="93">
        <v>243.25036584000898</v>
      </c>
      <c r="V39" s="93">
        <v>60.727681955371672</v>
      </c>
      <c r="W39" s="93">
        <v>83.648480142160807</v>
      </c>
      <c r="X39" s="93">
        <f t="shared" si="8"/>
        <v>144.37616209753247</v>
      </c>
      <c r="Y39" s="90">
        <f t="shared" si="0"/>
        <v>0</v>
      </c>
      <c r="Z39" s="39">
        <f t="shared" si="9"/>
        <v>2.9792358460889012</v>
      </c>
      <c r="AA39" s="11">
        <v>289.04342517306725</v>
      </c>
      <c r="AB39" s="93">
        <v>66.861243610511465</v>
      </c>
      <c r="AC39" s="93">
        <v>98.624387051621596</v>
      </c>
      <c r="AD39" s="93">
        <f t="shared" si="10"/>
        <v>165.48563066213308</v>
      </c>
      <c r="AE39" s="93"/>
      <c r="AF39" s="39">
        <f t="shared" si="11"/>
        <v>2.8543057167711661</v>
      </c>
      <c r="AG39" s="93">
        <v>18.48236538854206</v>
      </c>
      <c r="AH39" s="93">
        <v>4.0960252972031945</v>
      </c>
      <c r="AI39" s="93">
        <v>6.0072701306023175</v>
      </c>
      <c r="AJ39" s="93">
        <f t="shared" si="12"/>
        <v>10.103295427805513</v>
      </c>
      <c r="AL39" s="39">
        <f t="shared" si="13"/>
        <v>2.8320236000210164</v>
      </c>
      <c r="AM39" s="93">
        <v>54.824002647872582</v>
      </c>
      <c r="AN39" s="93">
        <v>11.073850669427829</v>
      </c>
      <c r="AO39" s="93">
        <v>17.662068695155931</v>
      </c>
      <c r="AP39" s="93">
        <f t="shared" si="14"/>
        <v>28.735919364583758</v>
      </c>
      <c r="AQ39" s="106"/>
      <c r="AR39" s="39">
        <f t="shared" si="15"/>
        <v>3.0269513060553033</v>
      </c>
      <c r="AS39" s="93">
        <v>215.73705713665262</v>
      </c>
      <c r="AT39" s="93">
        <v>51.691367643880433</v>
      </c>
      <c r="AU39" s="93">
        <v>74.955048225863351</v>
      </c>
      <c r="AV39" s="93">
        <f t="shared" si="16"/>
        <v>126.64641586974378</v>
      </c>
      <c r="AW39" s="90">
        <f t="shared" si="17"/>
        <v>0</v>
      </c>
      <c r="AX39" s="39">
        <f t="shared" si="18"/>
        <v>2.6968748254135422</v>
      </c>
      <c r="AY39" s="11">
        <v>69.208761822942577</v>
      </c>
      <c r="AZ39" s="93">
        <v>17.364813908921313</v>
      </c>
      <c r="BA39" s="93">
        <v>21.100721406247324</v>
      </c>
      <c r="BB39" s="93">
        <f t="shared" si="19"/>
        <v>38.465535315168637</v>
      </c>
      <c r="BC39" s="93"/>
      <c r="BD39" s="39">
        <f t="shared" si="20"/>
        <v>2.6111478879813799</v>
      </c>
      <c r="BE39" s="93">
        <v>8.5643903989708114</v>
      </c>
      <c r="BF39" s="93">
        <v>2.5133510791903837</v>
      </c>
      <c r="BG39" s="93">
        <v>2.5182161637376153</v>
      </c>
      <c r="BH39" s="93">
        <f t="shared" si="21"/>
        <v>5.0315672429279985</v>
      </c>
      <c r="BJ39" s="39">
        <f t="shared" si="22"/>
        <v>2.646322122033018</v>
      </c>
      <c r="BK39" s="93">
        <v>33.438393051364635</v>
      </c>
      <c r="BL39" s="93">
        <v>5.8534198050841955</v>
      </c>
      <c r="BM39" s="93">
        <v>9.9805580750418521</v>
      </c>
      <c r="BN39" s="93">
        <f t="shared" si="23"/>
        <v>15.833977880126048</v>
      </c>
      <c r="BO39" s="106"/>
      <c r="BP39" s="39">
        <f t="shared" si="24"/>
        <v>2.7854120715325115</v>
      </c>
      <c r="BQ39" s="93">
        <v>27.205978372607124</v>
      </c>
      <c r="BR39" s="93">
        <v>8.9980430246467371</v>
      </c>
      <c r="BS39" s="93">
        <v>8.6019471674678574</v>
      </c>
      <c r="BT39" s="93">
        <f t="shared" si="25"/>
        <v>17.599990192114596</v>
      </c>
      <c r="BU39" s="90">
        <f t="shared" si="26"/>
        <v>0</v>
      </c>
      <c r="BV39" s="39">
        <f t="shared" si="27"/>
        <v>2.5118352045522041</v>
      </c>
      <c r="BW39" s="11">
        <v>3.8656530906609365</v>
      </c>
      <c r="BX39" s="93">
        <v>1.3479415735600602</v>
      </c>
      <c r="BY39" s="93">
        <v>1.08842630099127</v>
      </c>
      <c r="BZ39" s="93">
        <f t="shared" si="28"/>
        <v>2.4363678745513302</v>
      </c>
      <c r="CA39" s="93"/>
      <c r="CB39" s="39">
        <f t="shared" si="29"/>
        <v>2.415283547581426</v>
      </c>
      <c r="CC39" s="93">
        <v>1.9483930173046786</v>
      </c>
      <c r="CD39" s="93">
        <v>0.36760454555590533</v>
      </c>
      <c r="CE39" s="93">
        <v>0.52517741956185582</v>
      </c>
      <c r="CF39" s="93">
        <f t="shared" si="30"/>
        <v>0.89278196511776109</v>
      </c>
      <c r="CH39" s="39">
        <f t="shared" si="31"/>
        <v>2.60322084904967</v>
      </c>
      <c r="CI39" s="93">
        <v>1.6099297426070227</v>
      </c>
      <c r="CJ39" s="93">
        <v>0.94206574115965114</v>
      </c>
      <c r="CK39" s="93">
        <v>0.47176413259982158</v>
      </c>
      <c r="CL39" s="93">
        <f t="shared" si="32"/>
        <v>1.4138298737594728</v>
      </c>
      <c r="CM39" s="106"/>
      <c r="CN39" s="39">
        <f t="shared" si="33"/>
        <v>2.6399932413593952</v>
      </c>
      <c r="CO39" s="93">
        <v>0.30733033074923499</v>
      </c>
      <c r="CP39" s="93">
        <v>3.8271286844503753E-2</v>
      </c>
      <c r="CQ39" s="93">
        <v>9.148474882959258E-2</v>
      </c>
      <c r="CR39" s="93">
        <f t="shared" si="34"/>
        <v>0.12975603567409633</v>
      </c>
      <c r="CS39" s="90">
        <f t="shared" si="35"/>
        <v>0</v>
      </c>
      <c r="CT39" s="39">
        <f t="shared" si="36"/>
        <v>2.9328961439813339</v>
      </c>
      <c r="CU39" s="11">
        <v>6.6582228665302994</v>
      </c>
      <c r="CV39" s="93">
        <v>-0.81237700090717724</v>
      </c>
      <c r="CW39" s="93">
        <v>2.2317462350578254</v>
      </c>
      <c r="CX39" s="93">
        <f t="shared" si="37"/>
        <v>1.4193692341506483</v>
      </c>
      <c r="CY39" s="93"/>
      <c r="CZ39" s="39">
        <f t="shared" si="38"/>
        <v>2.9056172918835443</v>
      </c>
      <c r="DA39" s="93">
        <v>3.8427783143681786</v>
      </c>
      <c r="DB39" s="93">
        <v>-2.6532759713034841</v>
      </c>
      <c r="DC39" s="93">
        <v>1.2744660092360849</v>
      </c>
      <c r="DD39" s="93">
        <f t="shared" si="39"/>
        <v>-1.3788099620673993</v>
      </c>
      <c r="DF39" s="39">
        <f t="shared" si="40"/>
        <v>2.9700241427257357</v>
      </c>
      <c r="DG39" s="93">
        <v>2.8154445521621203</v>
      </c>
      <c r="DH39" s="93">
        <v>1.840898970396307</v>
      </c>
      <c r="DI39" s="93">
        <v>0.95728022582174022</v>
      </c>
      <c r="DJ39" s="93">
        <f t="shared" si="41"/>
        <v>2.7981791962180473</v>
      </c>
      <c r="DK39" s="106"/>
      <c r="DL39" s="39">
        <f t="shared" si="42"/>
        <v>0</v>
      </c>
      <c r="DM39" s="93">
        <v>0</v>
      </c>
      <c r="DN39" s="93">
        <v>0</v>
      </c>
      <c r="DO39" s="93">
        <v>0</v>
      </c>
      <c r="DP39" s="93">
        <f t="shared" si="43"/>
        <v>0</v>
      </c>
    </row>
    <row r="40" spans="1:120" x14ac:dyDescent="0.2">
      <c r="A40" s="90">
        <f>name!B36</f>
        <v>0</v>
      </c>
      <c r="B40" s="39">
        <f t="shared" si="1"/>
        <v>2.6156670918794589</v>
      </c>
      <c r="C40" s="11">
        <v>59.103598741996336</v>
      </c>
      <c r="D40" s="93">
        <v>10.931351340026987</v>
      </c>
      <c r="E40" s="93">
        <v>17.412118425033665</v>
      </c>
      <c r="F40" s="93">
        <f t="shared" si="2"/>
        <v>28.343469765060654</v>
      </c>
      <c r="G40" s="93"/>
      <c r="H40" s="39">
        <f t="shared" si="3"/>
        <v>2.9162137159606694</v>
      </c>
      <c r="I40" s="93">
        <v>7.0907516731659292</v>
      </c>
      <c r="J40" s="93">
        <v>1.9187056475680879</v>
      </c>
      <c r="K40" s="93">
        <v>2.3613912018919283</v>
      </c>
      <c r="L40" s="93">
        <f t="shared" si="4"/>
        <v>4.2800968494600165</v>
      </c>
      <c r="N40" s="39">
        <f t="shared" si="5"/>
        <v>2.7970408811855085</v>
      </c>
      <c r="O40" s="93">
        <v>18.191156691215305</v>
      </c>
      <c r="P40" s="93">
        <v>8.022238906562599</v>
      </c>
      <c r="Q40" s="93">
        <v>5.7787557135900602</v>
      </c>
      <c r="R40" s="93">
        <f t="shared" si="6"/>
        <v>13.800994620152659</v>
      </c>
      <c r="S40" s="106"/>
      <c r="T40" s="39">
        <f t="shared" si="7"/>
        <v>2.4523227678848292</v>
      </c>
      <c r="U40" s="93">
        <v>33.821690377615099</v>
      </c>
      <c r="V40" s="93">
        <v>0.99040678589629894</v>
      </c>
      <c r="W40" s="93">
        <v>9.2719715095516726</v>
      </c>
      <c r="X40" s="93">
        <f t="shared" si="8"/>
        <v>10.262378295447972</v>
      </c>
      <c r="Y40" s="90">
        <f t="shared" si="0"/>
        <v>0</v>
      </c>
      <c r="Z40" s="39">
        <f t="shared" si="9"/>
        <v>2.484409578072122</v>
      </c>
      <c r="AA40" s="11">
        <v>44.995646288457721</v>
      </c>
      <c r="AB40" s="93">
        <v>0.7961289357498379</v>
      </c>
      <c r="AC40" s="93">
        <v>12.515037145045216</v>
      </c>
      <c r="AD40" s="93">
        <f t="shared" si="10"/>
        <v>13.311166080795054</v>
      </c>
      <c r="AE40" s="93"/>
      <c r="AF40" s="39">
        <f t="shared" si="11"/>
        <v>2.5511173362787742</v>
      </c>
      <c r="AG40" s="93">
        <v>2.5406257516550319</v>
      </c>
      <c r="AH40" s="93">
        <v>0.3259075522826399</v>
      </c>
      <c r="AI40" s="93">
        <v>0.72784543832994497</v>
      </c>
      <c r="AJ40" s="93">
        <f t="shared" si="12"/>
        <v>1.0537529906125849</v>
      </c>
      <c r="AL40" s="39">
        <f t="shared" si="13"/>
        <v>2.6421330232528906</v>
      </c>
      <c r="AM40" s="93">
        <v>11.02643601927363</v>
      </c>
      <c r="AN40" s="93">
        <v>-0.16285332189494414</v>
      </c>
      <c r="AO40" s="93">
        <v>3.2852845394032442</v>
      </c>
      <c r="AP40" s="93">
        <f t="shared" si="14"/>
        <v>3.1224312175083</v>
      </c>
      <c r="AQ40" s="106"/>
      <c r="AR40" s="39">
        <f t="shared" si="15"/>
        <v>2.4231158731658597</v>
      </c>
      <c r="AS40" s="93">
        <v>31.42858451752906</v>
      </c>
      <c r="AT40" s="93">
        <v>0.63307470536214216</v>
      </c>
      <c r="AU40" s="93">
        <v>8.5019071673120266</v>
      </c>
      <c r="AV40" s="93">
        <f t="shared" si="16"/>
        <v>9.1349818726741692</v>
      </c>
      <c r="AW40" s="90">
        <f t="shared" si="17"/>
        <v>0</v>
      </c>
      <c r="AX40" s="39">
        <f t="shared" si="18"/>
        <v>2.675817093692956</v>
      </c>
      <c r="AY40" s="11">
        <v>5.0502971452334489</v>
      </c>
      <c r="AZ40" s="93">
        <v>0.88079477764455349</v>
      </c>
      <c r="BA40" s="93">
        <v>1.5262601500564552</v>
      </c>
      <c r="BB40" s="93">
        <f t="shared" si="19"/>
        <v>2.4070549277010089</v>
      </c>
      <c r="BC40" s="93"/>
      <c r="BD40" s="39">
        <f t="shared" si="20"/>
        <v>2.6176394496400412</v>
      </c>
      <c r="BE40" s="93">
        <v>0.56332121807974112</v>
      </c>
      <c r="BF40" s="93">
        <v>6.7884082218324399E-2</v>
      </c>
      <c r="BG40" s="93">
        <v>0.16609650552913752</v>
      </c>
      <c r="BH40" s="93">
        <f t="shared" si="21"/>
        <v>0.23398058774746192</v>
      </c>
      <c r="BJ40" s="39">
        <f t="shared" si="22"/>
        <v>2.6168774278747309</v>
      </c>
      <c r="BK40" s="93">
        <v>2.8001519292734307</v>
      </c>
      <c r="BL40" s="93">
        <v>0.57994096053429567</v>
      </c>
      <c r="BM40" s="93">
        <v>0.8253617461934516</v>
      </c>
      <c r="BN40" s="93">
        <f t="shared" si="23"/>
        <v>1.4053027067277473</v>
      </c>
      <c r="BO40" s="106"/>
      <c r="BP40" s="39">
        <f t="shared" si="24"/>
        <v>2.7921892804910087</v>
      </c>
      <c r="BQ40" s="93">
        <v>1.6868239978802764</v>
      </c>
      <c r="BR40" s="93">
        <v>0.23296973489193351</v>
      </c>
      <c r="BS40" s="93">
        <v>0.53480189833386615</v>
      </c>
      <c r="BT40" s="93">
        <f t="shared" si="25"/>
        <v>0.76777163322579967</v>
      </c>
      <c r="BU40" s="90">
        <f t="shared" si="26"/>
        <v>0</v>
      </c>
      <c r="BV40" s="39">
        <f t="shared" si="27"/>
        <v>3.3032406781256851</v>
      </c>
      <c r="BW40" s="11">
        <v>7.5734451294849583</v>
      </c>
      <c r="BX40" s="93">
        <v>9.9445968505973621</v>
      </c>
      <c r="BY40" s="93">
        <v>2.9082842096564585</v>
      </c>
      <c r="BZ40" s="93">
        <f t="shared" si="28"/>
        <v>12.852881060253821</v>
      </c>
      <c r="CA40" s="93"/>
      <c r="CB40" s="39">
        <f t="shared" si="29"/>
        <v>3.3739759257654933</v>
      </c>
      <c r="CC40" s="93">
        <v>2.7837448344029059</v>
      </c>
      <c r="CD40" s="93">
        <v>2.278224621913898</v>
      </c>
      <c r="CE40" s="93">
        <v>1.0954503018874868</v>
      </c>
      <c r="CF40" s="93">
        <f t="shared" si="30"/>
        <v>3.373674923801385</v>
      </c>
      <c r="CH40" s="39">
        <f t="shared" si="31"/>
        <v>3.3175945471649371</v>
      </c>
      <c r="CI40" s="93">
        <v>4.0993032054196004</v>
      </c>
      <c r="CJ40" s="93">
        <v>7.5439376770551005</v>
      </c>
      <c r="CK40" s="93">
        <v>1.582064592612429</v>
      </c>
      <c r="CL40" s="93">
        <f t="shared" si="32"/>
        <v>9.1260022696675289</v>
      </c>
      <c r="CM40" s="106"/>
      <c r="CN40" s="39">
        <f t="shared" si="33"/>
        <v>2.9257200385051085</v>
      </c>
      <c r="CO40" s="93">
        <v>0.69039708966245217</v>
      </c>
      <c r="CP40" s="93">
        <v>0.1224345516283623</v>
      </c>
      <c r="CQ40" s="93">
        <v>0.23076931515654289</v>
      </c>
      <c r="CR40" s="93">
        <f t="shared" si="34"/>
        <v>0.35320386678490517</v>
      </c>
      <c r="CS40" s="90">
        <f t="shared" si="35"/>
        <v>0</v>
      </c>
      <c r="CT40" s="39">
        <f t="shared" si="36"/>
        <v>2.7499012245735921</v>
      </c>
      <c r="CU40" s="11">
        <v>1.4842101788202127</v>
      </c>
      <c r="CV40" s="93">
        <v>-0.69016922396476632</v>
      </c>
      <c r="CW40" s="93">
        <v>0.46253692027553084</v>
      </c>
      <c r="CX40" s="93">
        <f t="shared" si="37"/>
        <v>-0.22763230368923548</v>
      </c>
      <c r="CY40" s="93"/>
      <c r="CZ40" s="39">
        <f t="shared" si="38"/>
        <v>2.7308671095884973</v>
      </c>
      <c r="DA40" s="93">
        <v>1.2030598690282495</v>
      </c>
      <c r="DB40" s="93">
        <v>-0.75331060884677437</v>
      </c>
      <c r="DC40" s="93">
        <v>0.37199895614535888</v>
      </c>
      <c r="DD40" s="93">
        <f t="shared" si="39"/>
        <v>-0.38131165270141548</v>
      </c>
      <c r="DF40" s="39">
        <f t="shared" si="40"/>
        <v>2.8492227911662393</v>
      </c>
      <c r="DG40" s="93">
        <v>0.26526553724864882</v>
      </c>
      <c r="DH40" s="93">
        <v>6.1213590868147122E-2</v>
      </c>
      <c r="DI40" s="93">
        <v>8.6044835380935866E-2</v>
      </c>
      <c r="DJ40" s="93">
        <f t="shared" si="41"/>
        <v>0.14725842624908297</v>
      </c>
      <c r="DK40" s="106"/>
      <c r="DL40" s="39">
        <f t="shared" si="42"/>
        <v>2.5221830839160519</v>
      </c>
      <c r="DM40" s="93">
        <v>1.5884772543314236E-2</v>
      </c>
      <c r="DN40" s="93">
        <v>1.9277940138610408E-3</v>
      </c>
      <c r="DO40" s="93">
        <v>4.4931287492361305E-3</v>
      </c>
      <c r="DP40" s="93">
        <f t="shared" si="43"/>
        <v>6.4209227630971713E-3</v>
      </c>
    </row>
    <row r="41" spans="1:120" x14ac:dyDescent="0.2">
      <c r="A41" s="90">
        <f>name!B37</f>
        <v>0</v>
      </c>
      <c r="B41" s="39">
        <f t="shared" si="1"/>
        <v>2.6219584526235851</v>
      </c>
      <c r="C41" s="11">
        <v>9.5199829855549893</v>
      </c>
      <c r="D41" s="93">
        <v>1.2808958930051737</v>
      </c>
      <c r="E41" s="93">
        <v>2.8121772094303279</v>
      </c>
      <c r="F41" s="93">
        <f t="shared" si="2"/>
        <v>4.0930731024355014</v>
      </c>
      <c r="G41" s="93"/>
      <c r="H41" s="39">
        <f t="shared" si="3"/>
        <v>2.4658199500782629</v>
      </c>
      <c r="I41" s="93">
        <v>0.81619786230081037</v>
      </c>
      <c r="J41" s="93">
        <v>0.237585138792064</v>
      </c>
      <c r="K41" s="93">
        <v>0.22512559128548079</v>
      </c>
      <c r="L41" s="93">
        <f t="shared" si="4"/>
        <v>0.46271073007754482</v>
      </c>
      <c r="N41" s="39">
        <f t="shared" si="5"/>
        <v>2.6634862095569645</v>
      </c>
      <c r="O41" s="93">
        <v>2.0711276399167695</v>
      </c>
      <c r="P41" s="93">
        <v>0.44161042637100889</v>
      </c>
      <c r="Q41" s="93">
        <v>0.62268224619976209</v>
      </c>
      <c r="R41" s="93">
        <f t="shared" si="6"/>
        <v>1.0642926725707711</v>
      </c>
      <c r="S41" s="106"/>
      <c r="T41" s="39">
        <f t="shared" si="7"/>
        <v>2.628048625603352</v>
      </c>
      <c r="U41" s="93">
        <v>6.6326574833374119</v>
      </c>
      <c r="V41" s="93">
        <v>0.60170032784210092</v>
      </c>
      <c r="W41" s="93">
        <v>1.9643693719450848</v>
      </c>
      <c r="X41" s="93">
        <f t="shared" si="8"/>
        <v>2.5660696997871857</v>
      </c>
      <c r="Y41" s="90">
        <f t="shared" si="0"/>
        <v>0</v>
      </c>
      <c r="Z41" s="39">
        <f t="shared" si="9"/>
        <v>2.6231625982701789</v>
      </c>
      <c r="AA41" s="11">
        <v>7.8178668346409639</v>
      </c>
      <c r="AB41" s="93">
        <v>0.85873650454850714</v>
      </c>
      <c r="AC41" s="93">
        <v>2.3105650783484251</v>
      </c>
      <c r="AD41" s="93">
        <f t="shared" si="10"/>
        <v>3.1693015828969324</v>
      </c>
      <c r="AE41" s="93"/>
      <c r="AF41" s="39">
        <f t="shared" si="11"/>
        <v>2.4078323200257934</v>
      </c>
      <c r="AG41" s="93">
        <v>0.42302413000387928</v>
      </c>
      <c r="AH41" s="93">
        <v>0.33710538828897285</v>
      </c>
      <c r="AI41" s="93">
        <v>0.11363296527709778</v>
      </c>
      <c r="AJ41" s="93">
        <f t="shared" si="12"/>
        <v>0.45073835356607062</v>
      </c>
      <c r="AL41" s="39">
        <f t="shared" si="13"/>
        <v>2.7256227849607129</v>
      </c>
      <c r="AM41" s="93">
        <v>1.0976496509709948</v>
      </c>
      <c r="AN41" s="93">
        <v>1.0248190705673856E-3</v>
      </c>
      <c r="AO41" s="93">
        <v>0.33867155545083699</v>
      </c>
      <c r="AP41" s="93">
        <f t="shared" si="14"/>
        <v>0.33969637452140439</v>
      </c>
      <c r="AQ41" s="106"/>
      <c r="AR41" s="39">
        <f t="shared" si="15"/>
        <v>2.6195513042214014</v>
      </c>
      <c r="AS41" s="93">
        <v>6.2971930536660903</v>
      </c>
      <c r="AT41" s="93">
        <v>0.52060629718896689</v>
      </c>
      <c r="AU41" s="93">
        <v>1.8582605576204905</v>
      </c>
      <c r="AV41" s="93">
        <f t="shared" si="16"/>
        <v>2.3788668548094574</v>
      </c>
      <c r="AW41" s="90">
        <f t="shared" si="17"/>
        <v>0</v>
      </c>
      <c r="AX41" s="39">
        <f t="shared" si="18"/>
        <v>2.6785764491621844</v>
      </c>
      <c r="AY41" s="11">
        <v>0.96217009441048162</v>
      </c>
      <c r="AZ41" s="93">
        <v>0.19915521880321993</v>
      </c>
      <c r="BA41" s="93">
        <v>0.29111606469515938</v>
      </c>
      <c r="BB41" s="93">
        <f t="shared" si="19"/>
        <v>0.49027128349837934</v>
      </c>
      <c r="BC41" s="93"/>
      <c r="BD41" s="39">
        <f t="shared" si="20"/>
        <v>2.6372048618027666</v>
      </c>
      <c r="BE41" s="93">
        <v>0.12023971653791019</v>
      </c>
      <c r="BF41" s="93">
        <v>4.7709276205164207E-3</v>
      </c>
      <c r="BG41" s="93">
        <v>3.5750049535400286E-2</v>
      </c>
      <c r="BH41" s="93">
        <f t="shared" si="21"/>
        <v>4.052097715591671E-2</v>
      </c>
      <c r="BJ41" s="39">
        <f t="shared" si="22"/>
        <v>2.6370907343919114</v>
      </c>
      <c r="BK41" s="93">
        <v>0.59167940202908853</v>
      </c>
      <c r="BL41" s="93">
        <v>0.15764745541630559</v>
      </c>
      <c r="BM41" s="93">
        <v>0.17591143975903728</v>
      </c>
      <c r="BN41" s="93">
        <f t="shared" si="23"/>
        <v>0.33355889517534287</v>
      </c>
      <c r="BO41" s="106"/>
      <c r="BP41" s="39">
        <f t="shared" si="24"/>
        <v>2.7957236007542408</v>
      </c>
      <c r="BQ41" s="93">
        <v>0.25025097584348277</v>
      </c>
      <c r="BR41" s="93">
        <v>3.6736835766397878E-2</v>
      </c>
      <c r="BS41" s="93">
        <v>7.945457540072183E-2</v>
      </c>
      <c r="BT41" s="93">
        <f t="shared" si="25"/>
        <v>0.1161914111671197</v>
      </c>
      <c r="BU41" s="90">
        <f t="shared" si="26"/>
        <v>0</v>
      </c>
      <c r="BV41" s="39">
        <f t="shared" si="27"/>
        <v>2.5508183926929773</v>
      </c>
      <c r="BW41" s="11">
        <v>0.50584005818189604</v>
      </c>
      <c r="BX41" s="93">
        <v>0.32238456824668921</v>
      </c>
      <c r="BY41" s="93">
        <v>0.1448954785012399</v>
      </c>
      <c r="BZ41" s="93">
        <f t="shared" si="28"/>
        <v>0.46728004674792911</v>
      </c>
      <c r="CA41" s="93"/>
      <c r="CB41" s="39">
        <f t="shared" si="29"/>
        <v>2.5367449852401247</v>
      </c>
      <c r="CC41" s="93">
        <v>9.1589573227019994E-2</v>
      </c>
      <c r="CD41" s="93">
        <v>-4.2808638867016524E-3</v>
      </c>
      <c r="CE41" s="93">
        <v>2.6073802070792795E-2</v>
      </c>
      <c r="CF41" s="93">
        <f t="shared" si="30"/>
        <v>2.1792938184091143E-2</v>
      </c>
      <c r="CH41" s="39">
        <f t="shared" si="31"/>
        <v>2.5204548632431933</v>
      </c>
      <c r="CI41" s="93">
        <v>0.33966700342259021</v>
      </c>
      <c r="CJ41" s="93">
        <v>0.28850292379729831</v>
      </c>
      <c r="CK41" s="93">
        <v>9.6003947721158597E-2</v>
      </c>
      <c r="CL41" s="93">
        <f t="shared" si="32"/>
        <v>0.38450687151845692</v>
      </c>
      <c r="CM41" s="106"/>
      <c r="CN41" s="39">
        <f t="shared" si="33"/>
        <v>2.7051379124598762</v>
      </c>
      <c r="CO41" s="93">
        <v>7.458348153228582E-2</v>
      </c>
      <c r="CP41" s="93">
        <v>3.8162508336092499E-2</v>
      </c>
      <c r="CQ41" s="93">
        <v>2.2817728709288516E-2</v>
      </c>
      <c r="CR41" s="93">
        <f t="shared" si="34"/>
        <v>6.0980237045381011E-2</v>
      </c>
      <c r="CS41" s="90">
        <f t="shared" si="35"/>
        <v>0</v>
      </c>
      <c r="CT41" s="39">
        <f t="shared" si="36"/>
        <v>2.5010642333554323</v>
      </c>
      <c r="CU41" s="11">
        <v>0.23410599832164924</v>
      </c>
      <c r="CV41" s="93">
        <v>-9.9380398593242464E-2</v>
      </c>
      <c r="CW41" s="93">
        <v>6.5600587885503062E-2</v>
      </c>
      <c r="CX41" s="93">
        <f t="shared" si="37"/>
        <v>-3.3779810707739402E-2</v>
      </c>
      <c r="CY41" s="93"/>
      <c r="CZ41" s="39">
        <f t="shared" si="38"/>
        <v>2.4503054838948435</v>
      </c>
      <c r="DA41" s="93">
        <v>0.18134444253200094</v>
      </c>
      <c r="DB41" s="93">
        <v>-0.10001031323072365</v>
      </c>
      <c r="DC41" s="93">
        <v>4.9668774402189947E-2</v>
      </c>
      <c r="DD41" s="93">
        <f t="shared" si="39"/>
        <v>-5.0341538828533705E-2</v>
      </c>
      <c r="DF41" s="39">
        <f t="shared" si="40"/>
        <v>2.5559091493363884</v>
      </c>
      <c r="DG41" s="93">
        <v>4.2131583494095966E-2</v>
      </c>
      <c r="DH41" s="93">
        <v>-5.5647719131624168E-3</v>
      </c>
      <c r="DI41" s="93">
        <v>1.2095303268729192E-2</v>
      </c>
      <c r="DJ41" s="93">
        <f t="shared" si="41"/>
        <v>6.5305313555667748E-3</v>
      </c>
      <c r="DK41" s="106"/>
      <c r="DL41" s="39">
        <f t="shared" si="42"/>
        <v>3.1295401767871711</v>
      </c>
      <c r="DM41" s="93">
        <v>1.0629972295552376E-2</v>
      </c>
      <c r="DN41" s="93">
        <v>6.1946865506436119E-3</v>
      </c>
      <c r="DO41" s="93">
        <v>3.8365102145839292E-3</v>
      </c>
      <c r="DP41" s="93">
        <f t="shared" si="43"/>
        <v>1.003119676522754E-2</v>
      </c>
    </row>
    <row r="42" spans="1:120" x14ac:dyDescent="0.2">
      <c r="A42" s="90">
        <f>name!B38</f>
        <v>0</v>
      </c>
      <c r="B42" s="39">
        <f t="shared" si="1"/>
        <v>2.7659066814350819</v>
      </c>
      <c r="C42" s="11">
        <v>41.327917877507424</v>
      </c>
      <c r="D42" s="93">
        <v>5.5428905332373821</v>
      </c>
      <c r="E42" s="93">
        <v>12.963865628503205</v>
      </c>
      <c r="F42" s="93">
        <f t="shared" si="2"/>
        <v>18.506756161740586</v>
      </c>
      <c r="G42" s="93"/>
      <c r="H42" s="39">
        <f t="shared" si="3"/>
        <v>2.5883895459776651</v>
      </c>
      <c r="I42" s="93">
        <v>6.6477909633603698</v>
      </c>
      <c r="J42" s="93">
        <v>0.46903863547743174</v>
      </c>
      <c r="K42" s="93">
        <v>1.9356115118566004</v>
      </c>
      <c r="L42" s="93">
        <f t="shared" si="4"/>
        <v>2.4046501473340323</v>
      </c>
      <c r="N42" s="39">
        <f t="shared" si="5"/>
        <v>2.6369495607399429</v>
      </c>
      <c r="O42" s="93">
        <v>13.326579267199337</v>
      </c>
      <c r="P42" s="93">
        <v>1.877839557749986</v>
      </c>
      <c r="Q42" s="93">
        <v>3.9618702925814446</v>
      </c>
      <c r="R42" s="93">
        <f t="shared" si="6"/>
        <v>5.8397098503314311</v>
      </c>
      <c r="S42" s="106"/>
      <c r="T42" s="39">
        <f t="shared" si="7"/>
        <v>2.8999820012332478</v>
      </c>
      <c r="U42" s="93">
        <v>21.35354764694771</v>
      </c>
      <c r="V42" s="93">
        <v>3.1960123400099647</v>
      </c>
      <c r="W42" s="93">
        <v>7.0663838240651593</v>
      </c>
      <c r="X42" s="93">
        <f t="shared" si="8"/>
        <v>10.262396164075124</v>
      </c>
      <c r="Y42" s="90">
        <f t="shared" si="0"/>
        <v>0</v>
      </c>
      <c r="Z42" s="39">
        <f t="shared" si="9"/>
        <v>2.8515281797403702</v>
      </c>
      <c r="AA42" s="11">
        <v>28.851400371214467</v>
      </c>
      <c r="AB42" s="93">
        <v>2.9117941769720685</v>
      </c>
      <c r="AC42" s="93">
        <v>9.3671654902328125</v>
      </c>
      <c r="AD42" s="93">
        <f t="shared" si="10"/>
        <v>12.27895966720488</v>
      </c>
      <c r="AE42" s="93"/>
      <c r="AF42" s="39">
        <f t="shared" si="11"/>
        <v>2.7312978006911237</v>
      </c>
      <c r="AG42" s="93">
        <v>2.3074493769266002</v>
      </c>
      <c r="AH42" s="93">
        <v>8.8154748807107802E-2</v>
      </c>
      <c r="AI42" s="93">
        <v>0.7136146359797787</v>
      </c>
      <c r="AJ42" s="93">
        <f t="shared" si="12"/>
        <v>0.80176938478688653</v>
      </c>
      <c r="AL42" s="39">
        <f t="shared" si="13"/>
        <v>2.6978647455589311</v>
      </c>
      <c r="AM42" s="93">
        <v>7.996889456722271</v>
      </c>
      <c r="AN42" s="93">
        <v>0.23978644928801202</v>
      </c>
      <c r="AO42" s="93">
        <v>2.4391384738532835</v>
      </c>
      <c r="AP42" s="93">
        <f t="shared" si="14"/>
        <v>2.6789249231412957</v>
      </c>
      <c r="AQ42" s="106"/>
      <c r="AR42" s="39">
        <f t="shared" si="15"/>
        <v>2.9319352041224489</v>
      </c>
      <c r="AS42" s="93">
        <v>18.547061537565593</v>
      </c>
      <c r="AT42" s="93">
        <v>2.5838529788769486</v>
      </c>
      <c r="AU42" s="93">
        <v>6.2144123803997511</v>
      </c>
      <c r="AV42" s="93">
        <f t="shared" si="16"/>
        <v>8.7982653592766997</v>
      </c>
      <c r="AW42" s="90">
        <f t="shared" si="17"/>
        <v>0</v>
      </c>
      <c r="AX42" s="39">
        <f t="shared" si="18"/>
        <v>2.5785306073743852</v>
      </c>
      <c r="AY42" s="11">
        <v>6.5037812929444394</v>
      </c>
      <c r="AZ42" s="93">
        <v>1.0757665767010658</v>
      </c>
      <c r="BA42" s="93">
        <v>1.8856141436015186</v>
      </c>
      <c r="BB42" s="93">
        <f t="shared" si="19"/>
        <v>2.9613807203025844</v>
      </c>
      <c r="BC42" s="93"/>
      <c r="BD42" s="39">
        <f t="shared" si="20"/>
        <v>2.4818332070334348</v>
      </c>
      <c r="BE42" s="93">
        <v>1.8237775728680967</v>
      </c>
      <c r="BF42" s="93">
        <v>0.40035255591572777</v>
      </c>
      <c r="BG42" s="93">
        <v>0.50667745232067052</v>
      </c>
      <c r="BH42" s="93">
        <f t="shared" si="21"/>
        <v>0.90703000823639823</v>
      </c>
      <c r="BJ42" s="39">
        <f t="shared" si="22"/>
        <v>2.5440839893432932</v>
      </c>
      <c r="BK42" s="93">
        <v>2.6329814450846953</v>
      </c>
      <c r="BL42" s="93">
        <v>0.36645710610714699</v>
      </c>
      <c r="BM42" s="93">
        <v>0.75198133827523139</v>
      </c>
      <c r="BN42" s="93">
        <f t="shared" si="23"/>
        <v>1.1184384443823783</v>
      </c>
      <c r="BO42" s="106"/>
      <c r="BP42" s="39">
        <f t="shared" si="24"/>
        <v>2.7078220766586059</v>
      </c>
      <c r="BQ42" s="93">
        <v>2.0470222749916469</v>
      </c>
      <c r="BR42" s="93">
        <v>0.30895691467819097</v>
      </c>
      <c r="BS42" s="93">
        <v>0.62695535300561678</v>
      </c>
      <c r="BT42" s="93">
        <f t="shared" si="25"/>
        <v>0.93591226768380775</v>
      </c>
      <c r="BU42" s="90">
        <f t="shared" si="26"/>
        <v>0</v>
      </c>
      <c r="BV42" s="39">
        <f t="shared" si="27"/>
        <v>2.4352549002091939</v>
      </c>
      <c r="BW42" s="11">
        <v>3.9926676757116213</v>
      </c>
      <c r="BX42" s="93">
        <v>1.3942061283114771</v>
      </c>
      <c r="BY42" s="93">
        <v>1.0860923018676825</v>
      </c>
      <c r="BZ42" s="93">
        <f t="shared" si="28"/>
        <v>2.4802984301791593</v>
      </c>
      <c r="CA42" s="93"/>
      <c r="CB42" s="39">
        <f t="shared" si="29"/>
        <v>2.3820319758712349</v>
      </c>
      <c r="CC42" s="93">
        <v>1.5804510737327937</v>
      </c>
      <c r="CD42" s="93">
        <v>0.54763313458440666</v>
      </c>
      <c r="CE42" s="93">
        <v>0.41949600254904829</v>
      </c>
      <c r="CF42" s="93">
        <f t="shared" si="30"/>
        <v>0.96712913713345494</v>
      </c>
      <c r="CH42" s="39">
        <f t="shared" si="31"/>
        <v>2.4397967914120189</v>
      </c>
      <c r="CI42" s="93">
        <v>1.8177774091588061</v>
      </c>
      <c r="CJ42" s="93">
        <v>0.71493905267938562</v>
      </c>
      <c r="CK42" s="93">
        <v>0.49550036268130071</v>
      </c>
      <c r="CL42" s="93">
        <f t="shared" si="32"/>
        <v>1.2104394153606863</v>
      </c>
      <c r="CM42" s="106"/>
      <c r="CN42" s="39">
        <f t="shared" si="33"/>
        <v>2.5618317898631338</v>
      </c>
      <c r="CO42" s="93">
        <v>0.59443919282002144</v>
      </c>
      <c r="CP42" s="93">
        <v>0.13163394104768467</v>
      </c>
      <c r="CQ42" s="93">
        <v>0.1710959366373333</v>
      </c>
      <c r="CR42" s="93">
        <f t="shared" si="34"/>
        <v>0.30272987768501797</v>
      </c>
      <c r="CS42" s="90">
        <f t="shared" si="35"/>
        <v>0</v>
      </c>
      <c r="CT42" s="39">
        <f t="shared" si="36"/>
        <v>2.7812246199814927</v>
      </c>
      <c r="CU42" s="11">
        <v>1.9800685376368916</v>
      </c>
      <c r="CV42" s="93">
        <v>0.16112365125277109</v>
      </c>
      <c r="CW42" s="93">
        <v>0.62499369280119021</v>
      </c>
      <c r="CX42" s="93">
        <f t="shared" si="37"/>
        <v>0.78611734405396128</v>
      </c>
      <c r="CY42" s="93"/>
      <c r="CZ42" s="39">
        <f t="shared" si="38"/>
        <v>2.7841153979467625</v>
      </c>
      <c r="DA42" s="93">
        <v>0.93611293983287924</v>
      </c>
      <c r="DB42" s="93">
        <v>-0.56710180382981035</v>
      </c>
      <c r="DC42" s="93">
        <v>0.29582342100710285</v>
      </c>
      <c r="DD42" s="93">
        <f t="shared" si="39"/>
        <v>-0.2712783828227075</v>
      </c>
      <c r="DF42" s="39">
        <f t="shared" si="40"/>
        <v>2.7618510900035087</v>
      </c>
      <c r="DG42" s="93">
        <v>0.87893095623356221</v>
      </c>
      <c r="DH42" s="93">
        <v>0.55665694967544133</v>
      </c>
      <c r="DI42" s="93">
        <v>0.275250117771629</v>
      </c>
      <c r="DJ42" s="93">
        <f t="shared" si="41"/>
        <v>0.83190706744707033</v>
      </c>
      <c r="DK42" s="106"/>
      <c r="DL42" s="39">
        <f t="shared" si="42"/>
        <v>2.8675941660104565</v>
      </c>
      <c r="DM42" s="93">
        <v>0.16502464157045005</v>
      </c>
      <c r="DN42" s="93">
        <v>0.17156850540714014</v>
      </c>
      <c r="DO42" s="93">
        <v>5.3920154022458346E-2</v>
      </c>
      <c r="DP42" s="93">
        <f t="shared" si="43"/>
        <v>0.22548865942959848</v>
      </c>
    </row>
    <row r="43" spans="1:120" x14ac:dyDescent="0.2">
      <c r="A43" s="90">
        <f>name!B39</f>
        <v>0</v>
      </c>
      <c r="B43" s="39">
        <f t="shared" si="1"/>
        <v>2.964323205894126</v>
      </c>
      <c r="C43" s="11">
        <v>366.60612974536059</v>
      </c>
      <c r="D43" s="93">
        <v>59.276568078745363</v>
      </c>
      <c r="E43" s="93">
        <v>124.37795424368858</v>
      </c>
      <c r="F43" s="93">
        <f t="shared" si="2"/>
        <v>183.65452232243393</v>
      </c>
      <c r="G43" s="93"/>
      <c r="H43" s="39">
        <f t="shared" si="3"/>
        <v>2.8629023744369153</v>
      </c>
      <c r="I43" s="93">
        <v>60.29612584772859</v>
      </c>
      <c r="J43" s="93">
        <v>6.2659503707421011</v>
      </c>
      <c r="K43" s="93">
        <v>19.664677844879822</v>
      </c>
      <c r="L43" s="93">
        <f t="shared" si="4"/>
        <v>25.930628215621923</v>
      </c>
      <c r="N43" s="39">
        <f t="shared" si="5"/>
        <v>2.910542307155306</v>
      </c>
      <c r="O43" s="93">
        <v>109.06467888707947</v>
      </c>
      <c r="P43" s="93">
        <v>29.524424023904043</v>
      </c>
      <c r="Q43" s="93">
        <v>36.241068661330416</v>
      </c>
      <c r="R43" s="93">
        <f t="shared" si="6"/>
        <v>65.765492685234463</v>
      </c>
      <c r="S43" s="106"/>
      <c r="T43" s="39">
        <f t="shared" si="7"/>
        <v>3.0246977932693042</v>
      </c>
      <c r="U43" s="93">
        <v>197.24532501055251</v>
      </c>
      <c r="V43" s="93">
        <v>23.486193684099216</v>
      </c>
      <c r="W43" s="93">
        <v>68.472207737478328</v>
      </c>
      <c r="X43" s="93">
        <f t="shared" si="8"/>
        <v>91.958401421577548</v>
      </c>
      <c r="Y43" s="90">
        <f t="shared" si="0"/>
        <v>0</v>
      </c>
      <c r="Z43" s="39">
        <f t="shared" si="9"/>
        <v>3.067775138448714</v>
      </c>
      <c r="AA43" s="11">
        <v>128.40645062723203</v>
      </c>
      <c r="AB43" s="93">
        <v>11.85508119620458</v>
      </c>
      <c r="AC43" s="93">
        <v>45.299963238210964</v>
      </c>
      <c r="AD43" s="93">
        <f t="shared" si="10"/>
        <v>57.155044434415544</v>
      </c>
      <c r="AE43" s="93"/>
      <c r="AF43" s="39">
        <f t="shared" si="11"/>
        <v>2.9973382412868288</v>
      </c>
      <c r="AG43" s="93">
        <v>2.355165456214976</v>
      </c>
      <c r="AH43" s="93">
        <v>0.9637811048672672</v>
      </c>
      <c r="AI43" s="93">
        <v>0.80916212463532233</v>
      </c>
      <c r="AJ43" s="93">
        <f t="shared" si="12"/>
        <v>1.7729432295025895</v>
      </c>
      <c r="AL43" s="39">
        <f t="shared" si="13"/>
        <v>2.9883483560949609</v>
      </c>
      <c r="AM43" s="93">
        <v>12.753554522103531</v>
      </c>
      <c r="AN43" s="93">
        <v>-1.189686119892166</v>
      </c>
      <c r="AO43" s="93">
        <v>4.3667772486974572</v>
      </c>
      <c r="AP43" s="93">
        <f t="shared" si="14"/>
        <v>3.1770911288052912</v>
      </c>
      <c r="AQ43" s="106"/>
      <c r="AR43" s="39">
        <f t="shared" si="15"/>
        <v>3.0781400233887757</v>
      </c>
      <c r="AS43" s="93">
        <v>113.29773064891354</v>
      </c>
      <c r="AT43" s="93">
        <v>12.080986211229478</v>
      </c>
      <c r="AU43" s="93">
        <v>40.124023864878183</v>
      </c>
      <c r="AV43" s="93">
        <f t="shared" si="16"/>
        <v>52.205010076107662</v>
      </c>
      <c r="AW43" s="90">
        <f t="shared" si="17"/>
        <v>0</v>
      </c>
      <c r="AX43" s="39">
        <f t="shared" si="18"/>
        <v>2.6535599438878954</v>
      </c>
      <c r="AY43" s="11">
        <v>85.340941379457291</v>
      </c>
      <c r="AZ43" s="93">
        <v>21.654635101028848</v>
      </c>
      <c r="BA43" s="93">
        <v>25.550385149909442</v>
      </c>
      <c r="BB43" s="93">
        <f t="shared" si="19"/>
        <v>47.20502025093829</v>
      </c>
      <c r="BC43" s="93"/>
      <c r="BD43" s="39">
        <f t="shared" si="20"/>
        <v>2.5369749451499946</v>
      </c>
      <c r="BE43" s="93">
        <v>7.9924706336224665</v>
      </c>
      <c r="BF43" s="93">
        <v>4.6323396613046155</v>
      </c>
      <c r="BG43" s="93">
        <v>2.275534005888348</v>
      </c>
      <c r="BH43" s="93">
        <f t="shared" si="21"/>
        <v>6.9078736671929635</v>
      </c>
      <c r="BJ43" s="39">
        <f t="shared" si="22"/>
        <v>2.5624762152512082</v>
      </c>
      <c r="BK43" s="93">
        <v>27.005268580631853</v>
      </c>
      <c r="BL43" s="93">
        <v>10.223864247757708</v>
      </c>
      <c r="BM43" s="93">
        <v>7.7750437532035859</v>
      </c>
      <c r="BN43" s="93">
        <f t="shared" si="23"/>
        <v>17.998908000961293</v>
      </c>
      <c r="BO43" s="106"/>
      <c r="BP43" s="39">
        <f t="shared" si="24"/>
        <v>2.7204430066313234</v>
      </c>
      <c r="BQ43" s="93">
        <v>50.343202165202975</v>
      </c>
      <c r="BR43" s="93">
        <v>6.7984311919665235</v>
      </c>
      <c r="BS43" s="93">
        <v>15.499807390817509</v>
      </c>
      <c r="BT43" s="93">
        <f t="shared" si="25"/>
        <v>22.29823858278403</v>
      </c>
      <c r="BU43" s="90">
        <f t="shared" si="26"/>
        <v>0</v>
      </c>
      <c r="BV43" s="39">
        <f t="shared" si="27"/>
        <v>3.5825178625260357</v>
      </c>
      <c r="BW43" s="11">
        <v>28.783589754031564</v>
      </c>
      <c r="BX43" s="93">
        <v>9.0490542940407099</v>
      </c>
      <c r="BY43" s="93">
        <v>12.143380105807763</v>
      </c>
      <c r="BZ43" s="93">
        <f t="shared" si="28"/>
        <v>21.192434399848473</v>
      </c>
      <c r="CA43" s="93"/>
      <c r="CB43" s="39">
        <f t="shared" si="29"/>
        <v>3.2872271423685318</v>
      </c>
      <c r="CC43" s="93">
        <v>6.0845432642854735</v>
      </c>
      <c r="CD43" s="93">
        <v>4.4133646639922466</v>
      </c>
      <c r="CE43" s="93">
        <v>2.3234851029341566</v>
      </c>
      <c r="CF43" s="93">
        <f t="shared" si="30"/>
        <v>6.7368497669264027</v>
      </c>
      <c r="CH43" s="39">
        <f t="shared" si="31"/>
        <v>3.5081488727088939</v>
      </c>
      <c r="CI43" s="93">
        <v>13.730317697403695</v>
      </c>
      <c r="CJ43" s="93">
        <v>4.0524808534125691</v>
      </c>
      <c r="CK43" s="93">
        <v>5.6529058299467811</v>
      </c>
      <c r="CL43" s="93">
        <f t="shared" si="32"/>
        <v>9.7053866833593503</v>
      </c>
      <c r="CM43" s="106"/>
      <c r="CN43" s="39">
        <f t="shared" si="33"/>
        <v>3.8896522062592975</v>
      </c>
      <c r="CO43" s="93">
        <v>8.9687287923423913</v>
      </c>
      <c r="CP43" s="93">
        <v>0.58320877663589499</v>
      </c>
      <c r="CQ43" s="93">
        <v>4.1669891729268249</v>
      </c>
      <c r="CR43" s="93">
        <f t="shared" si="34"/>
        <v>4.75019794956272</v>
      </c>
      <c r="CS43" s="90">
        <f t="shared" si="35"/>
        <v>0</v>
      </c>
      <c r="CT43" s="39">
        <f t="shared" si="36"/>
        <v>2.9202085195014771</v>
      </c>
      <c r="CU43" s="11">
        <v>124.07514798463968</v>
      </c>
      <c r="CV43" s="93">
        <v>16.717797487471227</v>
      </c>
      <c r="CW43" s="93">
        <v>41.384225749760404</v>
      </c>
      <c r="CX43" s="93">
        <f t="shared" si="37"/>
        <v>58.102023237231634</v>
      </c>
      <c r="CY43" s="93"/>
      <c r="CZ43" s="39">
        <f t="shared" si="38"/>
        <v>2.8542214955234568</v>
      </c>
      <c r="DA43" s="93">
        <v>43.863946493605674</v>
      </c>
      <c r="DB43" s="93">
        <v>-3.7435350594220274</v>
      </c>
      <c r="DC43" s="93">
        <v>14.256496611421996</v>
      </c>
      <c r="DD43" s="93">
        <f t="shared" si="39"/>
        <v>10.512961551999968</v>
      </c>
      <c r="DF43" s="39">
        <f t="shared" si="40"/>
        <v>2.9076458934621296</v>
      </c>
      <c r="DG43" s="93">
        <v>55.575538086940398</v>
      </c>
      <c r="DH43" s="93">
        <v>16.43776504262593</v>
      </c>
      <c r="DI43" s="93">
        <v>18.446341829482595</v>
      </c>
      <c r="DJ43" s="93">
        <f t="shared" si="41"/>
        <v>34.884106872108525</v>
      </c>
      <c r="DK43" s="106"/>
      <c r="DL43" s="39">
        <f t="shared" si="42"/>
        <v>3.0647677202802814</v>
      </c>
      <c r="DM43" s="93">
        <v>24.635663404093616</v>
      </c>
      <c r="DN43" s="93">
        <v>4.0235675042673211</v>
      </c>
      <c r="DO43" s="93">
        <v>8.6813873088558129</v>
      </c>
      <c r="DP43" s="93">
        <f t="shared" si="43"/>
        <v>12.704954813123134</v>
      </c>
    </row>
    <row r="44" spans="1:120" x14ac:dyDescent="0.2">
      <c r="A44" s="90">
        <f>name!B40</f>
        <v>0</v>
      </c>
      <c r="B44" s="39">
        <f t="shared" si="1"/>
        <v>2.8357475835989687</v>
      </c>
      <c r="C44" s="11">
        <v>393.35784380285861</v>
      </c>
      <c r="D44" s="93">
        <v>-15.846501627171115</v>
      </c>
      <c r="E44" s="93">
        <v>126.91230773625192</v>
      </c>
      <c r="F44" s="93">
        <f t="shared" si="2"/>
        <v>111.0658061090808</v>
      </c>
      <c r="G44" s="93"/>
      <c r="H44" s="39">
        <f t="shared" si="3"/>
        <v>2.7516949963118487</v>
      </c>
      <c r="I44" s="93">
        <v>59.61461044933764</v>
      </c>
      <c r="J44" s="93">
        <v>-20.900434984544614</v>
      </c>
      <c r="K44" s="93">
        <v>18.591854917813837</v>
      </c>
      <c r="L44" s="93">
        <f t="shared" si="4"/>
        <v>-2.3085800667307765</v>
      </c>
      <c r="N44" s="39">
        <f t="shared" si="5"/>
        <v>2.7239499243143506</v>
      </c>
      <c r="O44" s="93">
        <v>173.18501469973404</v>
      </c>
      <c r="P44" s="93">
        <v>-1.7972543490150141</v>
      </c>
      <c r="Q44" s="93">
        <v>53.398033728841654</v>
      </c>
      <c r="R44" s="93">
        <f t="shared" si="6"/>
        <v>51.600779379826641</v>
      </c>
      <c r="S44" s="106"/>
      <c r="T44" s="39">
        <f t="shared" si="7"/>
        <v>2.9858531510617459</v>
      </c>
      <c r="U44" s="93">
        <v>160.55821865378698</v>
      </c>
      <c r="V44" s="93">
        <v>6.8511877063885063</v>
      </c>
      <c r="W44" s="93">
        <v>54.922419089596445</v>
      </c>
      <c r="X44" s="93">
        <f t="shared" si="8"/>
        <v>61.773606795984954</v>
      </c>
      <c r="Y44" s="90">
        <f t="shared" si="0"/>
        <v>0</v>
      </c>
      <c r="Z44" s="39">
        <f t="shared" si="9"/>
        <v>2.9519471351278748</v>
      </c>
      <c r="AA44" s="11">
        <v>193.55143168230654</v>
      </c>
      <c r="AB44" s="93">
        <v>39.567328495072999</v>
      </c>
      <c r="AC44" s="93">
        <v>65.354521617917186</v>
      </c>
      <c r="AD44" s="93">
        <f t="shared" si="10"/>
        <v>104.92185011299019</v>
      </c>
      <c r="AE44" s="93"/>
      <c r="AF44" s="39">
        <f t="shared" si="11"/>
        <v>2.732765888214872</v>
      </c>
      <c r="AG44" s="93">
        <v>8.9496893108903919</v>
      </c>
      <c r="AH44" s="93">
        <v>-0.38086275940552278</v>
      </c>
      <c r="AI44" s="93">
        <v>2.7695053307141997</v>
      </c>
      <c r="AJ44" s="93">
        <f t="shared" si="12"/>
        <v>2.3886425713086767</v>
      </c>
      <c r="AL44" s="39">
        <f t="shared" si="13"/>
        <v>2.7942517550996859</v>
      </c>
      <c r="AM44" s="93">
        <v>63.890128782218703</v>
      </c>
      <c r="AN44" s="93">
        <v>26.216367345241078</v>
      </c>
      <c r="AO44" s="93">
        <v>20.273036384531288</v>
      </c>
      <c r="AP44" s="93">
        <f t="shared" si="14"/>
        <v>46.489403729772363</v>
      </c>
      <c r="AQ44" s="106"/>
      <c r="AR44" s="39">
        <f t="shared" si="15"/>
        <v>3.0505088630622845</v>
      </c>
      <c r="AS44" s="93">
        <v>120.71161358919746</v>
      </c>
      <c r="AT44" s="93">
        <v>13.731823909237447</v>
      </c>
      <c r="AU44" s="93">
        <v>42.311979902671695</v>
      </c>
      <c r="AV44" s="93">
        <f t="shared" si="16"/>
        <v>56.043803811909143</v>
      </c>
      <c r="AW44" s="90">
        <f t="shared" si="17"/>
        <v>0</v>
      </c>
      <c r="AX44" s="39">
        <f t="shared" si="18"/>
        <v>2.6545992493075765</v>
      </c>
      <c r="AY44" s="11">
        <v>136.55603857187839</v>
      </c>
      <c r="AZ44" s="93">
        <v>-43.002314866399423</v>
      </c>
      <c r="BA44" s="93">
        <v>40.901735073909045</v>
      </c>
      <c r="BB44" s="93">
        <f t="shared" si="19"/>
        <v>-2.1005797924903788</v>
      </c>
      <c r="BC44" s="93"/>
      <c r="BD44" s="39">
        <f t="shared" si="20"/>
        <v>2.5646880453044751</v>
      </c>
      <c r="BE44" s="93">
        <v>18.059085654406232</v>
      </c>
      <c r="BF44" s="93">
        <v>-9.0180538971045241</v>
      </c>
      <c r="BG44" s="93">
        <v>5.2043788432435791</v>
      </c>
      <c r="BH44" s="93">
        <f t="shared" si="21"/>
        <v>-3.813675053860945</v>
      </c>
      <c r="BJ44" s="39">
        <f t="shared" si="22"/>
        <v>2.6194787613104564</v>
      </c>
      <c r="BK44" s="93">
        <v>81.562939535953078</v>
      </c>
      <c r="BL44" s="93">
        <v>-26.535125434477635</v>
      </c>
      <c r="BM44" s="93">
        <v>24.06794423722156</v>
      </c>
      <c r="BN44" s="93">
        <f t="shared" si="23"/>
        <v>-2.4671811972560747</v>
      </c>
      <c r="BO44" s="106"/>
      <c r="BP44" s="39">
        <f t="shared" si="24"/>
        <v>2.775188253093952</v>
      </c>
      <c r="BQ44" s="93">
        <v>36.93401338151908</v>
      </c>
      <c r="BR44" s="93">
        <v>-7.4491355348172679</v>
      </c>
      <c r="BS44" s="93">
        <v>11.629411993443906</v>
      </c>
      <c r="BT44" s="93">
        <f t="shared" si="25"/>
        <v>4.1802764586266381</v>
      </c>
      <c r="BU44" s="90">
        <f t="shared" si="26"/>
        <v>0</v>
      </c>
      <c r="BV44" s="39">
        <f t="shared" si="27"/>
        <v>2.8583954213786456</v>
      </c>
      <c r="BW44" s="11">
        <v>20.489593186295824</v>
      </c>
      <c r="BX44" s="93">
        <v>-3.6169124626271385</v>
      </c>
      <c r="BY44" s="93">
        <v>6.6704706699605909</v>
      </c>
      <c r="BZ44" s="93">
        <f t="shared" si="28"/>
        <v>3.0535582073334524</v>
      </c>
      <c r="CA44" s="93"/>
      <c r="CB44" s="39">
        <f t="shared" si="29"/>
        <v>2.886706102007186</v>
      </c>
      <c r="CC44" s="93">
        <v>8.3246385618980643</v>
      </c>
      <c r="CD44" s="93">
        <v>-2.3561745304099531</v>
      </c>
      <c r="CE44" s="93">
        <v>2.7405296991725199</v>
      </c>
      <c r="CF44" s="93">
        <f t="shared" si="30"/>
        <v>0.38435516876256681</v>
      </c>
      <c r="CH44" s="39">
        <f t="shared" si="31"/>
        <v>2.8369795300950962</v>
      </c>
      <c r="CI44" s="93">
        <v>10.970091359887151</v>
      </c>
      <c r="CJ44" s="93">
        <v>-1.2157453343966669</v>
      </c>
      <c r="CK44" s="93">
        <v>3.541109966200767</v>
      </c>
      <c r="CL44" s="93">
        <f t="shared" si="32"/>
        <v>2.3253646318041001</v>
      </c>
      <c r="CM44" s="106"/>
      <c r="CN44" s="39">
        <f t="shared" si="33"/>
        <v>2.8573458698798015</v>
      </c>
      <c r="CO44" s="93">
        <v>1.1948632645106076</v>
      </c>
      <c r="CP44" s="93">
        <v>-4.4992597820518516E-2</v>
      </c>
      <c r="CQ44" s="93">
        <v>0.38883100458730496</v>
      </c>
      <c r="CR44" s="93">
        <f t="shared" si="34"/>
        <v>0.34383840676678645</v>
      </c>
      <c r="CS44" s="90">
        <f t="shared" si="35"/>
        <v>0</v>
      </c>
      <c r="CT44" s="39">
        <f t="shared" si="36"/>
        <v>2.8701182898648092</v>
      </c>
      <c r="CU44" s="11">
        <v>42.760780362377908</v>
      </c>
      <c r="CV44" s="93">
        <v>-8.7946027932175515</v>
      </c>
      <c r="CW44" s="93">
        <v>13.985580374465099</v>
      </c>
      <c r="CX44" s="93">
        <f t="shared" si="37"/>
        <v>5.190977581247548</v>
      </c>
      <c r="CY44" s="93"/>
      <c r="CZ44" s="39">
        <f t="shared" si="38"/>
        <v>2.8496351806148512</v>
      </c>
      <c r="DA44" s="93">
        <v>24.281196922142954</v>
      </c>
      <c r="DB44" s="93">
        <v>-9.1453437976246104</v>
      </c>
      <c r="DC44" s="93">
        <v>7.8774410446835388</v>
      </c>
      <c r="DD44" s="93">
        <f t="shared" si="39"/>
        <v>-1.2679027529410716</v>
      </c>
      <c r="DF44" s="39">
        <f t="shared" si="40"/>
        <v>2.8857004199172476</v>
      </c>
      <c r="DG44" s="93">
        <v>16.761855021675107</v>
      </c>
      <c r="DH44" s="93">
        <v>-0.26275092538178862</v>
      </c>
      <c r="DI44" s="93">
        <v>5.5159431408880319</v>
      </c>
      <c r="DJ44" s="93">
        <f t="shared" si="41"/>
        <v>5.2531922155062434</v>
      </c>
      <c r="DK44" s="106"/>
      <c r="DL44" s="39">
        <f t="shared" si="42"/>
        <v>3.0064287710700022</v>
      </c>
      <c r="DM44" s="93">
        <v>1.7177284185598474</v>
      </c>
      <c r="DN44" s="93">
        <v>0.61349192978884681</v>
      </c>
      <c r="DO44" s="93">
        <v>0.59219618889352987</v>
      </c>
      <c r="DP44" s="93">
        <f t="shared" si="43"/>
        <v>1.2056881186823767</v>
      </c>
    </row>
    <row r="45" spans="1:120" x14ac:dyDescent="0.2">
      <c r="A45" s="90">
        <f>name!B41</f>
        <v>0</v>
      </c>
      <c r="B45" s="39">
        <f t="shared" si="1"/>
        <v>2.5589515569040877</v>
      </c>
      <c r="C45" s="11">
        <v>378.65361093918506</v>
      </c>
      <c r="D45" s="93">
        <v>36.796399092126755</v>
      </c>
      <c r="E45" s="93">
        <v>108.84998948408384</v>
      </c>
      <c r="F45" s="93">
        <f t="shared" si="2"/>
        <v>145.6463885762106</v>
      </c>
      <c r="G45" s="93"/>
      <c r="H45" s="39">
        <f t="shared" si="3"/>
        <v>2.6970336356285651</v>
      </c>
      <c r="I45" s="93">
        <v>21.232264083662649</v>
      </c>
      <c r="J45" s="93">
        <v>5.5608874318156268E-2</v>
      </c>
      <c r="K45" s="93">
        <v>6.4738297499487887</v>
      </c>
      <c r="L45" s="93">
        <f t="shared" si="4"/>
        <v>6.5294386242669447</v>
      </c>
      <c r="N45" s="39">
        <f t="shared" si="5"/>
        <v>2.6178307858164995</v>
      </c>
      <c r="O45" s="93">
        <v>54.055750144900642</v>
      </c>
      <c r="P45" s="93">
        <v>7.7932985015424325</v>
      </c>
      <c r="Q45" s="93">
        <v>15.939762430606391</v>
      </c>
      <c r="R45" s="93">
        <f t="shared" si="6"/>
        <v>23.733060932148824</v>
      </c>
      <c r="S45" s="106"/>
      <c r="T45" s="39">
        <f t="shared" si="7"/>
        <v>2.5386919147606823</v>
      </c>
      <c r="U45" s="93">
        <v>303.36559671062184</v>
      </c>
      <c r="V45" s="93">
        <v>28.947491716266153</v>
      </c>
      <c r="W45" s="93">
        <v>86.436397303528679</v>
      </c>
      <c r="X45" s="93">
        <f t="shared" si="8"/>
        <v>115.38388901979484</v>
      </c>
      <c r="Y45" s="90">
        <f t="shared" si="0"/>
        <v>0</v>
      </c>
      <c r="Z45" s="39">
        <f t="shared" si="9"/>
        <v>2.5199611178011505</v>
      </c>
      <c r="AA45" s="11">
        <v>312.18144659946984</v>
      </c>
      <c r="AB45" s="93">
        <v>28.895682554218279</v>
      </c>
      <c r="AC45" s="93">
        <v>88.21610831482117</v>
      </c>
      <c r="AD45" s="93">
        <f t="shared" si="10"/>
        <v>117.11179086903945</v>
      </c>
      <c r="AE45" s="93"/>
      <c r="AF45" s="39">
        <f t="shared" si="11"/>
        <v>2.4310222459994479</v>
      </c>
      <c r="AG45" s="93">
        <v>3.9811352808305944</v>
      </c>
      <c r="AH45" s="93">
        <v>4.5008812227039625</v>
      </c>
      <c r="AI45" s="93">
        <v>1.0808631323162383</v>
      </c>
      <c r="AJ45" s="93">
        <f t="shared" si="12"/>
        <v>5.5817443550202004</v>
      </c>
      <c r="AL45" s="39">
        <f t="shared" si="13"/>
        <v>2.4685169170641119</v>
      </c>
      <c r="AM45" s="93">
        <v>20.509890701227175</v>
      </c>
      <c r="AN45" s="93">
        <v>4.1191890490955583</v>
      </c>
      <c r="AO45" s="93">
        <v>5.6639738538481845</v>
      </c>
      <c r="AP45" s="93">
        <f t="shared" si="14"/>
        <v>9.7831629029437437</v>
      </c>
      <c r="AQ45" s="106"/>
      <c r="AR45" s="39">
        <f t="shared" si="15"/>
        <v>2.524845301627332</v>
      </c>
      <c r="AS45" s="93">
        <v>287.69042061741203</v>
      </c>
      <c r="AT45" s="93">
        <v>20.275612282418756</v>
      </c>
      <c r="AU45" s="93">
        <v>81.471271328656755</v>
      </c>
      <c r="AV45" s="93">
        <f t="shared" si="16"/>
        <v>101.7468836110755</v>
      </c>
      <c r="AW45" s="90">
        <f t="shared" si="17"/>
        <v>0</v>
      </c>
      <c r="AX45" s="39">
        <f t="shared" si="18"/>
        <v>2.6549442218402941</v>
      </c>
      <c r="AY45" s="11">
        <v>41.892929155094187</v>
      </c>
      <c r="AZ45" s="93">
        <v>9.2492751468853793</v>
      </c>
      <c r="BA45" s="93">
        <v>12.549743972538471</v>
      </c>
      <c r="BB45" s="93">
        <f t="shared" si="19"/>
        <v>21.79901911942385</v>
      </c>
      <c r="BC45" s="93"/>
      <c r="BD45" s="39">
        <f t="shared" si="20"/>
        <v>2.5532327548231981</v>
      </c>
      <c r="BE45" s="93">
        <v>6.2009149306433597</v>
      </c>
      <c r="BF45" s="93">
        <v>-0.93789945412547293</v>
      </c>
      <c r="BG45" s="93">
        <v>1.7781008484106056</v>
      </c>
      <c r="BH45" s="93">
        <f t="shared" si="21"/>
        <v>0.84020139428513263</v>
      </c>
      <c r="BJ45" s="39">
        <f t="shared" si="22"/>
        <v>2.603317774412961</v>
      </c>
      <c r="BK45" s="93">
        <v>21.307415275332314</v>
      </c>
      <c r="BL45" s="93">
        <v>2.2423318572234603</v>
      </c>
      <c r="BM45" s="93">
        <v>6.2440571353848382</v>
      </c>
      <c r="BN45" s="93">
        <f t="shared" si="23"/>
        <v>8.4863889926082976</v>
      </c>
      <c r="BO45" s="106"/>
      <c r="BP45" s="39">
        <f t="shared" si="24"/>
        <v>2.7742686070164835</v>
      </c>
      <c r="BQ45" s="93">
        <v>14.384598949118512</v>
      </c>
      <c r="BR45" s="93">
        <v>7.9448427437873912</v>
      </c>
      <c r="BS45" s="93">
        <v>4.5275859887430272</v>
      </c>
      <c r="BT45" s="93">
        <f t="shared" si="25"/>
        <v>12.472428732530418</v>
      </c>
      <c r="BU45" s="90">
        <f t="shared" si="26"/>
        <v>0</v>
      </c>
      <c r="BV45" s="39">
        <f t="shared" si="27"/>
        <v>2.6192743149682007</v>
      </c>
      <c r="BW45" s="11">
        <v>2.9857552680997586</v>
      </c>
      <c r="BX45" s="93">
        <v>0.29752966440157663</v>
      </c>
      <c r="BY45" s="93">
        <v>0.88097251477732141</v>
      </c>
      <c r="BZ45" s="93">
        <f t="shared" si="28"/>
        <v>1.1785021791788981</v>
      </c>
      <c r="CA45" s="93"/>
      <c r="CB45" s="39">
        <f t="shared" si="29"/>
        <v>2.6102783759339943</v>
      </c>
      <c r="CC45" s="93">
        <v>1.0704246420939711</v>
      </c>
      <c r="CD45" s="93">
        <v>-0.11337152429818138</v>
      </c>
      <c r="CE45" s="93">
        <v>0.31462314152439591</v>
      </c>
      <c r="CF45" s="93">
        <f t="shared" si="30"/>
        <v>0.20125161722621454</v>
      </c>
      <c r="CH45" s="39">
        <f t="shared" si="31"/>
        <v>2.6315936742941082</v>
      </c>
      <c r="CI45" s="93">
        <v>1.5955005485136557</v>
      </c>
      <c r="CJ45" s="93">
        <v>0.30848080422027463</v>
      </c>
      <c r="CK45" s="93">
        <v>0.47324789856842298</v>
      </c>
      <c r="CL45" s="93">
        <f t="shared" si="32"/>
        <v>0.78172870278869766</v>
      </c>
      <c r="CM45" s="106"/>
      <c r="CN45" s="39">
        <f t="shared" si="33"/>
        <v>2.5878378150158365</v>
      </c>
      <c r="CO45" s="93">
        <v>0.31983007749213199</v>
      </c>
      <c r="CP45" s="93">
        <v>0.10242038447948336</v>
      </c>
      <c r="CQ45" s="93">
        <v>9.3101474684502514E-2</v>
      </c>
      <c r="CR45" s="93">
        <f t="shared" si="34"/>
        <v>0.19552185916398587</v>
      </c>
      <c r="CS45" s="90">
        <f t="shared" si="35"/>
        <v>0</v>
      </c>
      <c r="CT45" s="39">
        <f t="shared" si="36"/>
        <v>2.9205088963651926</v>
      </c>
      <c r="CU45" s="11">
        <v>21.593479916521417</v>
      </c>
      <c r="CV45" s="93">
        <v>-1.6460882733784852</v>
      </c>
      <c r="CW45" s="93">
        <v>7.2031646819468875</v>
      </c>
      <c r="CX45" s="93">
        <f t="shared" si="37"/>
        <v>5.5570764085684026</v>
      </c>
      <c r="CY45" s="93"/>
      <c r="CZ45" s="39">
        <f t="shared" si="38"/>
        <v>2.8981993026460096</v>
      </c>
      <c r="DA45" s="93">
        <v>9.979789230094724</v>
      </c>
      <c r="DB45" s="93">
        <v>-3.3940013699621523</v>
      </c>
      <c r="DC45" s="93">
        <v>3.3002426276975489</v>
      </c>
      <c r="DD45" s="93">
        <f t="shared" si="39"/>
        <v>-9.3758742264603345E-2</v>
      </c>
      <c r="DF45" s="39">
        <f t="shared" si="40"/>
        <v>2.9264568687984216</v>
      </c>
      <c r="DG45" s="93">
        <v>10.642943619827502</v>
      </c>
      <c r="DH45" s="93">
        <v>1.1232967910031393</v>
      </c>
      <c r="DI45" s="93">
        <v>3.5584835428049475</v>
      </c>
      <c r="DJ45" s="93">
        <f t="shared" si="41"/>
        <v>4.6817803338080868</v>
      </c>
      <c r="DK45" s="106"/>
      <c r="DL45" s="39">
        <f t="shared" si="42"/>
        <v>3.0832482448727161</v>
      </c>
      <c r="DM45" s="93">
        <v>0.97074706659919119</v>
      </c>
      <c r="DN45" s="93">
        <v>0.62461630558052772</v>
      </c>
      <c r="DO45" s="93">
        <v>0.34443851144439169</v>
      </c>
      <c r="DP45" s="93">
        <f t="shared" si="43"/>
        <v>0.96905481702491936</v>
      </c>
    </row>
    <row r="46" spans="1:120" x14ac:dyDescent="0.2">
      <c r="A46" s="90">
        <f>name!B42</f>
        <v>0</v>
      </c>
      <c r="B46" s="39">
        <f t="shared" si="1"/>
        <v>2.890259729191258</v>
      </c>
      <c r="C46" s="11">
        <v>596.16075467408132</v>
      </c>
      <c r="D46" s="93">
        <v>130.76412576439193</v>
      </c>
      <c r="E46" s="93">
        <v>196.53406172763593</v>
      </c>
      <c r="F46" s="93">
        <f t="shared" si="2"/>
        <v>327.29818749202786</v>
      </c>
      <c r="G46" s="93"/>
      <c r="H46" s="39">
        <f t="shared" si="3"/>
        <v>2.6788795437322488</v>
      </c>
      <c r="I46" s="93">
        <v>75.585819538445264</v>
      </c>
      <c r="J46" s="93">
        <v>4.2136979795279563</v>
      </c>
      <c r="K46" s="93">
        <v>22.872299636804904</v>
      </c>
      <c r="L46" s="93">
        <f t="shared" si="4"/>
        <v>27.085997616332861</v>
      </c>
      <c r="N46" s="39">
        <f t="shared" si="5"/>
        <v>2.706098654684097</v>
      </c>
      <c r="O46" s="93">
        <v>212.25679919065291</v>
      </c>
      <c r="P46" s="93">
        <v>64.236584035540048</v>
      </c>
      <c r="Q46" s="93">
        <v>64.962803722137807</v>
      </c>
      <c r="R46" s="93">
        <f t="shared" si="6"/>
        <v>129.19938775767787</v>
      </c>
      <c r="S46" s="106"/>
      <c r="T46" s="39">
        <f t="shared" si="7"/>
        <v>3.0660135882804918</v>
      </c>
      <c r="U46" s="93">
        <v>308.31813594498311</v>
      </c>
      <c r="V46" s="93">
        <v>62.313843749323915</v>
      </c>
      <c r="W46" s="93">
        <v>108.69895836869323</v>
      </c>
      <c r="X46" s="93">
        <f t="shared" si="8"/>
        <v>171.01280211801713</v>
      </c>
      <c r="Y46" s="90">
        <f t="shared" si="0"/>
        <v>0</v>
      </c>
      <c r="Z46" s="39">
        <f t="shared" si="9"/>
        <v>3.0502708921622101</v>
      </c>
      <c r="AA46" s="11">
        <v>335.93921919202376</v>
      </c>
      <c r="AB46" s="93">
        <v>65.992763386883993</v>
      </c>
      <c r="AC46" s="93">
        <v>117.74334207940043</v>
      </c>
      <c r="AD46" s="93">
        <f t="shared" si="10"/>
        <v>183.73610546628441</v>
      </c>
      <c r="AE46" s="93"/>
      <c r="AF46" s="39">
        <f t="shared" si="11"/>
        <v>2.772118894951725</v>
      </c>
      <c r="AG46" s="93">
        <v>6.0163041652184992</v>
      </c>
      <c r="AH46" s="93">
        <v>1.3292953942067818</v>
      </c>
      <c r="AI46" s="93">
        <v>1.8919913793244785</v>
      </c>
      <c r="AJ46" s="93">
        <f t="shared" si="12"/>
        <v>3.2212867735312605</v>
      </c>
      <c r="AL46" s="39">
        <f t="shared" si="13"/>
        <v>2.8305616396997912</v>
      </c>
      <c r="AM46" s="93">
        <v>54.066211981632996</v>
      </c>
      <c r="AN46" s="93">
        <v>15.192793130377611</v>
      </c>
      <c r="AO46" s="93">
        <v>17.40777706255945</v>
      </c>
      <c r="AP46" s="93">
        <f t="shared" si="14"/>
        <v>32.600570192937063</v>
      </c>
      <c r="AQ46" s="106"/>
      <c r="AR46" s="39">
        <f t="shared" si="15"/>
        <v>3.0988119312854945</v>
      </c>
      <c r="AS46" s="93">
        <v>275.85670304517225</v>
      </c>
      <c r="AT46" s="93">
        <v>49.470674862299603</v>
      </c>
      <c r="AU46" s="93">
        <v>98.443573637516494</v>
      </c>
      <c r="AV46" s="93">
        <f t="shared" si="16"/>
        <v>147.9142484998161</v>
      </c>
      <c r="AW46" s="90">
        <f t="shared" si="17"/>
        <v>0</v>
      </c>
      <c r="AX46" s="39">
        <f t="shared" si="18"/>
        <v>2.6039196652279051</v>
      </c>
      <c r="AY46" s="11">
        <v>159.03458473919616</v>
      </c>
      <c r="AZ46" s="93">
        <v>40.296222391531657</v>
      </c>
      <c r="BA46" s="93">
        <v>46.616544654725452</v>
      </c>
      <c r="BB46" s="93">
        <f t="shared" si="19"/>
        <v>86.912767046257102</v>
      </c>
      <c r="BC46" s="93"/>
      <c r="BD46" s="39">
        <f t="shared" si="20"/>
        <v>2.5452433226490934</v>
      </c>
      <c r="BE46" s="93">
        <v>21.770784421414771</v>
      </c>
      <c r="BF46" s="93">
        <v>-0.58525794672168419</v>
      </c>
      <c r="BG46" s="93">
        <v>6.2209156872515399</v>
      </c>
      <c r="BH46" s="93">
        <f t="shared" si="21"/>
        <v>5.6356577405298554</v>
      </c>
      <c r="BJ46" s="39">
        <f t="shared" si="22"/>
        <v>2.5795517536157053</v>
      </c>
      <c r="BK46" s="93">
        <v>109.52927387637574</v>
      </c>
      <c r="BL46" s="93">
        <v>30.843442039124554</v>
      </c>
      <c r="BM46" s="93">
        <v>31.769430063648457</v>
      </c>
      <c r="BN46" s="93">
        <f t="shared" si="23"/>
        <v>62.612872102773011</v>
      </c>
      <c r="BO46" s="106"/>
      <c r="BP46" s="39">
        <f t="shared" si="24"/>
        <v>2.7451139967111571</v>
      </c>
      <c r="BQ46" s="93">
        <v>27.734526441405688</v>
      </c>
      <c r="BR46" s="93">
        <v>10.038038299128784</v>
      </c>
      <c r="BS46" s="93">
        <v>8.6261989038254558</v>
      </c>
      <c r="BT46" s="93">
        <f t="shared" si="25"/>
        <v>18.66423720295424</v>
      </c>
      <c r="BU46" s="90">
        <f t="shared" si="26"/>
        <v>0</v>
      </c>
      <c r="BV46" s="39">
        <f t="shared" si="27"/>
        <v>2.4641512026180035</v>
      </c>
      <c r="BW46" s="11">
        <v>12.81458334002725</v>
      </c>
      <c r="BX46" s="93">
        <v>4.3895704257866655</v>
      </c>
      <c r="BY46" s="93">
        <v>3.5318857518426356</v>
      </c>
      <c r="BZ46" s="93">
        <f t="shared" si="28"/>
        <v>7.9214561776293007</v>
      </c>
      <c r="CA46" s="93"/>
      <c r="CB46" s="39">
        <f t="shared" si="29"/>
        <v>2.3360812858931101</v>
      </c>
      <c r="CC46" s="93">
        <v>6.0632147564116732</v>
      </c>
      <c r="CD46" s="93">
        <v>2.5684165487773454</v>
      </c>
      <c r="CE46" s="93">
        <v>1.5749808838887966</v>
      </c>
      <c r="CF46" s="93">
        <f t="shared" si="30"/>
        <v>4.1433974326661422</v>
      </c>
      <c r="CH46" s="39">
        <f t="shared" si="31"/>
        <v>2.5656844346393592</v>
      </c>
      <c r="CI46" s="93">
        <v>5.7160556182605653</v>
      </c>
      <c r="CJ46" s="93">
        <v>1.556033629424588</v>
      </c>
      <c r="CK46" s="93">
        <v>1.6480035734914502</v>
      </c>
      <c r="CL46" s="93">
        <f t="shared" si="32"/>
        <v>3.2040372029160382</v>
      </c>
      <c r="CM46" s="106"/>
      <c r="CN46" s="39">
        <f t="shared" si="33"/>
        <v>2.645445634877297</v>
      </c>
      <c r="CO46" s="93">
        <v>1.0353129653550115</v>
      </c>
      <c r="CP46" s="93">
        <v>0.26512024758473196</v>
      </c>
      <c r="CQ46" s="93">
        <v>0.30890129446238906</v>
      </c>
      <c r="CR46" s="93">
        <f t="shared" si="34"/>
        <v>0.57402154204712108</v>
      </c>
      <c r="CS46" s="90">
        <f t="shared" si="35"/>
        <v>0</v>
      </c>
      <c r="CT46" s="39">
        <f t="shared" si="36"/>
        <v>2.8471774384655868</v>
      </c>
      <c r="CU46" s="11">
        <v>88.372367402834058</v>
      </c>
      <c r="CV46" s="93">
        <v>20.085569560189615</v>
      </c>
      <c r="CW46" s="93">
        <v>28.642289241667434</v>
      </c>
      <c r="CX46" s="93">
        <f t="shared" si="37"/>
        <v>48.727858801857053</v>
      </c>
      <c r="CY46" s="93"/>
      <c r="CZ46" s="39">
        <f t="shared" si="38"/>
        <v>2.7832667945406842</v>
      </c>
      <c r="DA46" s="93">
        <v>41.735516195400322</v>
      </c>
      <c r="DB46" s="93">
        <v>0.90124398326551358</v>
      </c>
      <c r="DC46" s="93">
        <v>13.184411686340088</v>
      </c>
      <c r="DD46" s="93">
        <f t="shared" si="39"/>
        <v>14.085655669605602</v>
      </c>
      <c r="DF46" s="39">
        <f t="shared" si="40"/>
        <v>2.8866540918025541</v>
      </c>
      <c r="DG46" s="93">
        <v>42.945257714383601</v>
      </c>
      <c r="DH46" s="93">
        <v>16.644315236613298</v>
      </c>
      <c r="DI46" s="93">
        <v>14.137593022438447</v>
      </c>
      <c r="DJ46" s="93">
        <f t="shared" si="41"/>
        <v>30.781908259051747</v>
      </c>
      <c r="DK46" s="106"/>
      <c r="DL46" s="39">
        <f t="shared" si="42"/>
        <v>3.1047472891351457</v>
      </c>
      <c r="DM46" s="93">
        <v>3.6915934930501404</v>
      </c>
      <c r="DN46" s="93">
        <v>2.5400103403108023</v>
      </c>
      <c r="DO46" s="93">
        <v>1.320284532888897</v>
      </c>
      <c r="DP46" s="93">
        <f t="shared" si="43"/>
        <v>3.8602948731996993</v>
      </c>
    </row>
    <row r="47" spans="1:120" x14ac:dyDescent="0.2">
      <c r="A47" s="90">
        <f>name!B43</f>
        <v>0</v>
      </c>
      <c r="B47" s="39">
        <f t="shared" si="1"/>
        <v>2.865344899385458</v>
      </c>
      <c r="C47" s="11">
        <v>40.376210097149027</v>
      </c>
      <c r="D47" s="93">
        <v>12.806927196821107</v>
      </c>
      <c r="E47" s="93">
        <v>13.180811533634204</v>
      </c>
      <c r="F47" s="93">
        <f t="shared" si="2"/>
        <v>25.987738730455312</v>
      </c>
      <c r="G47" s="93"/>
      <c r="H47" s="39">
        <f t="shared" si="3"/>
        <v>2.7751718770929079</v>
      </c>
      <c r="I47" s="93">
        <v>9.3187758939343261</v>
      </c>
      <c r="J47" s="93">
        <v>1.4740755938305261</v>
      </c>
      <c r="K47" s="93">
        <v>2.934183240230555</v>
      </c>
      <c r="L47" s="93">
        <f t="shared" si="4"/>
        <v>4.4082588340610815</v>
      </c>
      <c r="N47" s="39">
        <f t="shared" si="5"/>
        <v>2.8011029016640654</v>
      </c>
      <c r="O47" s="93">
        <v>15.51970188832003</v>
      </c>
      <c r="P47" s="93">
        <v>4.6916947620293463</v>
      </c>
      <c r="Q47" s="93">
        <v>4.9382011045192602</v>
      </c>
      <c r="R47" s="93">
        <f t="shared" si="6"/>
        <v>9.6298958665486065</v>
      </c>
      <c r="S47" s="106"/>
      <c r="T47" s="39">
        <f t="shared" si="7"/>
        <v>2.9825975993459597</v>
      </c>
      <c r="U47" s="93">
        <v>15.537732314894669</v>
      </c>
      <c r="V47" s="93">
        <v>6.6411568409612336</v>
      </c>
      <c r="W47" s="93">
        <v>5.3084271888843881</v>
      </c>
      <c r="X47" s="93">
        <f t="shared" si="8"/>
        <v>11.949584029845621</v>
      </c>
      <c r="Y47" s="90">
        <f t="shared" si="0"/>
        <v>0</v>
      </c>
      <c r="Z47" s="39">
        <f t="shared" si="9"/>
        <v>3.0248158548996429</v>
      </c>
      <c r="AA47" s="11">
        <v>21.444049548280258</v>
      </c>
      <c r="AB47" s="93">
        <v>6.4637391240695505</v>
      </c>
      <c r="AC47" s="93">
        <v>7.4444690278107304</v>
      </c>
      <c r="AD47" s="93">
        <f t="shared" si="10"/>
        <v>13.908208151880281</v>
      </c>
      <c r="AE47" s="93"/>
      <c r="AF47" s="39">
        <f t="shared" si="11"/>
        <v>3.0872958603731293</v>
      </c>
      <c r="AG47" s="93">
        <v>2.7651222683057175</v>
      </c>
      <c r="AH47" s="93">
        <v>0.53339249467469196</v>
      </c>
      <c r="AI47" s="93">
        <v>0.98258633136794948</v>
      </c>
      <c r="AJ47" s="93">
        <f t="shared" si="12"/>
        <v>1.5159788260426414</v>
      </c>
      <c r="AL47" s="39">
        <f t="shared" si="13"/>
        <v>2.9781314195511888</v>
      </c>
      <c r="AM47" s="93">
        <v>6.7043000761876437</v>
      </c>
      <c r="AN47" s="93">
        <v>0.72118551121563768</v>
      </c>
      <c r="AO47" s="93">
        <v>2.286607135241129</v>
      </c>
      <c r="AP47" s="93">
        <f t="shared" si="14"/>
        <v>3.0077926464567666</v>
      </c>
      <c r="AQ47" s="106"/>
      <c r="AR47" s="39">
        <f t="shared" si="15"/>
        <v>3.0364271872712179</v>
      </c>
      <c r="AS47" s="93">
        <v>11.974627203786897</v>
      </c>
      <c r="AT47" s="93">
        <v>5.209161118179221</v>
      </c>
      <c r="AU47" s="93">
        <v>4.1752755612016514</v>
      </c>
      <c r="AV47" s="93">
        <f t="shared" si="16"/>
        <v>9.3844366793808724</v>
      </c>
      <c r="AW47" s="90">
        <f t="shared" si="17"/>
        <v>0</v>
      </c>
      <c r="AX47" s="39">
        <f t="shared" si="18"/>
        <v>2.6056938584245515</v>
      </c>
      <c r="AY47" s="11">
        <v>11.013605155901349</v>
      </c>
      <c r="AZ47" s="93">
        <v>1.0299128541872438</v>
      </c>
      <c r="BA47" s="93">
        <v>3.2307934614555975</v>
      </c>
      <c r="BB47" s="93">
        <f t="shared" si="19"/>
        <v>4.2607063156428415</v>
      </c>
      <c r="BC47" s="93"/>
      <c r="BD47" s="39">
        <f t="shared" si="20"/>
        <v>2.5171144014275004</v>
      </c>
      <c r="BE47" s="93">
        <v>2.5657167308459536</v>
      </c>
      <c r="BF47" s="93">
        <v>-2.0249829680665472E-2</v>
      </c>
      <c r="BG47" s="93">
        <v>0.72410556877585575</v>
      </c>
      <c r="BH47" s="93">
        <f t="shared" si="21"/>
        <v>0.70385573909519028</v>
      </c>
      <c r="BJ47" s="39">
        <f t="shared" si="22"/>
        <v>2.564691401725705</v>
      </c>
      <c r="BK47" s="93">
        <v>5.4392446032435906</v>
      </c>
      <c r="BL47" s="93">
        <v>0.51504624411421973</v>
      </c>
      <c r="BM47" s="93">
        <v>1.5675173974350798</v>
      </c>
      <c r="BN47" s="93">
        <f t="shared" si="23"/>
        <v>2.0825636415492994</v>
      </c>
      <c r="BO47" s="106"/>
      <c r="BP47" s="39">
        <f t="shared" si="24"/>
        <v>2.7539661724697684</v>
      </c>
      <c r="BQ47" s="93">
        <v>3.0086438218118041</v>
      </c>
      <c r="BR47" s="93">
        <v>0.53511643975368939</v>
      </c>
      <c r="BS47" s="93">
        <v>0.93917049524466201</v>
      </c>
      <c r="BT47" s="93">
        <f t="shared" si="25"/>
        <v>1.4742869349983514</v>
      </c>
      <c r="BU47" s="90">
        <f t="shared" si="26"/>
        <v>0</v>
      </c>
      <c r="BV47" s="39">
        <f t="shared" si="27"/>
        <v>2.7769349895925721</v>
      </c>
      <c r="BW47" s="11">
        <v>2.8680773838859954</v>
      </c>
      <c r="BX47" s="93">
        <v>1.8124842888357913</v>
      </c>
      <c r="BY47" s="93">
        <v>0.90371244599220335</v>
      </c>
      <c r="BZ47" s="93">
        <f t="shared" si="28"/>
        <v>2.7161967348279945</v>
      </c>
      <c r="CA47" s="93"/>
      <c r="CB47" s="39">
        <f t="shared" si="29"/>
        <v>2.6526063565382341</v>
      </c>
      <c r="CC47" s="93">
        <v>1.133194068533085</v>
      </c>
      <c r="CD47" s="93">
        <v>0.1263303128615518</v>
      </c>
      <c r="CE47" s="93">
        <v>0.33913232926021469</v>
      </c>
      <c r="CF47" s="93">
        <f t="shared" si="30"/>
        <v>0.46546264212176647</v>
      </c>
      <c r="CH47" s="39">
        <f t="shared" si="31"/>
        <v>2.7982733108218305</v>
      </c>
      <c r="CI47" s="93">
        <v>1.5036570788687731</v>
      </c>
      <c r="CJ47" s="93">
        <v>1.358746094911804</v>
      </c>
      <c r="CK47" s="93">
        <v>0.47790189710881065</v>
      </c>
      <c r="CL47" s="93">
        <f t="shared" si="32"/>
        <v>1.8366479920206147</v>
      </c>
      <c r="CM47" s="106"/>
      <c r="CN47" s="39">
        <f t="shared" si="33"/>
        <v>3.2347595318199085</v>
      </c>
      <c r="CO47" s="93">
        <v>0.23122623648413734</v>
      </c>
      <c r="CP47" s="93">
        <v>0.32740788106243529</v>
      </c>
      <c r="CQ47" s="93">
        <v>8.6678219623177913E-2</v>
      </c>
      <c r="CR47" s="93">
        <f t="shared" si="34"/>
        <v>0.41408610068561319</v>
      </c>
      <c r="CS47" s="90">
        <f t="shared" si="35"/>
        <v>0</v>
      </c>
      <c r="CT47" s="39">
        <f t="shared" si="36"/>
        <v>2.7931156217943398</v>
      </c>
      <c r="CU47" s="11">
        <v>5.0504780090814236</v>
      </c>
      <c r="CV47" s="93">
        <v>3.5007909297285211</v>
      </c>
      <c r="CW47" s="93">
        <v>1.6018365983756719</v>
      </c>
      <c r="CX47" s="93">
        <f t="shared" si="37"/>
        <v>5.1026275281041933</v>
      </c>
      <c r="CY47" s="93"/>
      <c r="CZ47" s="39">
        <f t="shared" si="38"/>
        <v>2.74636478298389</v>
      </c>
      <c r="DA47" s="93">
        <v>2.8547428262495687</v>
      </c>
      <c r="DB47" s="93">
        <v>0.83460261597494789</v>
      </c>
      <c r="DC47" s="93">
        <v>0.88835901082653501</v>
      </c>
      <c r="DD47" s="93">
        <f t="shared" si="39"/>
        <v>1.7229616268014829</v>
      </c>
      <c r="DF47" s="39">
        <f t="shared" si="40"/>
        <v>2.8441917872239486</v>
      </c>
      <c r="DG47" s="93">
        <v>1.8725001300200237</v>
      </c>
      <c r="DH47" s="93">
        <v>2.0967169117876856</v>
      </c>
      <c r="DI47" s="93">
        <v>0.60617467473424025</v>
      </c>
      <c r="DJ47" s="93">
        <f t="shared" si="41"/>
        <v>2.7028915865219258</v>
      </c>
      <c r="DK47" s="106"/>
      <c r="DL47" s="39">
        <f t="shared" si="42"/>
        <v>2.9080384999745856</v>
      </c>
      <c r="DM47" s="93">
        <v>0.32323505281183162</v>
      </c>
      <c r="DN47" s="93">
        <v>0.5694714019658873</v>
      </c>
      <c r="DO47" s="93">
        <v>0.10730291281489671</v>
      </c>
      <c r="DP47" s="93">
        <f t="shared" si="43"/>
        <v>0.67677431478078398</v>
      </c>
    </row>
    <row r="48" spans="1:120" x14ac:dyDescent="0.2">
      <c r="A48" s="90">
        <f>name!B44</f>
        <v>0</v>
      </c>
      <c r="B48" s="39">
        <f t="shared" si="1"/>
        <v>2.8169915417421754</v>
      </c>
      <c r="C48" s="11">
        <v>158.75130574877755</v>
      </c>
      <c r="D48" s="93">
        <v>31.053175488358242</v>
      </c>
      <c r="E48" s="93">
        <v>50.836604439456309</v>
      </c>
      <c r="F48" s="93">
        <f t="shared" si="2"/>
        <v>81.889779927814544</v>
      </c>
      <c r="G48" s="93"/>
      <c r="H48" s="39">
        <f t="shared" si="3"/>
        <v>2.7131406842493488</v>
      </c>
      <c r="I48" s="93">
        <v>37.269430586923946</v>
      </c>
      <c r="J48" s="93">
        <v>2.0080357660646397</v>
      </c>
      <c r="K48" s="93">
        <v>11.439976930786587</v>
      </c>
      <c r="L48" s="93">
        <f t="shared" si="4"/>
        <v>13.448012696851226</v>
      </c>
      <c r="N48" s="39">
        <f t="shared" si="5"/>
        <v>2.6835187325179533</v>
      </c>
      <c r="O48" s="93">
        <v>64.168727676686729</v>
      </c>
      <c r="P48" s="93">
        <v>9.648746828409589</v>
      </c>
      <c r="Q48" s="93">
        <v>19.45525621806194</v>
      </c>
      <c r="R48" s="93">
        <f t="shared" si="6"/>
        <v>29.104003046471529</v>
      </c>
      <c r="S48" s="106"/>
      <c r="T48" s="39">
        <f t="shared" si="7"/>
        <v>3.0307741956072665</v>
      </c>
      <c r="U48" s="93">
        <v>57.313147485166859</v>
      </c>
      <c r="V48" s="93">
        <v>19.396392893884016</v>
      </c>
      <c r="W48" s="93">
        <v>19.941371290607766</v>
      </c>
      <c r="X48" s="93">
        <f t="shared" si="8"/>
        <v>39.337764184491782</v>
      </c>
      <c r="Y48" s="90">
        <f t="shared" si="0"/>
        <v>0</v>
      </c>
      <c r="Z48" s="39">
        <f t="shared" si="9"/>
        <v>3.0844034831169376</v>
      </c>
      <c r="AA48" s="11">
        <v>54.043501876163091</v>
      </c>
      <c r="AB48" s="93">
        <v>16.838248878570081</v>
      </c>
      <c r="AC48" s="93">
        <v>19.18381203425853</v>
      </c>
      <c r="AD48" s="93">
        <f t="shared" si="10"/>
        <v>36.022060912828607</v>
      </c>
      <c r="AE48" s="93"/>
      <c r="AF48" s="39">
        <f t="shared" si="11"/>
        <v>3.0687126992563263</v>
      </c>
      <c r="AG48" s="93">
        <v>2.872339077635929</v>
      </c>
      <c r="AH48" s="93">
        <v>0.88105911598627318</v>
      </c>
      <c r="AI48" s="93">
        <v>1.0136737094918047</v>
      </c>
      <c r="AJ48" s="93">
        <f t="shared" si="12"/>
        <v>1.8947328254780778</v>
      </c>
      <c r="AL48" s="39">
        <f t="shared" si="13"/>
        <v>2.9854531104971826</v>
      </c>
      <c r="AM48" s="93">
        <v>8.4616752757594771</v>
      </c>
      <c r="AN48" s="93">
        <v>0.5129240985808613</v>
      </c>
      <c r="AO48" s="93">
        <v>2.8940583365838495</v>
      </c>
      <c r="AP48" s="93">
        <f t="shared" si="14"/>
        <v>3.4069824351647107</v>
      </c>
      <c r="AQ48" s="106"/>
      <c r="AR48" s="39">
        <f t="shared" si="15"/>
        <v>3.1049593059016889</v>
      </c>
      <c r="AS48" s="93">
        <v>42.709487522767688</v>
      </c>
      <c r="AT48" s="93">
        <v>15.444265664002945</v>
      </c>
      <c r="AU48" s="93">
        <v>15.276079988182877</v>
      </c>
      <c r="AV48" s="93">
        <f t="shared" si="16"/>
        <v>30.72034565218582</v>
      </c>
      <c r="AW48" s="90">
        <f t="shared" si="17"/>
        <v>0</v>
      </c>
      <c r="AX48" s="39">
        <f t="shared" si="18"/>
        <v>2.6049805214462873</v>
      </c>
      <c r="AY48" s="11">
        <v>67.279720597550053</v>
      </c>
      <c r="AZ48" s="93">
        <v>-1.7061260839949342</v>
      </c>
      <c r="BA48" s="93">
        <v>19.73016584504331</v>
      </c>
      <c r="BB48" s="93">
        <f t="shared" si="19"/>
        <v>18.024039761048375</v>
      </c>
      <c r="BC48" s="93"/>
      <c r="BD48" s="39">
        <f t="shared" si="20"/>
        <v>2.5409532368865007</v>
      </c>
      <c r="BE48" s="93">
        <v>14.926976334729311</v>
      </c>
      <c r="BF48" s="93">
        <v>-1.3830273865244627</v>
      </c>
      <c r="BG48" s="93">
        <v>4.2572967639145958</v>
      </c>
      <c r="BH48" s="93">
        <f t="shared" si="21"/>
        <v>2.8742693773901333</v>
      </c>
      <c r="BJ48" s="39">
        <f t="shared" si="22"/>
        <v>2.5796718808031471</v>
      </c>
      <c r="BK48" s="93">
        <v>40.385319730226364</v>
      </c>
      <c r="BL48" s="93">
        <v>-0.75084702548436888</v>
      </c>
      <c r="BM48" s="93">
        <v>11.714543255967428</v>
      </c>
      <c r="BN48" s="93">
        <f t="shared" si="23"/>
        <v>10.963696230483059</v>
      </c>
      <c r="BO48" s="106"/>
      <c r="BP48" s="39">
        <f t="shared" si="24"/>
        <v>2.7687485385664345</v>
      </c>
      <c r="BQ48" s="93">
        <v>11.967424532594377</v>
      </c>
      <c r="BR48" s="93">
        <v>0.42774832801389723</v>
      </c>
      <c r="BS48" s="93">
        <v>3.7583258251612852</v>
      </c>
      <c r="BT48" s="93">
        <f t="shared" si="25"/>
        <v>4.1860741531751824</v>
      </c>
      <c r="BU48" s="90">
        <f t="shared" si="26"/>
        <v>0</v>
      </c>
      <c r="BV48" s="39">
        <f t="shared" si="27"/>
        <v>2.518201489640326</v>
      </c>
      <c r="BW48" s="11">
        <v>11.027664527945932</v>
      </c>
      <c r="BX48" s="93">
        <v>1.3879359269084375</v>
      </c>
      <c r="BY48" s="93">
        <v>3.1137656010156576</v>
      </c>
      <c r="BZ48" s="93">
        <f t="shared" si="28"/>
        <v>4.5017015279240953</v>
      </c>
      <c r="CA48" s="93"/>
      <c r="CB48" s="39">
        <f t="shared" si="29"/>
        <v>2.4600010102901804</v>
      </c>
      <c r="CC48" s="93">
        <v>4.6043551889988352</v>
      </c>
      <c r="CD48" s="93">
        <v>-9.4762721156135488E-2</v>
      </c>
      <c r="CE48" s="93">
        <v>1.2666488182504458</v>
      </c>
      <c r="CF48" s="93">
        <f t="shared" si="30"/>
        <v>1.1718860970943104</v>
      </c>
      <c r="CH48" s="39">
        <f t="shared" si="31"/>
        <v>2.5135092689739569</v>
      </c>
      <c r="CI48" s="93">
        <v>5.3897928205850842</v>
      </c>
      <c r="CJ48" s="93">
        <v>0.93986804735963958</v>
      </c>
      <c r="CK48" s="93">
        <v>1.5186963016257615</v>
      </c>
      <c r="CL48" s="93">
        <f t="shared" si="32"/>
        <v>2.458564348985401</v>
      </c>
      <c r="CM48" s="106"/>
      <c r="CN48" s="39">
        <f t="shared" si="33"/>
        <v>2.7978329732376128</v>
      </c>
      <c r="CO48" s="93">
        <v>1.0335165183620134</v>
      </c>
      <c r="CP48" s="93">
        <v>0.5428306007049335</v>
      </c>
      <c r="CQ48" s="93">
        <v>0.32842048113944977</v>
      </c>
      <c r="CR48" s="93">
        <f t="shared" si="34"/>
        <v>0.87125108184438327</v>
      </c>
      <c r="CS48" s="90">
        <f t="shared" si="35"/>
        <v>0</v>
      </c>
      <c r="CT48" s="39">
        <f t="shared" si="36"/>
        <v>2.9211505487475975</v>
      </c>
      <c r="CU48" s="11">
        <v>26.400418747118454</v>
      </c>
      <c r="CV48" s="93">
        <v>14.533116766874658</v>
      </c>
      <c r="CW48" s="93">
        <v>8.8088609591388032</v>
      </c>
      <c r="CX48" s="93">
        <f t="shared" si="37"/>
        <v>23.341977726013461</v>
      </c>
      <c r="CY48" s="93"/>
      <c r="CZ48" s="39">
        <f t="shared" si="38"/>
        <v>2.8911023071172881</v>
      </c>
      <c r="DA48" s="93">
        <v>14.865759985559873</v>
      </c>
      <c r="DB48" s="93">
        <v>2.6047667577589646</v>
      </c>
      <c r="DC48" s="93">
        <v>4.9023576391297414</v>
      </c>
      <c r="DD48" s="93">
        <f t="shared" si="39"/>
        <v>7.507124396888706</v>
      </c>
      <c r="DF48" s="39">
        <f t="shared" si="40"/>
        <v>2.9320472834624356</v>
      </c>
      <c r="DG48" s="93">
        <v>9.9319398501158016</v>
      </c>
      <c r="DH48" s="93">
        <v>8.9468017079534565</v>
      </c>
      <c r="DI48" s="93">
        <v>3.3279583238849022</v>
      </c>
      <c r="DJ48" s="93">
        <f t="shared" si="41"/>
        <v>12.274760031838358</v>
      </c>
      <c r="DK48" s="106"/>
      <c r="DL48" s="39">
        <f t="shared" si="42"/>
        <v>3.1300160142738953</v>
      </c>
      <c r="DM48" s="93">
        <v>1.6027189114427818</v>
      </c>
      <c r="DN48" s="93">
        <v>2.981548301162237</v>
      </c>
      <c r="DO48" s="93">
        <v>0.57854499612415899</v>
      </c>
      <c r="DP48" s="93">
        <f t="shared" si="43"/>
        <v>3.5600932972863961</v>
      </c>
    </row>
    <row r="49" spans="1:120" x14ac:dyDescent="0.2">
      <c r="B49" s="39"/>
      <c r="C49" s="93"/>
      <c r="D49" s="93"/>
      <c r="E49" s="93"/>
      <c r="F49" s="93"/>
      <c r="G49" s="93"/>
      <c r="H49" s="39"/>
      <c r="I49" s="93"/>
      <c r="J49" s="93"/>
      <c r="K49" s="93"/>
      <c r="L49" s="93"/>
      <c r="N49" s="39"/>
      <c r="O49" s="93"/>
      <c r="P49" s="93"/>
      <c r="Q49" s="93"/>
      <c r="R49" s="93"/>
      <c r="S49" s="106"/>
      <c r="T49" s="39"/>
      <c r="U49" s="93"/>
      <c r="V49" s="93"/>
      <c r="W49" s="93"/>
      <c r="X49" s="93"/>
      <c r="Z49" s="39"/>
      <c r="AA49" s="93"/>
      <c r="AB49" s="93"/>
      <c r="AC49" s="93"/>
      <c r="AD49" s="93"/>
      <c r="AE49" s="93"/>
      <c r="AF49" s="39"/>
      <c r="AG49" s="93"/>
      <c r="AH49" s="93"/>
      <c r="AI49" s="93"/>
      <c r="AJ49" s="93"/>
      <c r="AL49" s="39"/>
      <c r="AM49" s="93"/>
      <c r="AN49" s="93"/>
      <c r="AO49" s="93"/>
      <c r="AP49" s="93"/>
      <c r="AQ49" s="106"/>
      <c r="AR49" s="39"/>
      <c r="AS49" s="93"/>
      <c r="AT49" s="93"/>
      <c r="AU49" s="93"/>
      <c r="AV49" s="93"/>
      <c r="AX49" s="39"/>
      <c r="AY49" s="93"/>
      <c r="AZ49" s="93"/>
      <c r="BA49" s="93"/>
      <c r="BB49" s="93"/>
      <c r="BC49" s="93"/>
      <c r="BD49" s="39"/>
      <c r="BE49" s="93"/>
      <c r="BF49" s="93"/>
      <c r="BG49" s="93"/>
      <c r="BH49" s="93"/>
      <c r="BJ49" s="39"/>
      <c r="BK49" s="93"/>
      <c r="BL49" s="93"/>
      <c r="BM49" s="93"/>
      <c r="BN49" s="93"/>
      <c r="BO49" s="106"/>
      <c r="BP49" s="39"/>
      <c r="BQ49" s="93"/>
      <c r="BR49" s="93"/>
      <c r="BS49" s="93"/>
      <c r="BT49" s="93"/>
      <c r="BV49" s="39"/>
      <c r="BW49" s="93"/>
      <c r="BX49" s="93"/>
      <c r="BY49" s="93"/>
      <c r="BZ49" s="93"/>
      <c r="CA49" s="93"/>
      <c r="CB49" s="39"/>
      <c r="CC49" s="93"/>
      <c r="CD49" s="93"/>
      <c r="CE49" s="93"/>
      <c r="CF49" s="93"/>
      <c r="CH49" s="39"/>
      <c r="CI49" s="93"/>
      <c r="CJ49" s="93"/>
      <c r="CK49" s="93"/>
      <c r="CL49" s="93"/>
      <c r="CM49" s="106"/>
      <c r="CN49" s="39"/>
      <c r="CO49" s="93"/>
      <c r="CP49" s="93"/>
      <c r="CQ49" s="93"/>
      <c r="CR49" s="93"/>
      <c r="CT49" s="39"/>
      <c r="CU49" s="93"/>
      <c r="CV49" s="93"/>
      <c r="CW49" s="93"/>
      <c r="CX49" s="93"/>
      <c r="CY49" s="93"/>
      <c r="CZ49" s="39"/>
      <c r="DA49" s="93"/>
      <c r="DB49" s="93"/>
      <c r="DC49" s="93"/>
      <c r="DD49" s="93"/>
      <c r="DF49" s="39"/>
      <c r="DG49" s="93"/>
      <c r="DH49" s="93"/>
      <c r="DI49" s="93"/>
      <c r="DJ49" s="93"/>
      <c r="DK49" s="106"/>
      <c r="DL49" s="39"/>
      <c r="DM49" s="93"/>
      <c r="DN49" s="93"/>
      <c r="DO49" s="93"/>
      <c r="DP49" s="93"/>
    </row>
    <row r="50" spans="1:120" x14ac:dyDescent="0.2">
      <c r="A50" s="91" t="str">
        <f>name!B3</f>
        <v>All industries</v>
      </c>
      <c r="B50" s="42">
        <f t="shared" si="1"/>
        <v>2.7912372459239387</v>
      </c>
      <c r="C50" s="92">
        <v>4561.2992279926211</v>
      </c>
      <c r="D50" s="92">
        <v>431.97496524334053</v>
      </c>
      <c r="E50" s="92">
        <v>1445.5882710202891</v>
      </c>
      <c r="F50" s="92">
        <f t="shared" si="2"/>
        <v>1877.5632362636297</v>
      </c>
      <c r="G50" s="92"/>
      <c r="H50" s="42">
        <f t="shared" si="3"/>
        <v>2.6517730789267446</v>
      </c>
      <c r="I50" s="92">
        <v>774.77767553257945</v>
      </c>
      <c r="J50" s="92">
        <v>-90.9176985646708</v>
      </c>
      <c r="K50" s="92">
        <v>231.78692033646578</v>
      </c>
      <c r="L50" s="92">
        <f>SUM(J50:K50)</f>
        <v>140.86922177179497</v>
      </c>
      <c r="M50" s="91"/>
      <c r="N50" s="42">
        <f t="shared" si="5"/>
        <v>2.6893242464146816</v>
      </c>
      <c r="O50" s="92">
        <v>1810.6123702397726</v>
      </c>
      <c r="P50" s="92">
        <v>208.84741372398935</v>
      </c>
      <c r="Q50" s="92">
        <v>550.29225403969679</v>
      </c>
      <c r="R50" s="92">
        <f>SUM(P50:Q50)</f>
        <v>759.13966776368613</v>
      </c>
      <c r="S50" s="107"/>
      <c r="T50" s="42">
        <f t="shared" si="7"/>
        <v>2.9376202991175049</v>
      </c>
      <c r="U50" s="92">
        <v>1975.9091822202711</v>
      </c>
      <c r="V50" s="92">
        <v>314.04525008402186</v>
      </c>
      <c r="W50" s="92">
        <v>663.50909664412427</v>
      </c>
      <c r="X50" s="92">
        <f>SUM(V50:W50)</f>
        <v>977.55434672814613</v>
      </c>
      <c r="Y50" s="91" t="str">
        <f>A50</f>
        <v>All industries</v>
      </c>
      <c r="Z50" s="42">
        <f>IF(AA50&gt;0,((1+(AC50/AA50))^(1/($A$101-$A$100))-1)*100,0)</f>
        <v>2.9771972098236787</v>
      </c>
      <c r="AA50" s="92">
        <v>2141.7348734083043</v>
      </c>
      <c r="AB50" s="92">
        <v>328.18012130131888</v>
      </c>
      <c r="AC50" s="92">
        <v>730.21185757939747</v>
      </c>
      <c r="AD50" s="92">
        <f>SUM(AB50:AC50)</f>
        <v>1058.3919788807164</v>
      </c>
      <c r="AE50" s="92"/>
      <c r="AF50" s="42">
        <f>IF(AG50&gt;0,((1+(AI50/AG50))^(1/($A$101-$A$100))-1)*100,0)</f>
        <v>3.0280155732974823</v>
      </c>
      <c r="AG50" s="92">
        <v>114.36183531349347</v>
      </c>
      <c r="AH50" s="92">
        <v>10.806009020856356</v>
      </c>
      <c r="AI50" s="92">
        <v>39.749458273691218</v>
      </c>
      <c r="AJ50" s="92">
        <f>SUM(AH50:AI50)</f>
        <v>50.555467294547576</v>
      </c>
      <c r="AK50" s="91"/>
      <c r="AL50" s="42">
        <f>IF(AM50&gt;0,((1+(AO50/AM50))^(1/($A$101-$A$100))-1)*100,0)</f>
        <v>2.9663353480916088</v>
      </c>
      <c r="AM50" s="92">
        <v>484.03376220781502</v>
      </c>
      <c r="AN50" s="92">
        <v>80.752171418150368</v>
      </c>
      <c r="AO50" s="92">
        <v>164.34415782441963</v>
      </c>
      <c r="AP50" s="92">
        <f>SUM(AN50:AO50)</f>
        <v>245.09632924256999</v>
      </c>
      <c r="AQ50" s="107"/>
      <c r="AR50" s="42">
        <f>IF(AS50&gt;0,((1+(AU50/AS50))^(1/($A$101-$A$100))-1)*100,0)</f>
        <v>2.9768281396108875</v>
      </c>
      <c r="AS50" s="92">
        <v>1543.3392758869961</v>
      </c>
      <c r="AT50" s="92">
        <v>236.62194086231219</v>
      </c>
      <c r="AU50" s="92">
        <v>526.11824148128676</v>
      </c>
      <c r="AV50" s="92">
        <f>SUM(AT50:AU50)</f>
        <v>762.74018234359892</v>
      </c>
      <c r="AW50" s="91" t="str">
        <f>Y50</f>
        <v>All industries</v>
      </c>
      <c r="AX50" s="42">
        <f>IF(AY50&gt;0,((1+(BA50/AY50))^(1/($A$101-$A$100))-1)*100,0)</f>
        <v>2.5960689907792656</v>
      </c>
      <c r="AY50" s="92">
        <v>1169.4910110900296</v>
      </c>
      <c r="AZ50" s="92">
        <v>61.012733866251224</v>
      </c>
      <c r="BA50" s="92">
        <v>341.64688672572964</v>
      </c>
      <c r="BB50" s="92">
        <f>SUM(AZ50:BA50)</f>
        <v>402.65962059198085</v>
      </c>
      <c r="BC50" s="92"/>
      <c r="BD50" s="42">
        <f>IF(BE50&gt;0,((1+(BG50/BE50))^(1/($A$101-$A$100))-1)*100,0)</f>
        <v>2.5108134589674425</v>
      </c>
      <c r="BE50" s="92">
        <v>196.77997170605971</v>
      </c>
      <c r="BF50" s="92">
        <v>-19.19988351079143</v>
      </c>
      <c r="BG50" s="92">
        <v>55.380896948664599</v>
      </c>
      <c r="BH50" s="92">
        <f>SUM(BF50:BG50)</f>
        <v>36.181013437873169</v>
      </c>
      <c r="BI50" s="91"/>
      <c r="BJ50" s="42">
        <f>IF(BK50&gt;0,((1+(BM50/BK50))^(1/($A$101-$A$100))-1)*100,0)</f>
        <v>2.5531077119064882</v>
      </c>
      <c r="BK50" s="92">
        <v>650.12175377402275</v>
      </c>
      <c r="BL50" s="92">
        <v>42.192712487148434</v>
      </c>
      <c r="BM50" s="92">
        <v>186.41100647521165</v>
      </c>
      <c r="BN50" s="92">
        <f>SUM(BL50:BM50)</f>
        <v>228.60371896236009</v>
      </c>
      <c r="BO50" s="107"/>
      <c r="BP50" s="42">
        <f>IF(BQ50&gt;0,((1+(BS50/BQ50))^(1/($A$101-$A$100))-1)*100,0)</f>
        <v>2.7334678665663192</v>
      </c>
      <c r="BQ50" s="92">
        <v>322.58928560994713</v>
      </c>
      <c r="BR50" s="92">
        <v>38.019904889894228</v>
      </c>
      <c r="BS50" s="92">
        <v>99.854983301853494</v>
      </c>
      <c r="BT50" s="92">
        <f>SUM(BR50:BS50)</f>
        <v>137.87488819174771</v>
      </c>
      <c r="BU50" s="91" t="str">
        <f>AW50</f>
        <v>All industries</v>
      </c>
      <c r="BV50" s="42">
        <f>IF(BW50&gt;0,((1+(BY50/BW50))^(1/($A$101-$A$100))-1)*100,0)</f>
        <v>2.5889208699682698</v>
      </c>
      <c r="BW50" s="92">
        <v>786.26148565798121</v>
      </c>
      <c r="BX50" s="92">
        <v>-16.768227409449015</v>
      </c>
      <c r="BY50" s="92">
        <v>228.98528730973825</v>
      </c>
      <c r="BZ50" s="92">
        <f>SUM(BX50:BY50)</f>
        <v>212.21705990028923</v>
      </c>
      <c r="CA50" s="92"/>
      <c r="CB50" s="42">
        <f>IF(CC50&gt;0,((1+(CE50/CC50))^(1/($A$101-$A$100))-1)*100,0)</f>
        <v>2.5278948366694864</v>
      </c>
      <c r="CC50" s="92">
        <v>257.91842111045776</v>
      </c>
      <c r="CD50" s="92">
        <v>-52.179148361626908</v>
      </c>
      <c r="CE50" s="92">
        <v>73.138570554183204</v>
      </c>
      <c r="CF50" s="92">
        <f>SUM(CD50:CE50)</f>
        <v>20.959422192556296</v>
      </c>
      <c r="CG50" s="91"/>
      <c r="CH50" s="42">
        <f>IF(CI50&gt;0,((1+(CK50/CI50))^(1/($A$101-$A$100))-1)*100,0)</f>
        <v>2.5655949055339189</v>
      </c>
      <c r="CI50" s="92">
        <v>462.50112579230256</v>
      </c>
      <c r="CJ50" s="92">
        <v>18.263082416840735</v>
      </c>
      <c r="CK50" s="92">
        <v>133.33911166207648</v>
      </c>
      <c r="CL50" s="92">
        <f>SUM(CJ50:CK50)</f>
        <v>151.60219407891722</v>
      </c>
      <c r="CM50" s="107"/>
      <c r="CN50" s="42">
        <f>IF(CO50&gt;0,((1+(CQ50/CO50))^(1/($A$101-$A$100))-1)*100,0)</f>
        <v>2.9840981402702971</v>
      </c>
      <c r="CO50" s="92">
        <v>65.841938755220539</v>
      </c>
      <c r="CP50" s="92">
        <v>17.147838535337179</v>
      </c>
      <c r="CQ50" s="92">
        <v>22.507605093478684</v>
      </c>
      <c r="CR50" s="92">
        <f>SUM(CP50:CQ50)</f>
        <v>39.65544362881586</v>
      </c>
      <c r="CS50" s="91" t="str">
        <f>BU50</f>
        <v>All industries</v>
      </c>
      <c r="CT50" s="42">
        <f>IF(CU50&gt;0,((1+(CW50/CU50))^(1/($A$101-$A$100))-1)*100,0)</f>
        <v>2.7533233225370157</v>
      </c>
      <c r="CU50" s="92">
        <v>463.81185783630696</v>
      </c>
      <c r="CV50" s="92">
        <v>59.550337485219423</v>
      </c>
      <c r="CW50" s="92">
        <v>144.74423940542175</v>
      </c>
      <c r="CX50" s="92">
        <f>SUM(CV50:CW50)</f>
        <v>204.29457689064117</v>
      </c>
      <c r="CY50" s="92"/>
      <c r="CZ50" s="42">
        <f>IF(DA50&gt;0,((1+(DC50/DA50))^(1/($A$101-$A$100))-1)*100,0)</f>
        <v>2.7273559755584653</v>
      </c>
      <c r="DA50" s="92">
        <v>205.71744740256855</v>
      </c>
      <c r="DB50" s="92">
        <v>-30.344675713108767</v>
      </c>
      <c r="DC50" s="92">
        <v>63.517994559926827</v>
      </c>
      <c r="DD50" s="92">
        <f>SUM(DB50:DC50)</f>
        <v>33.173318846818063</v>
      </c>
      <c r="DE50" s="91"/>
      <c r="DF50" s="42">
        <f>IF(DG50&gt;0,((1+(DI50/DG50))^(1/($A$101-$A$100))-1)*100,0)</f>
        <v>2.7323553670193235</v>
      </c>
      <c r="DG50" s="92">
        <v>213.95572846563186</v>
      </c>
      <c r="DH50" s="92">
        <v>67.639447401849822</v>
      </c>
      <c r="DI50" s="92">
        <v>66.197978077989319</v>
      </c>
      <c r="DJ50" s="92">
        <f>SUM(DH50:DI50)</f>
        <v>133.83742547983914</v>
      </c>
      <c r="DK50" s="107"/>
      <c r="DL50" s="42">
        <f>IF(DM50&gt;0,((1+(DO50/DM50))^(1/($A$101-$A$100))-1)*100,0)</f>
        <v>2.9736201868302725</v>
      </c>
      <c r="DM50" s="92">
        <v>44.13868196810671</v>
      </c>
      <c r="DN50" s="92">
        <v>22.25556579647839</v>
      </c>
      <c r="DO50" s="92">
        <v>15.028266767505601</v>
      </c>
      <c r="DP50" s="92">
        <f>SUM(DN50:DO50)</f>
        <v>37.283832563983992</v>
      </c>
    </row>
    <row r="51" spans="1:120" x14ac:dyDescent="0.2">
      <c r="B51" s="93"/>
      <c r="C51" s="93"/>
      <c r="D51" s="93"/>
      <c r="E51" s="93"/>
      <c r="F51" s="93"/>
      <c r="G51" s="93"/>
      <c r="Z51" s="93"/>
      <c r="AA51" s="93"/>
      <c r="AB51" s="93"/>
      <c r="AC51" s="93"/>
      <c r="AD51" s="93"/>
      <c r="AE51" s="93"/>
      <c r="AX51" s="93"/>
      <c r="AY51" s="93"/>
      <c r="AZ51" s="93"/>
      <c r="BA51" s="93"/>
      <c r="BB51" s="93"/>
      <c r="BC51" s="93"/>
      <c r="BV51" s="93"/>
      <c r="BW51" s="93"/>
      <c r="BX51" s="93"/>
      <c r="BY51" s="93"/>
      <c r="BZ51" s="93"/>
      <c r="CA51" s="93"/>
      <c r="CT51" s="93"/>
      <c r="CU51" s="93"/>
      <c r="CV51" s="93"/>
      <c r="CW51" s="93"/>
      <c r="CX51" s="93"/>
      <c r="CY51" s="93"/>
    </row>
    <row r="52" spans="1:120" x14ac:dyDescent="0.2">
      <c r="A52" s="90" t="str">
        <f ca="1">CELL("filename")</f>
        <v>M:\IE\Projects\Nuffield via NFER AI and automation\Data\Results\Workbooks\LO\[LO_MainTables.Main.xlsm]Manager</v>
      </c>
      <c r="B52" s="93"/>
      <c r="C52" s="93"/>
      <c r="D52" s="93"/>
      <c r="E52" s="93"/>
      <c r="F52" s="93"/>
      <c r="G52" s="93"/>
      <c r="Y52" s="90" t="str">
        <f ca="1">CELL("filename")</f>
        <v>M:\IE\Projects\Nuffield via NFER AI and automation\Data\Results\Workbooks\LO\[LO_MainTables.Main.xlsm]Manager</v>
      </c>
      <c r="Z52" s="93"/>
      <c r="AA52" s="93"/>
      <c r="AB52" s="93"/>
      <c r="AC52" s="93"/>
      <c r="AD52" s="93"/>
      <c r="AE52" s="93"/>
      <c r="AW52" s="90" t="str">
        <f ca="1">CELL("filename")</f>
        <v>M:\IE\Projects\Nuffield via NFER AI and automation\Data\Results\Workbooks\LO\[LO_MainTables.Main.xlsm]Manager</v>
      </c>
      <c r="AX52" s="93"/>
      <c r="AY52" s="93"/>
      <c r="AZ52" s="93"/>
      <c r="BA52" s="93"/>
      <c r="BB52" s="93"/>
      <c r="BC52" s="93"/>
      <c r="BU52" s="90" t="str">
        <f ca="1">CELL("filename")</f>
        <v>M:\IE\Projects\Nuffield via NFER AI and automation\Data\Results\Workbooks\LO\[LO_MainTables.Main.xlsm]Manager</v>
      </c>
      <c r="BV52" s="93"/>
      <c r="BW52" s="93"/>
      <c r="BX52" s="93"/>
      <c r="BY52" s="93"/>
      <c r="BZ52" s="93"/>
      <c r="CA52" s="93"/>
      <c r="CS52" s="90" t="str">
        <f ca="1">CELL("filename")</f>
        <v>M:\IE\Projects\Nuffield via NFER AI and automation\Data\Results\Workbooks\LO\[LO_MainTables.Main.xlsm]Manager</v>
      </c>
      <c r="CT52" s="93"/>
      <c r="CU52" s="93"/>
      <c r="CV52" s="93"/>
      <c r="CW52" s="93"/>
      <c r="CX52" s="93"/>
      <c r="CY52" s="93"/>
    </row>
    <row r="53" spans="1:120" ht="15.75" x14ac:dyDescent="0.25">
      <c r="A53" s="18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8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8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8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8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1"/>
      <c r="B55" s="91"/>
      <c r="C55" s="91"/>
      <c r="D55" s="91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115" t="str">
        <f>$X$3</f>
        <v>thousands</v>
      </c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115" t="str">
        <f>$X$3</f>
        <v>thousands</v>
      </c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115" t="str">
        <f>$X$3</f>
        <v>thousands</v>
      </c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115" t="str">
        <f>$X$3</f>
        <v>thousands</v>
      </c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115" t="str">
        <f>$X$3</f>
        <v>thousands</v>
      </c>
    </row>
    <row r="56" spans="1:120" x14ac:dyDescent="0.2">
      <c r="B56" s="381" t="str">
        <f>B4</f>
        <v>All qualifications</v>
      </c>
      <c r="C56" s="381"/>
      <c r="D56" s="381"/>
      <c r="E56" s="381"/>
      <c r="F56" s="381"/>
      <c r="G56" s="113"/>
      <c r="H56" s="381" t="str">
        <f>H4</f>
        <v>RQF8 Doctorate</v>
      </c>
      <c r="I56" s="381"/>
      <c r="J56" s="381"/>
      <c r="K56" s="381"/>
      <c r="L56" s="381"/>
      <c r="M56" s="113"/>
      <c r="N56" s="382" t="str">
        <f>N4</f>
        <v>RQF7 Other higher degree</v>
      </c>
      <c r="O56" s="382"/>
      <c r="P56" s="382"/>
      <c r="Q56" s="382"/>
      <c r="R56" s="382"/>
      <c r="S56" s="110"/>
      <c r="T56" s="382" t="str">
        <f>T4</f>
        <v>RQF6 First degree</v>
      </c>
      <c r="U56" s="382"/>
      <c r="V56" s="382"/>
      <c r="W56" s="382"/>
      <c r="X56" s="382"/>
      <c r="Z56" s="381" t="str">
        <f>Z4</f>
        <v>All qualifications</v>
      </c>
      <c r="AA56" s="381"/>
      <c r="AB56" s="381"/>
      <c r="AC56" s="381"/>
      <c r="AD56" s="381"/>
      <c r="AE56" s="113"/>
      <c r="AF56" s="381" t="str">
        <f>AF4</f>
        <v>RQF8 Doctorate</v>
      </c>
      <c r="AG56" s="381"/>
      <c r="AH56" s="381"/>
      <c r="AI56" s="381"/>
      <c r="AJ56" s="381"/>
      <c r="AK56" s="113"/>
      <c r="AL56" s="382" t="str">
        <f>AL4</f>
        <v>RQF7 Other higher degree</v>
      </c>
      <c r="AM56" s="382"/>
      <c r="AN56" s="382"/>
      <c r="AO56" s="382"/>
      <c r="AP56" s="382"/>
      <c r="AQ56" s="110"/>
      <c r="AR56" s="382" t="str">
        <f>AR4</f>
        <v>RQF6 First degree</v>
      </c>
      <c r="AS56" s="382"/>
      <c r="AT56" s="382"/>
      <c r="AU56" s="382"/>
      <c r="AV56" s="382"/>
      <c r="AX56" s="381" t="str">
        <f>AX4</f>
        <v>All qualifications</v>
      </c>
      <c r="AY56" s="381"/>
      <c r="AZ56" s="381"/>
      <c r="BA56" s="381"/>
      <c r="BB56" s="381"/>
      <c r="BC56" s="113"/>
      <c r="BD56" s="381" t="str">
        <f>BD4</f>
        <v>RQF8 Doctorate</v>
      </c>
      <c r="BE56" s="381"/>
      <c r="BF56" s="381"/>
      <c r="BG56" s="381"/>
      <c r="BH56" s="381"/>
      <c r="BI56" s="113"/>
      <c r="BJ56" s="382" t="str">
        <f>BJ4</f>
        <v>RQF7 Other higher degree</v>
      </c>
      <c r="BK56" s="382"/>
      <c r="BL56" s="382"/>
      <c r="BM56" s="382"/>
      <c r="BN56" s="382"/>
      <c r="BO56" s="110"/>
      <c r="BP56" s="382" t="str">
        <f>BP4</f>
        <v>RQF6 First degree</v>
      </c>
      <c r="BQ56" s="382"/>
      <c r="BR56" s="382"/>
      <c r="BS56" s="382"/>
      <c r="BT56" s="382"/>
      <c r="BV56" s="381" t="str">
        <f>BV4</f>
        <v>All qualifications</v>
      </c>
      <c r="BW56" s="381"/>
      <c r="BX56" s="381"/>
      <c r="BY56" s="381"/>
      <c r="BZ56" s="381"/>
      <c r="CA56" s="113"/>
      <c r="CB56" s="381" t="str">
        <f>CB4</f>
        <v>RQF8 Doctorate</v>
      </c>
      <c r="CC56" s="381"/>
      <c r="CD56" s="381"/>
      <c r="CE56" s="381"/>
      <c r="CF56" s="381"/>
      <c r="CG56" s="113"/>
      <c r="CH56" s="382" t="str">
        <f>CH4</f>
        <v>RQF7 Other higher degree</v>
      </c>
      <c r="CI56" s="382"/>
      <c r="CJ56" s="382"/>
      <c r="CK56" s="382"/>
      <c r="CL56" s="382"/>
      <c r="CM56" s="110"/>
      <c r="CN56" s="382" t="str">
        <f>CN4</f>
        <v>RQF6 First degree</v>
      </c>
      <c r="CO56" s="382"/>
      <c r="CP56" s="382"/>
      <c r="CQ56" s="382"/>
      <c r="CR56" s="382"/>
      <c r="CT56" s="381" t="str">
        <f>CT4</f>
        <v>All qualifications</v>
      </c>
      <c r="CU56" s="381"/>
      <c r="CV56" s="381"/>
      <c r="CW56" s="381"/>
      <c r="CX56" s="381"/>
      <c r="CY56" s="113"/>
      <c r="CZ56" s="381" t="str">
        <f>CZ4</f>
        <v>RQF8 Doctorate</v>
      </c>
      <c r="DA56" s="381"/>
      <c r="DB56" s="381"/>
      <c r="DC56" s="381"/>
      <c r="DD56" s="381"/>
      <c r="DE56" s="113"/>
      <c r="DF56" s="382" t="str">
        <f>DF4</f>
        <v>RQF7 Other higher degree</v>
      </c>
      <c r="DG56" s="382"/>
      <c r="DH56" s="382"/>
      <c r="DI56" s="382"/>
      <c r="DJ56" s="382"/>
      <c r="DK56" s="110"/>
      <c r="DL56" s="382" t="str">
        <f>DL4</f>
        <v>RQF6 First degree</v>
      </c>
      <c r="DM56" s="382"/>
      <c r="DN56" s="382"/>
      <c r="DO56" s="382"/>
      <c r="DP56" s="382"/>
    </row>
    <row r="58" spans="1:120" ht="38.25" x14ac:dyDescent="0.2">
      <c r="A58" s="112"/>
      <c r="B58" s="109" t="str">
        <f>B6</f>
        <v>RD p.a%</v>
      </c>
      <c r="C58" s="109" t="str">
        <f>C6</f>
        <v>2015 Level</v>
      </c>
      <c r="D58" s="109" t="str">
        <f>D6</f>
        <v>Net Change</v>
      </c>
      <c r="E58" s="109" t="str">
        <f>E6</f>
        <v>Replace-ment Demand</v>
      </c>
      <c r="F58" s="109" t="str">
        <f>F6</f>
        <v>Total Require-ment</v>
      </c>
      <c r="G58" s="108"/>
      <c r="H58" s="104" t="str">
        <f>B58</f>
        <v>RD p.a%</v>
      </c>
      <c r="I58" s="104" t="str">
        <f>C58</f>
        <v>2015 Level</v>
      </c>
      <c r="J58" s="104" t="str">
        <f>D58</f>
        <v>Net Change</v>
      </c>
      <c r="K58" s="104" t="str">
        <f>E58</f>
        <v>Replace-ment Demand</v>
      </c>
      <c r="L58" s="104" t="str">
        <f>F58</f>
        <v>Total Require-ment</v>
      </c>
      <c r="M58" s="103"/>
      <c r="N58" s="105" t="str">
        <f>H58</f>
        <v>RD p.a%</v>
      </c>
      <c r="O58" s="105" t="str">
        <f>I58</f>
        <v>2015 Level</v>
      </c>
      <c r="P58" s="105" t="str">
        <f>J58</f>
        <v>Net Change</v>
      </c>
      <c r="Q58" s="105" t="str">
        <f>K58</f>
        <v>Replace-ment Demand</v>
      </c>
      <c r="R58" s="105" t="str">
        <f>L58</f>
        <v>Total Require-ment</v>
      </c>
      <c r="S58" s="103"/>
      <c r="T58" s="105" t="str">
        <f>N58</f>
        <v>RD p.a%</v>
      </c>
      <c r="U58" s="105" t="str">
        <f>O58</f>
        <v>2015 Level</v>
      </c>
      <c r="V58" s="105" t="str">
        <f>P58</f>
        <v>Net Change</v>
      </c>
      <c r="W58" s="105" t="str">
        <f>Q58</f>
        <v>Replace-ment Demand</v>
      </c>
      <c r="X58" s="105" t="str">
        <f>R58</f>
        <v>Total Require-ment</v>
      </c>
      <c r="Y58" s="112"/>
      <c r="Z58" s="109" t="str">
        <f>Z6</f>
        <v>RD p.a%</v>
      </c>
      <c r="AA58" s="109" t="str">
        <f>AA6</f>
        <v>2015 Level</v>
      </c>
      <c r="AB58" s="109" t="str">
        <f>AB6</f>
        <v>Net Change</v>
      </c>
      <c r="AC58" s="109" t="str">
        <f>AC6</f>
        <v>Replace-ment Demand</v>
      </c>
      <c r="AD58" s="109" t="str">
        <f>AD6</f>
        <v>Total Require-ment</v>
      </c>
      <c r="AE58" s="108"/>
      <c r="AF58" s="104" t="str">
        <f>Z58</f>
        <v>RD p.a%</v>
      </c>
      <c r="AG58" s="104" t="str">
        <f>AA58</f>
        <v>2015 Level</v>
      </c>
      <c r="AH58" s="104" t="str">
        <f>AB58</f>
        <v>Net Change</v>
      </c>
      <c r="AI58" s="104" t="str">
        <f>AC58</f>
        <v>Replace-ment Demand</v>
      </c>
      <c r="AJ58" s="104" t="str">
        <f>AD58</f>
        <v>Total Require-ment</v>
      </c>
      <c r="AK58" s="103"/>
      <c r="AL58" s="105" t="str">
        <f>AF58</f>
        <v>RD p.a%</v>
      </c>
      <c r="AM58" s="105" t="str">
        <f>AG58</f>
        <v>2015 Level</v>
      </c>
      <c r="AN58" s="105" t="str">
        <f>AH58</f>
        <v>Net Change</v>
      </c>
      <c r="AO58" s="105" t="str">
        <f>AI58</f>
        <v>Replace-ment Demand</v>
      </c>
      <c r="AP58" s="105" t="str">
        <f>AJ58</f>
        <v>Total Require-ment</v>
      </c>
      <c r="AQ58" s="103"/>
      <c r="AR58" s="105" t="str">
        <f>AL58</f>
        <v>RD p.a%</v>
      </c>
      <c r="AS58" s="105" t="str">
        <f>AM58</f>
        <v>2015 Level</v>
      </c>
      <c r="AT58" s="105" t="str">
        <f>AN58</f>
        <v>Net Change</v>
      </c>
      <c r="AU58" s="105" t="str">
        <f>AO58</f>
        <v>Replace-ment Demand</v>
      </c>
      <c r="AV58" s="105" t="str">
        <f>AP58</f>
        <v>Total Require-ment</v>
      </c>
      <c r="AW58" s="112"/>
      <c r="AX58" s="109" t="str">
        <f>AX6</f>
        <v>RD p.a%</v>
      </c>
      <c r="AY58" s="109" t="str">
        <f>AY6</f>
        <v>2015 Level</v>
      </c>
      <c r="AZ58" s="109" t="str">
        <f>AZ6</f>
        <v>Net Change</v>
      </c>
      <c r="BA58" s="109" t="str">
        <f>BA6</f>
        <v>Replace-ment Demand</v>
      </c>
      <c r="BB58" s="109" t="str">
        <f>BB6</f>
        <v>Total Require-ment</v>
      </c>
      <c r="BC58" s="108"/>
      <c r="BD58" s="104" t="str">
        <f>AX58</f>
        <v>RD p.a%</v>
      </c>
      <c r="BE58" s="104" t="str">
        <f>AY58</f>
        <v>2015 Level</v>
      </c>
      <c r="BF58" s="104" t="str">
        <f>AZ58</f>
        <v>Net Change</v>
      </c>
      <c r="BG58" s="104" t="str">
        <f>BA58</f>
        <v>Replace-ment Demand</v>
      </c>
      <c r="BH58" s="104" t="str">
        <f>BB58</f>
        <v>Total Require-ment</v>
      </c>
      <c r="BI58" s="103"/>
      <c r="BJ58" s="105" t="str">
        <f>BD58</f>
        <v>RD p.a%</v>
      </c>
      <c r="BK58" s="105" t="str">
        <f>BE58</f>
        <v>2015 Level</v>
      </c>
      <c r="BL58" s="105" t="str">
        <f>BF58</f>
        <v>Net Change</v>
      </c>
      <c r="BM58" s="105" t="str">
        <f>BG58</f>
        <v>Replace-ment Demand</v>
      </c>
      <c r="BN58" s="105" t="str">
        <f>BH58</f>
        <v>Total Require-ment</v>
      </c>
      <c r="BO58" s="103"/>
      <c r="BP58" s="105" t="str">
        <f>BJ58</f>
        <v>RD p.a%</v>
      </c>
      <c r="BQ58" s="105" t="str">
        <f>BK58</f>
        <v>2015 Level</v>
      </c>
      <c r="BR58" s="105" t="str">
        <f>BL58</f>
        <v>Net Change</v>
      </c>
      <c r="BS58" s="105" t="str">
        <f>BM58</f>
        <v>Replace-ment Demand</v>
      </c>
      <c r="BT58" s="105" t="str">
        <f>BN58</f>
        <v>Total Require-ment</v>
      </c>
      <c r="BU58" s="112"/>
      <c r="BV58" s="109" t="str">
        <f>BV6</f>
        <v>RD p.a%</v>
      </c>
      <c r="BW58" s="109" t="str">
        <f>BW6</f>
        <v>2015 Level</v>
      </c>
      <c r="BX58" s="109" t="str">
        <f>BX6</f>
        <v>Net Change</v>
      </c>
      <c r="BY58" s="109" t="str">
        <f>BY6</f>
        <v>Replace-ment Demand</v>
      </c>
      <c r="BZ58" s="109" t="str">
        <f>BZ6</f>
        <v>Total Require-ment</v>
      </c>
      <c r="CA58" s="108"/>
      <c r="CB58" s="104" t="str">
        <f>BV58</f>
        <v>RD p.a%</v>
      </c>
      <c r="CC58" s="104" t="str">
        <f>BW58</f>
        <v>2015 Level</v>
      </c>
      <c r="CD58" s="104" t="str">
        <f>BX58</f>
        <v>Net Change</v>
      </c>
      <c r="CE58" s="104" t="str">
        <f>BY58</f>
        <v>Replace-ment Demand</v>
      </c>
      <c r="CF58" s="104" t="str">
        <f>BZ58</f>
        <v>Total Require-ment</v>
      </c>
      <c r="CG58" s="103"/>
      <c r="CH58" s="105" t="str">
        <f>CB58</f>
        <v>RD p.a%</v>
      </c>
      <c r="CI58" s="105" t="str">
        <f>CC58</f>
        <v>2015 Level</v>
      </c>
      <c r="CJ58" s="105" t="str">
        <f>CD58</f>
        <v>Net Change</v>
      </c>
      <c r="CK58" s="105" t="str">
        <f>CE58</f>
        <v>Replace-ment Demand</v>
      </c>
      <c r="CL58" s="105" t="str">
        <f>CF58</f>
        <v>Total Require-ment</v>
      </c>
      <c r="CM58" s="103"/>
      <c r="CN58" s="105" t="str">
        <f>CH58</f>
        <v>RD p.a%</v>
      </c>
      <c r="CO58" s="105" t="str">
        <f>CI58</f>
        <v>2015 Level</v>
      </c>
      <c r="CP58" s="105" t="str">
        <f>CJ58</f>
        <v>Net Change</v>
      </c>
      <c r="CQ58" s="105" t="str">
        <f>CK58</f>
        <v>Replace-ment Demand</v>
      </c>
      <c r="CR58" s="105" t="str">
        <f>CL58</f>
        <v>Total Require-ment</v>
      </c>
      <c r="CS58" s="112"/>
      <c r="CT58" s="109" t="str">
        <f>CT6</f>
        <v>RD p.a%</v>
      </c>
      <c r="CU58" s="109" t="str">
        <f>CU6</f>
        <v>2015 Level</v>
      </c>
      <c r="CV58" s="109" t="str">
        <f>CV6</f>
        <v>Net Change</v>
      </c>
      <c r="CW58" s="109" t="str">
        <f>CW6</f>
        <v>Replace-ment Demand</v>
      </c>
      <c r="CX58" s="109" t="str">
        <f>CX6</f>
        <v>Total Require-ment</v>
      </c>
      <c r="CY58" s="108"/>
      <c r="CZ58" s="104" t="str">
        <f>CT58</f>
        <v>RD p.a%</v>
      </c>
      <c r="DA58" s="104" t="str">
        <f>CU58</f>
        <v>2015 Level</v>
      </c>
      <c r="DB58" s="104" t="str">
        <f>CV58</f>
        <v>Net Change</v>
      </c>
      <c r="DC58" s="104" t="str">
        <f>CW58</f>
        <v>Replace-ment Demand</v>
      </c>
      <c r="DD58" s="104" t="str">
        <f>CX58</f>
        <v>Total Require-ment</v>
      </c>
      <c r="DE58" s="103"/>
      <c r="DF58" s="105" t="str">
        <f>CZ58</f>
        <v>RD p.a%</v>
      </c>
      <c r="DG58" s="105" t="str">
        <f>DA58</f>
        <v>2015 Level</v>
      </c>
      <c r="DH58" s="105" t="str">
        <f>DB58</f>
        <v>Net Change</v>
      </c>
      <c r="DI58" s="105" t="str">
        <f>DC58</f>
        <v>Replace-ment Demand</v>
      </c>
      <c r="DJ58" s="105" t="str">
        <f>DD58</f>
        <v>Total Require-ment</v>
      </c>
      <c r="DK58" s="103"/>
      <c r="DL58" s="105" t="str">
        <f>DF58</f>
        <v>RD p.a%</v>
      </c>
      <c r="DM58" s="105" t="str">
        <f>DG58</f>
        <v>2015 Level</v>
      </c>
      <c r="DN58" s="105" t="str">
        <f>DH58</f>
        <v>Net Change</v>
      </c>
      <c r="DO58" s="105" t="str">
        <f>DI58</f>
        <v>Replace-ment Demand</v>
      </c>
      <c r="DP58" s="105" t="str">
        <f>DJ58</f>
        <v>Total Require-ment</v>
      </c>
    </row>
    <row r="60" spans="1:120" x14ac:dyDescent="0.2">
      <c r="A60" s="90" t="e">
        <f>name!#REF!</f>
        <v>#REF!</v>
      </c>
      <c r="B60" s="39">
        <f t="shared" ref="B60:B77" si="44">IF(C60&gt;0,((1+(E60/C60))^(1/($A$101-$A$100))-1)*100,0)</f>
        <v>3.0200371662758352</v>
      </c>
      <c r="C60" s="93">
        <f t="array" ref="C60:C75">MMULT(aggregation!$B$28:$AP$33,C8:C48)</f>
        <v>366.4282299047502</v>
      </c>
      <c r="D60" s="93">
        <f t="array" ref="D60:D75">MMULT(aggregation!$B$28:$AP$33,D8:D48)</f>
        <v>12.375876953571559</v>
      </c>
      <c r="E60" s="93">
        <f t="array" ref="E60:E75">MMULT(aggregation!$B$28:$AP$33,E8:E48)</f>
        <v>126.97949758360076</v>
      </c>
      <c r="F60" s="93">
        <f t="array" ref="F60:F75">MMULT(aggregation!$B$28:$AP$33,F8:F48)</f>
        <v>139.35537453717231</v>
      </c>
      <c r="H60" s="39">
        <f t="shared" ref="H60:H77" si="45">IF(I60&gt;0,((1+(K60/I60))^(1/($A$101-$A$100))-1)*100,0)</f>
        <v>2.9285612180755871</v>
      </c>
      <c r="I60" s="93">
        <f t="array" ref="I60:I75">MMULT(aggregation!$B$28:$AP$33,I8:I48)</f>
        <v>97.376228083615871</v>
      </c>
      <c r="J60" s="93">
        <f t="array" ref="J60:J75">MMULT(aggregation!$B$28:$AP$33,J8:J48)</f>
        <v>-20.134418454551835</v>
      </c>
      <c r="K60" s="93">
        <f t="array" ref="K60:K75">MMULT(aggregation!$B$28:$AP$33,K8:K48)</f>
        <v>32.584449941883307</v>
      </c>
      <c r="L60" s="93">
        <f t="array" ref="L60:L75">MMULT(aggregation!$B$28:$AP$33,L8:L48)</f>
        <v>12.450031487331474</v>
      </c>
      <c r="N60" s="39">
        <f t="shared" ref="N60:N77" si="46">IF(O60&gt;0,((1+(Q60/O60))^(1/($A$101-$A$100))-1)*100,0)</f>
        <v>3.0078818163740584</v>
      </c>
      <c r="O60" s="93">
        <f t="array" ref="O60:O75">MMULT(aggregation!$B$28:$AP$33,O8:O48)</f>
        <v>182.91528670445331</v>
      </c>
      <c r="P60" s="93">
        <f t="array" ref="P60:P75">MMULT(aggregation!$B$28:$AP$33,P8:P48)</f>
        <v>11.860906329989675</v>
      </c>
      <c r="Q60" s="93">
        <f t="array" ref="Q60:Q75">MMULT(aggregation!$B$28:$AP$33,Q8:Q48)</f>
        <v>63.095737682523136</v>
      </c>
      <c r="R60" s="93">
        <f t="array" ref="R60:R75">MMULT(aggregation!$B$28:$AP$33,R8:R48)</f>
        <v>74.956644012512811</v>
      </c>
      <c r="S60" s="93"/>
      <c r="T60" s="39">
        <f t="shared" ref="T60:T77" si="47">IF(U60&gt;0,((1+(W60/U60))^(1/($A$101-$A$100))-1)*100,0)</f>
        <v>3.1481168893008116</v>
      </c>
      <c r="U60" s="93">
        <f t="array" ref="U60:U75">MMULT(aggregation!$B$28:$AP$33,U8:U48)</f>
        <v>86.136715116681074</v>
      </c>
      <c r="V60" s="93">
        <f t="array" ref="V60:V75">MMULT(aggregation!$B$28:$AP$33,V8:V48)</f>
        <v>20.649389078133723</v>
      </c>
      <c r="W60" s="93">
        <f t="array" ref="W60:W75">MMULT(aggregation!$B$28:$AP$33,W8:W48)</f>
        <v>31.299309959194293</v>
      </c>
      <c r="X60" s="93">
        <f t="array" ref="X60:X75">MMULT(aggregation!$B$28:$AP$33,X8:X48)</f>
        <v>51.948699037328012</v>
      </c>
      <c r="Y60" s="90" t="e">
        <f>A60</f>
        <v>#REF!</v>
      </c>
      <c r="Z60" s="39">
        <f t="shared" ref="Z60:Z75" si="48">IF(AA60&gt;0,((1+(AC60/AA60))^(1/($A$101-$A$100))-1)*100,0)</f>
        <v>3.4510693323820618</v>
      </c>
      <c r="AA60" s="93">
        <f t="array" ref="AA60:AA75">MMULT(aggregation!$B$28:$AP$33,AA8:AA48)</f>
        <v>109.40097762183721</v>
      </c>
      <c r="AB60" s="93">
        <f t="array" ref="AB60:AB75">MMULT(aggregation!$B$28:$AP$33,AB8:AB48)</f>
        <v>9.4111962426802158</v>
      </c>
      <c r="AC60" s="93">
        <f t="array" ref="AC60:AC75">MMULT(aggregation!$B$28:$AP$33,AC8:AC48)</f>
        <v>44.19188844178916</v>
      </c>
      <c r="AD60" s="93">
        <f t="array" ref="AD60:AD75">MMULT(aggregation!$B$28:$AP$33,AD8:AD48)</f>
        <v>53.603084684469373</v>
      </c>
      <c r="AF60" s="39">
        <f t="shared" ref="AF60:AF75" si="49">IF(AG60&gt;0,((1+(AI60/AG60))^(1/($A$101-$A$100))-1)*100,0)</f>
        <v>3.8042706160036355</v>
      </c>
      <c r="AG60" s="93">
        <f t="array" ref="AG60:AG75">MMULT(aggregation!$B$28:$AP$33,AG8:AG48)</f>
        <v>13.890583179106276</v>
      </c>
      <c r="AH60" s="93">
        <f t="array" ref="AH60:AH75">MMULT(aggregation!$B$28:$AP$33,AH8:AH48)</f>
        <v>-3.9765127034124319</v>
      </c>
      <c r="AI60" s="93">
        <f t="array" ref="AI60:AI75">MMULT(aggregation!$B$28:$AP$33,AI8:AI48)</f>
        <v>6.2871647138905322</v>
      </c>
      <c r="AJ60" s="93">
        <f t="array" ref="AJ60:AJ75">MMULT(aggregation!$B$28:$AP$33,AJ8:AJ48)</f>
        <v>2.3106520104781003</v>
      </c>
      <c r="AL60" s="39">
        <f t="shared" ref="AL60:AL75" si="50">IF(AM60&gt;0,((1+(AO60/AM60))^(1/($A$101-$A$100))-1)*100,0)</f>
        <v>3.5604682409842825</v>
      </c>
      <c r="AM60" s="93">
        <f t="array" ref="AM60:AM75">MMULT(aggregation!$B$28:$AP$33,AM8:AM48)</f>
        <v>46.925666714529029</v>
      </c>
      <c r="AN60" s="93">
        <f t="array" ref="AN60:AN75">MMULT(aggregation!$B$28:$AP$33,AN8:AN48)</f>
        <v>3.8599342908012759</v>
      </c>
      <c r="AO60" s="93">
        <f t="array" ref="AO60:AO75">MMULT(aggregation!$B$28:$AP$33,AO8:AO48)</f>
        <v>19.655362728522867</v>
      </c>
      <c r="AP60" s="93">
        <f t="array" ref="AP60:AP75">MMULT(aggregation!$B$28:$AP$33,AP8:AP48)</f>
        <v>23.515297019324144</v>
      </c>
      <c r="AQ60" s="93"/>
      <c r="AR60" s="39">
        <f t="shared" ref="AR60:AR75" si="51">IF(AS60&gt;0,((1+(AU60/AS60))^(1/($A$101-$A$100))-1)*100,0)</f>
        <v>3.2404350006200788</v>
      </c>
      <c r="AS60" s="93">
        <f t="array" ref="AS60:AS75">MMULT(aggregation!$B$28:$AP$33,AS8:AS48)</f>
        <v>48.584727728201912</v>
      </c>
      <c r="AT60" s="93">
        <f t="array" ref="AT60:AT75">MMULT(aggregation!$B$28:$AP$33,AT8:AT48)</f>
        <v>9.5277746552913687</v>
      </c>
      <c r="AU60" s="93">
        <f t="array" ref="AU60:AU75">MMULT(aggregation!$B$28:$AP$33,AU8:AU48)</f>
        <v>18.249360999375764</v>
      </c>
      <c r="AV60" s="93">
        <f t="array" ref="AV60:AV75">MMULT(aggregation!$B$28:$AP$33,AV8:AV48)</f>
        <v>27.777135654667134</v>
      </c>
      <c r="AW60" s="90" t="e">
        <f>Y60</f>
        <v>#REF!</v>
      </c>
      <c r="AX60" s="39">
        <f t="shared" ref="AX60:AX75" si="52">IF(AY60&gt;0,((1+(BA60/AY60))^(1/($A$101-$A$100))-1)*100,0)</f>
        <v>2.5964738060617387</v>
      </c>
      <c r="AY60" s="93">
        <f t="array" ref="AY60:AY75">MMULT(aggregation!$B$28:$AP$33,AY8:AY48)</f>
        <v>133.76328434115098</v>
      </c>
      <c r="AZ60" s="93">
        <f t="array" ref="AZ60:AZ75">MMULT(aggregation!$B$28:$AP$33,AZ8:AZ48)</f>
        <v>2.9837836487827287</v>
      </c>
      <c r="BA60" s="93">
        <f t="array" ref="BA60:BA75">MMULT(aggregation!$B$28:$AP$33,BA8:BA48)</f>
        <v>39.083485919914963</v>
      </c>
      <c r="BB60" s="93">
        <f t="array" ref="BB60:BB75">MMULT(aggregation!$B$28:$AP$33,BB8:BB48)</f>
        <v>42.067269568697697</v>
      </c>
      <c r="BD60" s="39">
        <f t="shared" ref="BD60:BD75" si="53">IF(BE60&gt;0,((1+(BG60/BE60))^(1/($A$101-$A$100))-1)*100,0)</f>
        <v>2.547134735934975</v>
      </c>
      <c r="BE60" s="93">
        <f t="array" ref="BE60:BE75">MMULT(aggregation!$B$28:$AP$33,BE8:BE48)</f>
        <v>38.038082841341755</v>
      </c>
      <c r="BF60" s="93">
        <f t="array" ref="BF60:BF75">MMULT(aggregation!$B$28:$AP$33,BF8:BF48)</f>
        <v>-2.4133097813355744</v>
      </c>
      <c r="BG60" s="93">
        <f t="array" ref="BG60:BG75">MMULT(aggregation!$B$28:$AP$33,BG8:BG48)</f>
        <v>10.878253522030754</v>
      </c>
      <c r="BH60" s="93">
        <f t="array" ref="BH60:BH75">MMULT(aggregation!$B$28:$AP$33,BH8:BH48)</f>
        <v>8.4649437406951797</v>
      </c>
      <c r="BJ60" s="39">
        <f t="shared" ref="BJ60:BJ75" si="54">IF(BK60&gt;0,((1+(BM60/BK60))^(1/($A$101-$A$100))-1)*100,0)</f>
        <v>2.5845775387473902</v>
      </c>
      <c r="BK60" s="93">
        <f t="array" ref="BK60:BK75">MMULT(aggregation!$B$28:$AP$33,BK8:BK48)</f>
        <v>74.411735017406926</v>
      </c>
      <c r="BL60" s="93">
        <f t="array" ref="BL60:BL75">MMULT(aggregation!$B$28:$AP$33,BL8:BL48)</f>
        <v>3.1855192819452687</v>
      </c>
      <c r="BM60" s="93">
        <f t="array" ref="BM60:BM75">MMULT(aggregation!$B$28:$AP$33,BM8:BM48)</f>
        <v>21.630481362749549</v>
      </c>
      <c r="BN60" s="93">
        <f t="array" ref="BN60:BN75">MMULT(aggregation!$B$28:$AP$33,BN8:BN48)</f>
        <v>24.816000644694821</v>
      </c>
      <c r="BO60" s="93"/>
      <c r="BP60" s="39">
        <f t="shared" ref="BP60:BP75" si="55">IF(BQ60&gt;0,((1+(BS60/BQ60))^(1/($A$101-$A$100))-1)*100,0)</f>
        <v>2.7251222269226272</v>
      </c>
      <c r="BQ60" s="93">
        <f t="array" ref="BQ60:BQ75">MMULT(aggregation!$B$28:$AP$33,BQ8:BQ48)</f>
        <v>21.313466482402312</v>
      </c>
      <c r="BR60" s="93">
        <f t="array" ref="BR60:BR75">MMULT(aggregation!$B$28:$AP$33,BR8:BR48)</f>
        <v>2.2115741481730335</v>
      </c>
      <c r="BS60" s="93">
        <f t="array" ref="BS60:BS75">MMULT(aggregation!$B$28:$AP$33,BS8:BS48)</f>
        <v>6.5747510351346579</v>
      </c>
      <c r="BT60" s="93">
        <f t="array" ref="BT60:BT75">MMULT(aggregation!$B$28:$AP$33,BT8:BT48)</f>
        <v>8.7863251833076923</v>
      </c>
      <c r="BU60" s="90" t="e">
        <f>AW60</f>
        <v>#REF!</v>
      </c>
      <c r="BV60" s="39">
        <f t="shared" ref="BV60:BV75" si="56">IF(BW60&gt;0,((1+(BY60/BW60))^(1/($A$101-$A$100))-1)*100,0)</f>
        <v>3.485095393773241</v>
      </c>
      <c r="BW60" s="93">
        <f t="array" ref="BW60:BW75">MMULT(aggregation!$B$28:$AP$33,BW8:BW48)</f>
        <v>65.409196417553474</v>
      </c>
      <c r="BX60" s="93">
        <f t="array" ref="BX60:BX75">MMULT(aggregation!$B$28:$AP$33,BX8:BX48)</f>
        <v>-7.2725784365581729</v>
      </c>
      <c r="BY60" s="93">
        <f t="array" ref="BY60:BY75">MMULT(aggregation!$B$28:$AP$33,BY8:BY48)</f>
        <v>26.724152418105156</v>
      </c>
      <c r="BZ60" s="93">
        <f t="array" ref="BZ60:BZ75">MMULT(aggregation!$B$28:$AP$33,BZ8:BZ48)</f>
        <v>19.451573981546982</v>
      </c>
      <c r="CB60" s="39">
        <f t="shared" ref="CB60:CB75" si="57">IF(CC60&gt;0,((1+(CE60/CC60))^(1/($A$101-$A$100))-1)*100,0)</f>
        <v>3.3945866942973302</v>
      </c>
      <c r="CC60" s="93">
        <f t="array" ref="CC60:CC75">MMULT(aggregation!$B$28:$AP$33,CC8:CC48)</f>
        <v>21.05053288471078</v>
      </c>
      <c r="CD60" s="93">
        <f t="array" ref="CD60:CD75">MMULT(aggregation!$B$28:$AP$33,CD8:CD48)</f>
        <v>-8.6356916223892384</v>
      </c>
      <c r="CE60" s="93">
        <f t="array" ref="CE60:CE75">MMULT(aggregation!$B$28:$AP$33,CE8:CE48)</f>
        <v>8.342277262525851</v>
      </c>
      <c r="CF60" s="93">
        <f t="array" ref="CF60:CF75">MMULT(aggregation!$B$28:$AP$33,CF8:CF48)</f>
        <v>-0.2934143598633871</v>
      </c>
      <c r="CH60" s="39">
        <f t="shared" ref="CH60:CH75" si="58">IF(CI60&gt;0,((1+(CK60/CI60))^(1/($A$101-$A$100))-1)*100,0)</f>
        <v>3.4521857773551767</v>
      </c>
      <c r="CI60" s="93">
        <f t="array" ref="CI60:CI75">MMULT(aggregation!$B$28:$AP$33,CI8:CI48)</f>
        <v>34.546886160025707</v>
      </c>
      <c r="CJ60" s="93">
        <f t="array" ref="CJ60:CJ75">MMULT(aggregation!$B$28:$AP$33,CJ8:CJ48)</f>
        <v>-1.2189766380635714</v>
      </c>
      <c r="CK60" s="93">
        <f t="array" ref="CK60:CK75">MMULT(aggregation!$B$28:$AP$33,CK8:CK48)</f>
        <v>13.96024826295576</v>
      </c>
      <c r="CL60" s="93">
        <f t="array" ref="CL60:CL75">MMULT(aggregation!$B$28:$AP$33,CL8:CL48)</f>
        <v>12.741271624892187</v>
      </c>
      <c r="CM60" s="93"/>
      <c r="CN60" s="39">
        <f t="shared" ref="CN60:CN75" si="59">IF(CO60&gt;0,((1+(CQ60/CO60))^(1/($A$101-$A$100))-1)*100,0)</f>
        <v>3.7901429015048116</v>
      </c>
      <c r="CO60" s="93">
        <f t="array" ref="CO60:CO75">MMULT(aggregation!$B$28:$AP$33,CO8:CO48)</f>
        <v>9.8117773728169944</v>
      </c>
      <c r="CP60" s="93">
        <f t="array" ref="CP60:CP75">MMULT(aggregation!$B$28:$AP$33,CP8:CP48)</f>
        <v>2.5820898238946395</v>
      </c>
      <c r="CQ60" s="93">
        <f t="array" ref="CQ60:CQ75">MMULT(aggregation!$B$28:$AP$33,CQ8:CQ48)</f>
        <v>4.421626892623542</v>
      </c>
      <c r="CR60" s="93">
        <f t="array" ref="CR60:CR75">MMULT(aggregation!$B$28:$AP$33,CR8:CR48)</f>
        <v>7.0037167165181815</v>
      </c>
      <c r="CS60" s="90" t="e">
        <f>BU60</f>
        <v>#REF!</v>
      </c>
      <c r="CT60" s="39">
        <f t="shared" ref="CT60:CT75" si="60">IF(CU60&gt;0,((1+(CW60/CU60))^(1/($A$101-$A$100))-1)*100,0)</f>
        <v>2.6068626107773829</v>
      </c>
      <c r="CU60" s="93">
        <f t="array" ref="CU60:CU75">MMULT(aggregation!$B$28:$AP$33,CU8:CU48)</f>
        <v>57.854771524208537</v>
      </c>
      <c r="CV60" s="93">
        <f t="array" ref="CV60:CV75">MMULT(aggregation!$B$28:$AP$33,CV8:CV48)</f>
        <v>7.2534754986667886</v>
      </c>
      <c r="CW60" s="93">
        <f t="array" ref="CW60:CW75">MMULT(aggregation!$B$28:$AP$33,CW8:CW48)</f>
        <v>16.979970803791471</v>
      </c>
      <c r="CX60" s="93">
        <f t="array" ref="CX60:CX75">MMULT(aggregation!$B$28:$AP$33,CX8:CX48)</f>
        <v>24.233446302458258</v>
      </c>
      <c r="CZ60" s="39">
        <f t="shared" ref="CZ60:CZ75" si="61">IF(DA60&gt;0,((1+(DC60/DA60))^(1/($A$101-$A$100))-1)*100,0)</f>
        <v>2.5796471633499296</v>
      </c>
      <c r="DA60" s="93">
        <f t="array" ref="DA60:DA75">MMULT(aggregation!$B$28:$AP$33,DA8:DA48)</f>
        <v>24.397029178457057</v>
      </c>
      <c r="DB60" s="93">
        <f t="array" ref="DB60:DB75">MMULT(aggregation!$B$28:$AP$33,DB8:DB48)</f>
        <v>-5.1089043474145921</v>
      </c>
      <c r="DC60" s="93">
        <f t="array" ref="DC60:DC75">MMULT(aggregation!$B$28:$AP$33,DC8:DC48)</f>
        <v>7.0767544434361751</v>
      </c>
      <c r="DD60" s="93">
        <f t="array" ref="DD60:DD75">MMULT(aggregation!$B$28:$AP$33,DD8:DD48)</f>
        <v>1.967850096021583</v>
      </c>
      <c r="DF60" s="39">
        <f t="shared" ref="DF60:DF75" si="62">IF(DG60&gt;0,((1+(DI60/DG60))^(1/($A$101-$A$100))-1)*100,0)</f>
        <v>2.5822546806152147</v>
      </c>
      <c r="DG60" s="93">
        <f t="array" ref="DG60:DG75">MMULT(aggregation!$B$28:$AP$33,DG8:DG48)</f>
        <v>27.030998812491621</v>
      </c>
      <c r="DH60" s="93">
        <f t="array" ref="DH60:DH75">MMULT(aggregation!$B$28:$AP$33,DH8:DH48)</f>
        <v>6.0344293953067005</v>
      </c>
      <c r="DI60" s="93">
        <f t="array" ref="DI60:DI75">MMULT(aggregation!$B$28:$AP$33,DI8:DI48)</f>
        <v>7.8496453282949643</v>
      </c>
      <c r="DJ60" s="93">
        <f t="array" ref="DJ60:DJ75">MMULT(aggregation!$B$28:$AP$33,DJ8:DJ48)</f>
        <v>13.884074723601664</v>
      </c>
      <c r="DK60" s="93"/>
      <c r="DL60" s="39">
        <f t="shared" ref="DL60:DL75" si="63">IF(DM60&gt;0,((1+(DO60/DM60))^(1/($A$101-$A$100))-1)*100,0)</f>
        <v>2.8115955969045814</v>
      </c>
      <c r="DM60" s="93">
        <f t="array" ref="DM60:DM75">MMULT(aggregation!$B$28:$AP$33,DM8:DM48)</f>
        <v>6.426743533259863</v>
      </c>
      <c r="DN60" s="93">
        <f t="array" ref="DN60:DN75">MMULT(aggregation!$B$28:$AP$33,DN8:DN48)</f>
        <v>6.3279504507746802</v>
      </c>
      <c r="DO60" s="93">
        <f t="array" ref="DO60:DO75">MMULT(aggregation!$B$28:$AP$33,DO8:DO48)</f>
        <v>2.0535710320603289</v>
      </c>
      <c r="DP60" s="93">
        <f t="array" ref="DP60:DP75">MMULT(aggregation!$B$28:$AP$33,DP8:DP48)</f>
        <v>8.3815214828350086</v>
      </c>
    </row>
    <row r="61" spans="1:120" x14ac:dyDescent="0.2">
      <c r="A61" s="90" t="e">
        <f>name!#REF!</f>
        <v>#REF!</v>
      </c>
      <c r="B61" s="39">
        <f t="shared" si="44"/>
        <v>2.6428578302956751</v>
      </c>
      <c r="C61" s="93">
        <v>1531.9705805222009</v>
      </c>
      <c r="D61" s="93">
        <v>38.373634438141572</v>
      </c>
      <c r="E61" s="93">
        <v>456.58520540961894</v>
      </c>
      <c r="F61" s="93">
        <v>494.95883984776049</v>
      </c>
      <c r="H61" s="39">
        <f t="shared" si="45"/>
        <v>2.4792103651163355</v>
      </c>
      <c r="I61" s="93">
        <v>346.9543032994946</v>
      </c>
      <c r="J61" s="93">
        <v>-71.701267476699215</v>
      </c>
      <c r="K61" s="93">
        <v>96.27654812183178</v>
      </c>
      <c r="L61" s="93">
        <v>24.575280645132562</v>
      </c>
      <c r="N61" s="39">
        <f t="shared" si="46"/>
        <v>2.5614670093909275</v>
      </c>
      <c r="O61" s="93">
        <v>814.35141810968503</v>
      </c>
      <c r="P61" s="93">
        <v>55.745517961636317</v>
      </c>
      <c r="Q61" s="93">
        <v>234.35541894926229</v>
      </c>
      <c r="R61" s="93">
        <v>290.10093691089861</v>
      </c>
      <c r="S61" s="93"/>
      <c r="T61" s="39">
        <f t="shared" si="47"/>
        <v>2.9684351632191186</v>
      </c>
      <c r="U61" s="93">
        <v>370.66485911302107</v>
      </c>
      <c r="V61" s="93">
        <v>54.329383953204463</v>
      </c>
      <c r="W61" s="93">
        <v>125.95323833852494</v>
      </c>
      <c r="X61" s="93">
        <v>180.28262229172944</v>
      </c>
      <c r="Y61" s="90" t="e">
        <f t="shared" ref="Y61:Y75" si="64">A61</f>
        <v>#REF!</v>
      </c>
      <c r="Z61" s="39">
        <f t="shared" si="48"/>
        <v>3.09935723132575</v>
      </c>
      <c r="AA61" s="93">
        <v>449.17774942270398</v>
      </c>
      <c r="AB61" s="93">
        <v>50.084024973176945</v>
      </c>
      <c r="AC61" s="93">
        <v>160.32800726207913</v>
      </c>
      <c r="AD61" s="93">
        <v>210.41203223525608</v>
      </c>
      <c r="AF61" s="39">
        <f t="shared" si="49"/>
        <v>3.0553735251015013</v>
      </c>
      <c r="AG61" s="93">
        <v>43.103207322115679</v>
      </c>
      <c r="AH61" s="93">
        <v>0.19587937567616226</v>
      </c>
      <c r="AI61" s="93">
        <v>15.136073680613812</v>
      </c>
      <c r="AJ61" s="93">
        <v>15.331953056289972</v>
      </c>
      <c r="AL61" s="39">
        <f t="shared" si="50"/>
        <v>3.0511586415955083</v>
      </c>
      <c r="AM61" s="93">
        <v>165.52931783494364</v>
      </c>
      <c r="AN61" s="93">
        <v>19.535586179291034</v>
      </c>
      <c r="AO61" s="93">
        <v>58.035631729329729</v>
      </c>
      <c r="AP61" s="93">
        <v>77.571217908620767</v>
      </c>
      <c r="AQ61" s="93"/>
      <c r="AR61" s="39">
        <f t="shared" si="51"/>
        <v>3.1402482773775109</v>
      </c>
      <c r="AS61" s="93">
        <v>240.54522426564475</v>
      </c>
      <c r="AT61" s="93">
        <v>30.35255941820974</v>
      </c>
      <c r="AU61" s="93">
        <v>87.156301852135613</v>
      </c>
      <c r="AV61" s="93">
        <v>117.50886127034535</v>
      </c>
      <c r="AW61" s="90" t="e">
        <f t="shared" ref="AW61:AW75" si="65">Y61</f>
        <v>#REF!</v>
      </c>
      <c r="AX61" s="39">
        <f t="shared" si="52"/>
        <v>2.5119602836049859</v>
      </c>
      <c r="AY61" s="93">
        <v>382.12363836563554</v>
      </c>
      <c r="AZ61" s="93">
        <v>14.987876400880856</v>
      </c>
      <c r="BA61" s="93">
        <v>107.597993602248</v>
      </c>
      <c r="BB61" s="93">
        <v>122.58587000312885</v>
      </c>
      <c r="BD61" s="39">
        <f t="shared" si="53"/>
        <v>2.4324488727566429</v>
      </c>
      <c r="BE61" s="93">
        <v>68.87792182820661</v>
      </c>
      <c r="BF61" s="93">
        <v>-12.980223779533098</v>
      </c>
      <c r="BG61" s="93">
        <v>18.712292944480623</v>
      </c>
      <c r="BH61" s="93">
        <v>5.7320691649475206</v>
      </c>
      <c r="BJ61" s="39">
        <f t="shared" si="54"/>
        <v>2.4743901795061252</v>
      </c>
      <c r="BK61" s="93">
        <v>227.41154731887079</v>
      </c>
      <c r="BL61" s="93">
        <v>20.277004150306102</v>
      </c>
      <c r="BM61" s="93">
        <v>62.967942886752354</v>
      </c>
      <c r="BN61" s="93">
        <v>83.244947037058452</v>
      </c>
      <c r="BO61" s="93"/>
      <c r="BP61" s="39">
        <f t="shared" si="55"/>
        <v>2.6737634790460207</v>
      </c>
      <c r="BQ61" s="93">
        <v>85.834169218558088</v>
      </c>
      <c r="BR61" s="93">
        <v>7.6910960301078566</v>
      </c>
      <c r="BS61" s="93">
        <v>25.917757771015022</v>
      </c>
      <c r="BT61" s="93">
        <v>33.608853801122876</v>
      </c>
      <c r="BU61" s="90" t="e">
        <f t="shared" ref="BU61:BU75" si="66">AW61</f>
        <v>#REF!</v>
      </c>
      <c r="BV61" s="39">
        <f t="shared" si="56"/>
        <v>2.4273686289485896</v>
      </c>
      <c r="BW61" s="93">
        <v>618.6998990746248</v>
      </c>
      <c r="BX61" s="93">
        <v>-37.145990679902553</v>
      </c>
      <c r="BY61" s="93">
        <v>167.69412219711813</v>
      </c>
      <c r="BZ61" s="93">
        <v>130.54813151721558</v>
      </c>
      <c r="CB61" s="39">
        <f t="shared" si="57"/>
        <v>2.3908219482846826</v>
      </c>
      <c r="CC61" s="93">
        <v>200.76690413153926</v>
      </c>
      <c r="CD61" s="93">
        <v>-51.773551523444716</v>
      </c>
      <c r="CE61" s="93">
        <v>53.507365477367323</v>
      </c>
      <c r="CF61" s="93">
        <v>1.7338139539226114</v>
      </c>
      <c r="CH61" s="39">
        <f t="shared" si="58"/>
        <v>2.4281776316902093</v>
      </c>
      <c r="CI61" s="93">
        <v>377.66885349128535</v>
      </c>
      <c r="CJ61" s="93">
        <v>2.3971579400366365</v>
      </c>
      <c r="CK61" s="93">
        <v>102.40232056245216</v>
      </c>
      <c r="CL61" s="93">
        <v>104.79947850248878</v>
      </c>
      <c r="CM61" s="93"/>
      <c r="CN61" s="39">
        <f t="shared" si="59"/>
        <v>2.6003972395548303</v>
      </c>
      <c r="CO61" s="93">
        <v>40.264141451800178</v>
      </c>
      <c r="CP61" s="93">
        <v>12.230402903505531</v>
      </c>
      <c r="CQ61" s="93">
        <v>11.78443615729863</v>
      </c>
      <c r="CR61" s="93">
        <v>24.014839060804167</v>
      </c>
      <c r="CS61" s="90" t="e">
        <f t="shared" ref="CS61:CS75" si="67">BU61</f>
        <v>#REF!</v>
      </c>
      <c r="CT61" s="39">
        <f t="shared" si="60"/>
        <v>2.3036018395404811</v>
      </c>
      <c r="CU61" s="93">
        <v>81.969293659236243</v>
      </c>
      <c r="CV61" s="93">
        <v>10.447723743986325</v>
      </c>
      <c r="CW61" s="93">
        <v>20.965082348173706</v>
      </c>
      <c r="CX61" s="93">
        <v>31.412806092160039</v>
      </c>
      <c r="CZ61" s="39">
        <f t="shared" si="61"/>
        <v>2.3444837267214247</v>
      </c>
      <c r="DA61" s="93">
        <v>34.206270017633031</v>
      </c>
      <c r="DB61" s="93">
        <v>-7.1433715493975534</v>
      </c>
      <c r="DC61" s="93">
        <v>8.920816019370017</v>
      </c>
      <c r="DD61" s="93">
        <v>1.7774444699724654</v>
      </c>
      <c r="DF61" s="39">
        <f t="shared" si="62"/>
        <v>2.2591547110890398</v>
      </c>
      <c r="DG61" s="93">
        <v>43.741699464585146</v>
      </c>
      <c r="DH61" s="93">
        <v>13.535769692002548</v>
      </c>
      <c r="DI61" s="93">
        <v>10.949523770728023</v>
      </c>
      <c r="DJ61" s="93">
        <v>24.485293462730571</v>
      </c>
      <c r="DK61" s="93"/>
      <c r="DL61" s="39">
        <f t="shared" si="63"/>
        <v>2.4369670928403142</v>
      </c>
      <c r="DM61" s="93">
        <v>4.0213241770180499</v>
      </c>
      <c r="DN61" s="93">
        <v>4.055325601381333</v>
      </c>
      <c r="DO61" s="93">
        <v>1.0947425580756691</v>
      </c>
      <c r="DP61" s="93">
        <v>5.1500681594570024</v>
      </c>
    </row>
    <row r="62" spans="1:120" x14ac:dyDescent="0.2">
      <c r="A62" s="90" t="e">
        <f>name!#REF!</f>
        <v>#REF!</v>
      </c>
      <c r="B62" s="39">
        <f t="shared" si="44"/>
        <v>2.9873927143805101</v>
      </c>
      <c r="C62" s="93">
        <v>223.45199999999954</v>
      </c>
      <c r="D62" s="93">
        <v>16.32099999999997</v>
      </c>
      <c r="E62" s="93">
        <v>76.481434511542574</v>
      </c>
      <c r="F62" s="93">
        <v>92.802434511542543</v>
      </c>
      <c r="H62" s="39">
        <f t="shared" si="45"/>
        <v>2.7027065972447861</v>
      </c>
      <c r="I62" s="93">
        <v>10.129605191491642</v>
      </c>
      <c r="J62" s="93">
        <v>-0.34252249973408699</v>
      </c>
      <c r="K62" s="93">
        <v>3.0958737684558137</v>
      </c>
      <c r="L62" s="93">
        <v>2.753351268721727</v>
      </c>
      <c r="N62" s="39">
        <f t="shared" si="46"/>
        <v>2.7752129639048606</v>
      </c>
      <c r="O62" s="93">
        <v>49.401211396935132</v>
      </c>
      <c r="P62" s="93">
        <v>-7.2343121603684377</v>
      </c>
      <c r="Q62" s="93">
        <v>15.555114540422643</v>
      </c>
      <c r="R62" s="93">
        <v>8.3208023800542072</v>
      </c>
      <c r="S62" s="93"/>
      <c r="T62" s="39">
        <f t="shared" si="47"/>
        <v>3.0678398412407049</v>
      </c>
      <c r="U62" s="93">
        <v>163.92118341157277</v>
      </c>
      <c r="V62" s="93">
        <v>23.897834660102497</v>
      </c>
      <c r="W62" s="93">
        <v>57.830446202664113</v>
      </c>
      <c r="X62" s="93">
        <v>81.72828086276661</v>
      </c>
      <c r="Y62" s="90" t="e">
        <f t="shared" si="64"/>
        <v>#REF!</v>
      </c>
      <c r="Z62" s="39">
        <f t="shared" si="48"/>
        <v>3.115253870350565</v>
      </c>
      <c r="AA62" s="93">
        <v>152.77157011744924</v>
      </c>
      <c r="AB62" s="93">
        <v>23.667742514510199</v>
      </c>
      <c r="AC62" s="93">
        <v>54.849629303140759</v>
      </c>
      <c r="AD62" s="93">
        <v>78.517371817650954</v>
      </c>
      <c r="AF62" s="39">
        <f t="shared" si="49"/>
        <v>2.8153091738603475</v>
      </c>
      <c r="AG62" s="93">
        <v>4.0545970665235638</v>
      </c>
      <c r="AH62" s="93">
        <v>1.1763868580624641</v>
      </c>
      <c r="AI62" s="93">
        <v>1.2975194554462604</v>
      </c>
      <c r="AJ62" s="93">
        <v>2.4739063135087247</v>
      </c>
      <c r="AL62" s="39">
        <f t="shared" si="50"/>
        <v>2.9300260019708757</v>
      </c>
      <c r="AM62" s="93">
        <v>25.201713800358746</v>
      </c>
      <c r="AN62" s="93">
        <v>-0.99571290511587751</v>
      </c>
      <c r="AO62" s="93">
        <v>8.4378921676941143</v>
      </c>
      <c r="AP62" s="93">
        <v>7.4421792625782359</v>
      </c>
      <c r="AQ62" s="93"/>
      <c r="AR62" s="39">
        <f t="shared" si="51"/>
        <v>3.162364541262197</v>
      </c>
      <c r="AS62" s="93">
        <v>123.5152592505669</v>
      </c>
      <c r="AT62" s="93">
        <v>23.487068561563614</v>
      </c>
      <c r="AU62" s="93">
        <v>45.11421768000038</v>
      </c>
      <c r="AV62" s="93">
        <v>68.601286241563997</v>
      </c>
      <c r="AW62" s="90" t="e">
        <f t="shared" si="65"/>
        <v>#REF!</v>
      </c>
      <c r="AX62" s="39">
        <f t="shared" si="52"/>
        <v>2.7074686991907182</v>
      </c>
      <c r="AY62" s="93">
        <v>63.099183012426266</v>
      </c>
      <c r="AZ62" s="93">
        <v>-8.1666011273025987</v>
      </c>
      <c r="BA62" s="93">
        <v>19.322977545320413</v>
      </c>
      <c r="BB62" s="93">
        <v>11.156376418017812</v>
      </c>
      <c r="BD62" s="39">
        <f t="shared" si="53"/>
        <v>2.5809393895366073</v>
      </c>
      <c r="BE62" s="93">
        <v>3.8989278482616347</v>
      </c>
      <c r="BF62" s="93">
        <v>-1.4264888386863785</v>
      </c>
      <c r="BG62" s="93">
        <v>1.13158099277498</v>
      </c>
      <c r="BH62" s="93">
        <v>-0.29490784591139857</v>
      </c>
      <c r="BJ62" s="39">
        <f t="shared" si="54"/>
        <v>2.6099720549441985</v>
      </c>
      <c r="BK62" s="93">
        <v>20.535319575677597</v>
      </c>
      <c r="BL62" s="93">
        <v>-6.6729139331144127</v>
      </c>
      <c r="BM62" s="93">
        <v>6.0350233240421796</v>
      </c>
      <c r="BN62" s="93">
        <v>-0.63789060907223316</v>
      </c>
      <c r="BO62" s="93"/>
      <c r="BP62" s="39">
        <f t="shared" si="55"/>
        <v>2.7715378913155231</v>
      </c>
      <c r="BQ62" s="93">
        <v>38.66493558848704</v>
      </c>
      <c r="BR62" s="93">
        <v>-6.719835550180675E-2</v>
      </c>
      <c r="BS62" s="93">
        <v>12.156373228503252</v>
      </c>
      <c r="BT62" s="93">
        <v>12.089174873001445</v>
      </c>
      <c r="BU62" s="90" t="e">
        <f t="shared" si="66"/>
        <v>#REF!</v>
      </c>
      <c r="BV62" s="39">
        <f t="shared" si="56"/>
        <v>2.6220470512831273</v>
      </c>
      <c r="BW62" s="93">
        <v>5.5023713341610581</v>
      </c>
      <c r="BX62" s="93">
        <v>0.709064831134398</v>
      </c>
      <c r="BY62" s="93">
        <v>1.6254471384354698</v>
      </c>
      <c r="BZ62" s="93">
        <v>2.334511969569868</v>
      </c>
      <c r="CB62" s="39">
        <f t="shared" si="57"/>
        <v>2.5681173483516284</v>
      </c>
      <c r="CC62" s="93">
        <v>1.2121650788045106</v>
      </c>
      <c r="CD62" s="93">
        <v>0.18730291694992937</v>
      </c>
      <c r="CE62" s="93">
        <v>0.3498513913772372</v>
      </c>
      <c r="CF62" s="93">
        <v>0.53715430832716649</v>
      </c>
      <c r="CH62" s="39">
        <f t="shared" si="58"/>
        <v>2.5816875541381901</v>
      </c>
      <c r="CI62" s="93">
        <v>3.0029888388418309</v>
      </c>
      <c r="CJ62" s="93">
        <v>0.29040114785941096</v>
      </c>
      <c r="CK62" s="93">
        <v>0.87183632094087737</v>
      </c>
      <c r="CL62" s="93">
        <v>1.1622374688002883</v>
      </c>
      <c r="CM62" s="93"/>
      <c r="CN62" s="39">
        <f t="shared" si="59"/>
        <v>2.765792391549815</v>
      </c>
      <c r="CO62" s="93">
        <v>1.2872174165147163</v>
      </c>
      <c r="CP62" s="93">
        <v>0.23136076632505748</v>
      </c>
      <c r="CQ62" s="93">
        <v>0.40375942611735538</v>
      </c>
      <c r="CR62" s="93">
        <v>0.6351201924424128</v>
      </c>
      <c r="CS62" s="90" t="e">
        <f t="shared" si="67"/>
        <v>#REF!</v>
      </c>
      <c r="CT62" s="39">
        <f t="shared" si="60"/>
        <v>2.882982269596579</v>
      </c>
      <c r="CU62" s="93">
        <v>2.0788755359629878</v>
      </c>
      <c r="CV62" s="93">
        <v>0.11079378165796983</v>
      </c>
      <c r="CW62" s="93">
        <v>0.68338052464593657</v>
      </c>
      <c r="CX62" s="93">
        <v>0.7941743063039064</v>
      </c>
      <c r="CZ62" s="39">
        <f t="shared" si="61"/>
        <v>2.8834473778163394</v>
      </c>
      <c r="DA62" s="93">
        <v>0.9639151979019317</v>
      </c>
      <c r="DB62" s="93">
        <v>-0.27972343606010208</v>
      </c>
      <c r="DC62" s="93">
        <v>0.31692192885733617</v>
      </c>
      <c r="DD62" s="93">
        <v>3.7198492797234056E-2</v>
      </c>
      <c r="DF62" s="39">
        <f t="shared" si="62"/>
        <v>2.8008609727499634</v>
      </c>
      <c r="DG62" s="93">
        <v>0.66118918205696109</v>
      </c>
      <c r="DH62" s="93">
        <v>0.14391353000244075</v>
      </c>
      <c r="DI62" s="93">
        <v>0.21036272774547143</v>
      </c>
      <c r="DJ62" s="93">
        <v>0.35427625774791216</v>
      </c>
      <c r="DK62" s="93"/>
      <c r="DL62" s="39">
        <f t="shared" si="63"/>
        <v>3.0006170576280633</v>
      </c>
      <c r="DM62" s="93">
        <v>0.45377115600409529</v>
      </c>
      <c r="DN62" s="93">
        <v>0.24660368771563115</v>
      </c>
      <c r="DO62" s="93">
        <v>0.15609586804312911</v>
      </c>
      <c r="DP62" s="93">
        <v>0.40269955575876026</v>
      </c>
    </row>
    <row r="63" spans="1:120" x14ac:dyDescent="0.2">
      <c r="A63" s="90" t="e">
        <f>name!#REF!</f>
        <v>#REF!</v>
      </c>
      <c r="B63" s="39">
        <f t="shared" si="44"/>
        <v>2.8318785937824886</v>
      </c>
      <c r="C63" s="93">
        <v>2280.697111816894</v>
      </c>
      <c r="D63" s="93">
        <v>333.85127836326922</v>
      </c>
      <c r="E63" s="93">
        <v>734.70552907606873</v>
      </c>
      <c r="F63" s="93">
        <v>1068.5568074393379</v>
      </c>
      <c r="H63" s="39">
        <f t="shared" si="45"/>
        <v>2.7549207370162865</v>
      </c>
      <c r="I63" s="93">
        <v>283.04810837105344</v>
      </c>
      <c r="J63" s="93">
        <v>-0.74752589975027828</v>
      </c>
      <c r="K63" s="93">
        <v>88.390071573508365</v>
      </c>
      <c r="L63" s="93">
        <v>87.642545673758079</v>
      </c>
      <c r="N63" s="39">
        <f t="shared" si="46"/>
        <v>2.7471439144256316</v>
      </c>
      <c r="O63" s="93">
        <v>699.77572635201216</v>
      </c>
      <c r="P63" s="93">
        <v>138.82655476432222</v>
      </c>
      <c r="Q63" s="93">
        <v>217.83072664942705</v>
      </c>
      <c r="R63" s="93">
        <v>356.65728141374927</v>
      </c>
      <c r="S63" s="93"/>
      <c r="T63" s="39">
        <f t="shared" si="47"/>
        <v>2.8939541756485054</v>
      </c>
      <c r="U63" s="93">
        <v>1297.8732770938286</v>
      </c>
      <c r="V63" s="93">
        <v>195.77224949869728</v>
      </c>
      <c r="W63" s="93">
        <v>428.48473085313316</v>
      </c>
      <c r="X63" s="93">
        <v>624.25698035183052</v>
      </c>
      <c r="Y63" s="90" t="e">
        <f t="shared" si="64"/>
        <v>#REF!</v>
      </c>
      <c r="Z63" s="39">
        <f t="shared" si="48"/>
        <v>2.8785897697706897</v>
      </c>
      <c r="AA63" s="93">
        <v>1376.3410743701511</v>
      </c>
      <c r="AB63" s="93">
        <v>228.17890869238147</v>
      </c>
      <c r="AC63" s="93">
        <v>451.65852053812984</v>
      </c>
      <c r="AD63" s="93">
        <v>679.83742923051125</v>
      </c>
      <c r="AF63" s="39">
        <f t="shared" si="49"/>
        <v>2.7957231009731576</v>
      </c>
      <c r="AG63" s="93">
        <v>50.44110866811203</v>
      </c>
      <c r="AH63" s="93">
        <v>12.529196374543888</v>
      </c>
      <c r="AI63" s="93">
        <v>16.015026714248812</v>
      </c>
      <c r="AJ63" s="93">
        <v>28.544223088792698</v>
      </c>
      <c r="AL63" s="39">
        <f t="shared" si="50"/>
        <v>2.7886108998469661</v>
      </c>
      <c r="AM63" s="93">
        <v>237.91538858222418</v>
      </c>
      <c r="AN63" s="93">
        <v>57.839439754593094</v>
      </c>
      <c r="AO63" s="93">
        <v>75.321212862289059</v>
      </c>
      <c r="AP63" s="93">
        <v>133.16065261688217</v>
      </c>
      <c r="AQ63" s="93"/>
      <c r="AR63" s="39">
        <f t="shared" si="51"/>
        <v>2.9019926640608151</v>
      </c>
      <c r="AS63" s="93">
        <v>1087.984577119815</v>
      </c>
      <c r="AT63" s="93">
        <v>157.81027256324452</v>
      </c>
      <c r="AU63" s="93">
        <v>360.32228096159196</v>
      </c>
      <c r="AV63" s="93">
        <v>518.13255352483634</v>
      </c>
      <c r="AW63" s="90" t="e">
        <f t="shared" si="65"/>
        <v>#REF!</v>
      </c>
      <c r="AX63" s="39">
        <f t="shared" si="52"/>
        <v>2.6424249686811008</v>
      </c>
      <c r="AY63" s="93">
        <v>523.22518477326673</v>
      </c>
      <c r="AZ63" s="93">
        <v>52.913801027885178</v>
      </c>
      <c r="BA63" s="93">
        <v>155.91226381320303</v>
      </c>
      <c r="BB63" s="93">
        <v>208.82606484108817</v>
      </c>
      <c r="BD63" s="39">
        <f t="shared" si="53"/>
        <v>2.5567595525065601</v>
      </c>
      <c r="BE63" s="93">
        <v>71.038062853520373</v>
      </c>
      <c r="BF63" s="93">
        <v>-0.99683372471191745</v>
      </c>
      <c r="BG63" s="93">
        <v>20.401472725463666</v>
      </c>
      <c r="BH63" s="93">
        <v>19.40463900075175</v>
      </c>
      <c r="BJ63" s="39">
        <f t="shared" si="54"/>
        <v>2.5991209312550723</v>
      </c>
      <c r="BK63" s="93">
        <v>287.37783213184116</v>
      </c>
      <c r="BL63" s="93">
        <v>26.153950013495834</v>
      </c>
      <c r="BM63" s="93">
        <v>84.063015645700077</v>
      </c>
      <c r="BN63" s="93">
        <v>110.21696565919591</v>
      </c>
      <c r="BO63" s="93"/>
      <c r="BP63" s="39">
        <f t="shared" si="55"/>
        <v>2.7540294923941611</v>
      </c>
      <c r="BQ63" s="93">
        <v>164.80928978790524</v>
      </c>
      <c r="BR63" s="93">
        <v>27.756684739101249</v>
      </c>
      <c r="BS63" s="93">
        <v>51.44777544203928</v>
      </c>
      <c r="BT63" s="93">
        <v>79.204460181140519</v>
      </c>
      <c r="BU63" s="90" t="e">
        <f t="shared" si="66"/>
        <v>#REF!</v>
      </c>
      <c r="BV63" s="39">
        <f t="shared" si="56"/>
        <v>3.0340414804767457</v>
      </c>
      <c r="BW63" s="93">
        <v>85.622354303695573</v>
      </c>
      <c r="BX63" s="93">
        <v>25.553340948968874</v>
      </c>
      <c r="BY63" s="93">
        <v>29.827799955063963</v>
      </c>
      <c r="BZ63" s="93">
        <v>55.38114090403284</v>
      </c>
      <c r="CB63" s="39">
        <f t="shared" si="57"/>
        <v>2.8104311558199369</v>
      </c>
      <c r="CC63" s="93">
        <v>30.284463826404377</v>
      </c>
      <c r="CD63" s="93">
        <v>8.1375545884132379</v>
      </c>
      <c r="CE63" s="93">
        <v>9.6724276046623192</v>
      </c>
      <c r="CF63" s="93">
        <v>17.809982193075562</v>
      </c>
      <c r="CH63" s="39">
        <f t="shared" si="58"/>
        <v>3.032601937255075</v>
      </c>
      <c r="CI63" s="93">
        <v>41.892604481564547</v>
      </c>
      <c r="CJ63" s="93">
        <v>15.854631919648618</v>
      </c>
      <c r="CK63" s="93">
        <v>14.586010214101943</v>
      </c>
      <c r="CL63" s="93">
        <v>30.440642133750558</v>
      </c>
      <c r="CM63" s="93"/>
      <c r="CN63" s="39">
        <f t="shared" si="59"/>
        <v>3.5265698752577679</v>
      </c>
      <c r="CO63" s="93">
        <v>13.445285995726644</v>
      </c>
      <c r="CP63" s="93">
        <v>1.5611544409070162</v>
      </c>
      <c r="CQ63" s="93">
        <v>5.569362136299703</v>
      </c>
      <c r="CR63" s="93">
        <v>7.1305165772067181</v>
      </c>
      <c r="CS63" s="90" t="e">
        <f t="shared" si="67"/>
        <v>#REF!</v>
      </c>
      <c r="CT63" s="39">
        <f t="shared" si="60"/>
        <v>2.8873206920158934</v>
      </c>
      <c r="CU63" s="93">
        <v>295.50849836978091</v>
      </c>
      <c r="CV63" s="93">
        <v>27.205227694033695</v>
      </c>
      <c r="CW63" s="93">
        <v>97.30694476967183</v>
      </c>
      <c r="CX63" s="93">
        <v>124.51217246370554</v>
      </c>
      <c r="CZ63" s="39">
        <f t="shared" si="61"/>
        <v>2.8324154996547835</v>
      </c>
      <c r="DA63" s="93">
        <v>131.28447302301666</v>
      </c>
      <c r="DB63" s="93">
        <v>-20.417443137995487</v>
      </c>
      <c r="DC63" s="93">
        <v>42.301144529133552</v>
      </c>
      <c r="DD63" s="93">
        <v>21.883701391138072</v>
      </c>
      <c r="DF63" s="39">
        <f t="shared" si="62"/>
        <v>2.8990149638167262</v>
      </c>
      <c r="DG63" s="93">
        <v>132.58990115638235</v>
      </c>
      <c r="DH63" s="93">
        <v>38.978533076584675</v>
      </c>
      <c r="DI63" s="93">
        <v>43.860487927335967</v>
      </c>
      <c r="DJ63" s="93">
        <v>82.839021003920635</v>
      </c>
      <c r="DK63" s="93"/>
      <c r="DL63" s="39">
        <f t="shared" si="63"/>
        <v>3.0642208582672747</v>
      </c>
      <c r="DM63" s="93">
        <v>31.634124190381911</v>
      </c>
      <c r="DN63" s="93">
        <v>8.6441377554445076</v>
      </c>
      <c r="DO63" s="93">
        <v>11.145312313202311</v>
      </c>
      <c r="DP63" s="93">
        <v>19.789450068646818</v>
      </c>
    </row>
    <row r="64" spans="1:120" x14ac:dyDescent="0.2">
      <c r="A64" s="90" t="e">
        <f>name!#REF!</f>
        <v>#REF!</v>
      </c>
      <c r="B64" s="39">
        <f t="shared" si="44"/>
        <v>2.8169915417421754</v>
      </c>
      <c r="C64" s="93">
        <v>158.75130574877755</v>
      </c>
      <c r="D64" s="93">
        <v>31.053175488358242</v>
      </c>
      <c r="E64" s="93">
        <v>50.836604439456309</v>
      </c>
      <c r="F64" s="93">
        <v>81.889779927814544</v>
      </c>
      <c r="H64" s="39">
        <f t="shared" si="45"/>
        <v>2.7131406842493488</v>
      </c>
      <c r="I64" s="93">
        <v>37.269430586923946</v>
      </c>
      <c r="J64" s="93">
        <v>2.0080357660646397</v>
      </c>
      <c r="K64" s="93">
        <v>11.439976930786587</v>
      </c>
      <c r="L64" s="93">
        <v>13.448012696851226</v>
      </c>
      <c r="N64" s="39">
        <f t="shared" si="46"/>
        <v>2.6835187325179533</v>
      </c>
      <c r="O64" s="93">
        <v>64.168727676686729</v>
      </c>
      <c r="P64" s="93">
        <v>9.648746828409589</v>
      </c>
      <c r="Q64" s="93">
        <v>19.45525621806194</v>
      </c>
      <c r="R64" s="93">
        <v>29.104003046471529</v>
      </c>
      <c r="S64" s="93"/>
      <c r="T64" s="39">
        <f t="shared" si="47"/>
        <v>3.0307741956072665</v>
      </c>
      <c r="U64" s="93">
        <v>57.313147485166859</v>
      </c>
      <c r="V64" s="93">
        <v>19.396392893884016</v>
      </c>
      <c r="W64" s="93">
        <v>19.941371290607766</v>
      </c>
      <c r="X64" s="93">
        <v>39.337764184491782</v>
      </c>
      <c r="Y64" s="90" t="e">
        <f t="shared" si="64"/>
        <v>#REF!</v>
      </c>
      <c r="Z64" s="39">
        <f t="shared" si="48"/>
        <v>3.0844034831169376</v>
      </c>
      <c r="AA64" s="93">
        <v>54.043501876163091</v>
      </c>
      <c r="AB64" s="93">
        <v>16.838248878570081</v>
      </c>
      <c r="AC64" s="93">
        <v>19.18381203425853</v>
      </c>
      <c r="AD64" s="93">
        <v>36.022060912828607</v>
      </c>
      <c r="AF64" s="39">
        <f t="shared" si="49"/>
        <v>3.0687126992563263</v>
      </c>
      <c r="AG64" s="93">
        <v>2.872339077635929</v>
      </c>
      <c r="AH64" s="93">
        <v>0.88105911598627318</v>
      </c>
      <c r="AI64" s="93">
        <v>1.0136737094918047</v>
      </c>
      <c r="AJ64" s="93">
        <v>1.8947328254780778</v>
      </c>
      <c r="AL64" s="39">
        <f t="shared" si="50"/>
        <v>2.9854531104971826</v>
      </c>
      <c r="AM64" s="93">
        <v>8.4616752757594771</v>
      </c>
      <c r="AN64" s="93">
        <v>0.5129240985808613</v>
      </c>
      <c r="AO64" s="93">
        <v>2.8940583365838495</v>
      </c>
      <c r="AP64" s="93">
        <v>3.4069824351647107</v>
      </c>
      <c r="AQ64" s="93"/>
      <c r="AR64" s="39">
        <f t="shared" si="51"/>
        <v>3.1049593059016889</v>
      </c>
      <c r="AS64" s="93">
        <v>42.709487522767688</v>
      </c>
      <c r="AT64" s="93">
        <v>15.444265664002945</v>
      </c>
      <c r="AU64" s="93">
        <v>15.276079988182877</v>
      </c>
      <c r="AV64" s="93">
        <v>30.72034565218582</v>
      </c>
      <c r="AW64" s="90" t="e">
        <f t="shared" si="65"/>
        <v>#REF!</v>
      </c>
      <c r="AX64" s="39">
        <f t="shared" si="52"/>
        <v>2.6049805214462873</v>
      </c>
      <c r="AY64" s="93">
        <v>67.279720597550053</v>
      </c>
      <c r="AZ64" s="93">
        <v>-1.7061260839949342</v>
      </c>
      <c r="BA64" s="93">
        <v>19.73016584504331</v>
      </c>
      <c r="BB64" s="93">
        <v>18.024039761048375</v>
      </c>
      <c r="BD64" s="39">
        <f t="shared" si="53"/>
        <v>2.5409532368865007</v>
      </c>
      <c r="BE64" s="93">
        <v>14.926976334729311</v>
      </c>
      <c r="BF64" s="93">
        <v>-1.3830273865244627</v>
      </c>
      <c r="BG64" s="93">
        <v>4.2572967639145958</v>
      </c>
      <c r="BH64" s="93">
        <v>2.8742693773901333</v>
      </c>
      <c r="BJ64" s="39">
        <f t="shared" si="54"/>
        <v>2.5796718808031471</v>
      </c>
      <c r="BK64" s="93">
        <v>40.385319730226364</v>
      </c>
      <c r="BL64" s="93">
        <v>-0.75084702548436888</v>
      </c>
      <c r="BM64" s="93">
        <v>11.714543255967428</v>
      </c>
      <c r="BN64" s="93">
        <v>10.963696230483059</v>
      </c>
      <c r="BO64" s="93"/>
      <c r="BP64" s="39">
        <f t="shared" si="55"/>
        <v>2.7687485385664345</v>
      </c>
      <c r="BQ64" s="93">
        <v>11.967424532594377</v>
      </c>
      <c r="BR64" s="93">
        <v>0.42774832801389723</v>
      </c>
      <c r="BS64" s="93">
        <v>3.7583258251612852</v>
      </c>
      <c r="BT64" s="93">
        <v>4.1860741531751824</v>
      </c>
      <c r="BU64" s="90" t="e">
        <f t="shared" si="66"/>
        <v>#REF!</v>
      </c>
      <c r="BV64" s="39">
        <f t="shared" si="56"/>
        <v>2.518201489640326</v>
      </c>
      <c r="BW64" s="93">
        <v>11.027664527945932</v>
      </c>
      <c r="BX64" s="93">
        <v>1.3879359269084375</v>
      </c>
      <c r="BY64" s="93">
        <v>3.1137656010156576</v>
      </c>
      <c r="BZ64" s="93">
        <v>4.5017015279240953</v>
      </c>
      <c r="CB64" s="39">
        <f t="shared" si="57"/>
        <v>2.4600010102901804</v>
      </c>
      <c r="CC64" s="93">
        <v>4.6043551889988352</v>
      </c>
      <c r="CD64" s="93">
        <v>-9.4762721156135488E-2</v>
      </c>
      <c r="CE64" s="93">
        <v>1.2666488182504458</v>
      </c>
      <c r="CF64" s="93">
        <v>1.1718860970943104</v>
      </c>
      <c r="CH64" s="39">
        <f t="shared" si="58"/>
        <v>2.5135092689739569</v>
      </c>
      <c r="CI64" s="93">
        <v>5.3897928205850842</v>
      </c>
      <c r="CJ64" s="93">
        <v>0.93986804735963958</v>
      </c>
      <c r="CK64" s="93">
        <v>1.5186963016257615</v>
      </c>
      <c r="CL64" s="93">
        <v>2.458564348985401</v>
      </c>
      <c r="CM64" s="93"/>
      <c r="CN64" s="39">
        <f t="shared" si="59"/>
        <v>2.7978329732376128</v>
      </c>
      <c r="CO64" s="93">
        <v>1.0335165183620134</v>
      </c>
      <c r="CP64" s="93">
        <v>0.5428306007049335</v>
      </c>
      <c r="CQ64" s="93">
        <v>0.32842048113944977</v>
      </c>
      <c r="CR64" s="93">
        <v>0.87125108184438327</v>
      </c>
      <c r="CS64" s="90" t="e">
        <f t="shared" si="67"/>
        <v>#REF!</v>
      </c>
      <c r="CT64" s="39">
        <f t="shared" si="60"/>
        <v>2.9211505487475975</v>
      </c>
      <c r="CU64" s="93">
        <v>26.400418747118454</v>
      </c>
      <c r="CV64" s="93">
        <v>14.533116766874658</v>
      </c>
      <c r="CW64" s="93">
        <v>8.8088609591388032</v>
      </c>
      <c r="CX64" s="93">
        <v>23.341977726013461</v>
      </c>
      <c r="CZ64" s="39">
        <f t="shared" si="61"/>
        <v>2.8911023071172881</v>
      </c>
      <c r="DA64" s="93">
        <v>14.865759985559873</v>
      </c>
      <c r="DB64" s="93">
        <v>2.6047667577589646</v>
      </c>
      <c r="DC64" s="93">
        <v>4.9023576391297414</v>
      </c>
      <c r="DD64" s="93">
        <v>7.507124396888706</v>
      </c>
      <c r="DF64" s="39">
        <f t="shared" si="62"/>
        <v>2.9320472834624356</v>
      </c>
      <c r="DG64" s="93">
        <v>9.9319398501158016</v>
      </c>
      <c r="DH64" s="93">
        <v>8.9468017079534565</v>
      </c>
      <c r="DI64" s="93">
        <v>3.3279583238849022</v>
      </c>
      <c r="DJ64" s="93">
        <v>12.274760031838358</v>
      </c>
      <c r="DK64" s="93"/>
      <c r="DL64" s="39">
        <f t="shared" si="63"/>
        <v>3.1300160142738953</v>
      </c>
      <c r="DM64" s="93">
        <v>1.6027189114427818</v>
      </c>
      <c r="DN64" s="93">
        <v>2.981548301162237</v>
      </c>
      <c r="DO64" s="93">
        <v>0.57854499612415899</v>
      </c>
      <c r="DP64" s="93">
        <v>3.5600932972863961</v>
      </c>
    </row>
    <row r="65" spans="1:120" x14ac:dyDescent="0.2">
      <c r="A65" s="90" t="e">
        <f>name!#REF!</f>
        <v>#REF!</v>
      </c>
      <c r="B65" s="39">
        <f t="shared" si="44"/>
        <v>0</v>
      </c>
      <c r="C65" s="93">
        <v>0</v>
      </c>
      <c r="D65" s="93">
        <v>0</v>
      </c>
      <c r="E65" s="93">
        <v>0</v>
      </c>
      <c r="F65" s="93">
        <v>0</v>
      </c>
      <c r="H65" s="39">
        <f t="shared" si="45"/>
        <v>0</v>
      </c>
      <c r="I65" s="93">
        <v>0</v>
      </c>
      <c r="J65" s="93">
        <v>0</v>
      </c>
      <c r="K65" s="93">
        <v>0</v>
      </c>
      <c r="L65" s="93">
        <v>0</v>
      </c>
      <c r="N65" s="39">
        <f t="shared" si="46"/>
        <v>0</v>
      </c>
      <c r="O65" s="93">
        <v>0</v>
      </c>
      <c r="P65" s="93">
        <v>0</v>
      </c>
      <c r="Q65" s="93">
        <v>0</v>
      </c>
      <c r="R65" s="93">
        <v>0</v>
      </c>
      <c r="S65" s="93"/>
      <c r="T65" s="39">
        <f t="shared" si="47"/>
        <v>0</v>
      </c>
      <c r="U65" s="93">
        <v>0</v>
      </c>
      <c r="V65" s="93">
        <v>0</v>
      </c>
      <c r="W65" s="93">
        <v>0</v>
      </c>
      <c r="X65" s="93">
        <v>0</v>
      </c>
      <c r="Y65" s="90" t="e">
        <f t="shared" si="64"/>
        <v>#REF!</v>
      </c>
      <c r="Z65" s="39">
        <f t="shared" si="48"/>
        <v>0</v>
      </c>
      <c r="AA65" s="93">
        <v>0</v>
      </c>
      <c r="AB65" s="93">
        <v>0</v>
      </c>
      <c r="AC65" s="93">
        <v>0</v>
      </c>
      <c r="AD65" s="93">
        <v>0</v>
      </c>
      <c r="AF65" s="39">
        <f t="shared" si="49"/>
        <v>0</v>
      </c>
      <c r="AG65" s="93">
        <v>0</v>
      </c>
      <c r="AH65" s="93">
        <v>0</v>
      </c>
      <c r="AI65" s="93">
        <v>0</v>
      </c>
      <c r="AJ65" s="93">
        <v>0</v>
      </c>
      <c r="AL65" s="39">
        <f t="shared" si="50"/>
        <v>0</v>
      </c>
      <c r="AM65" s="93">
        <v>0</v>
      </c>
      <c r="AN65" s="93">
        <v>0</v>
      </c>
      <c r="AO65" s="93">
        <v>0</v>
      </c>
      <c r="AP65" s="93">
        <v>0</v>
      </c>
      <c r="AQ65" s="93"/>
      <c r="AR65" s="39">
        <f t="shared" si="51"/>
        <v>0</v>
      </c>
      <c r="AS65" s="93">
        <v>0</v>
      </c>
      <c r="AT65" s="93">
        <v>0</v>
      </c>
      <c r="AU65" s="93">
        <v>0</v>
      </c>
      <c r="AV65" s="93">
        <v>0</v>
      </c>
      <c r="AW65" s="90" t="e">
        <f t="shared" si="65"/>
        <v>#REF!</v>
      </c>
      <c r="AX65" s="39">
        <f t="shared" si="52"/>
        <v>0</v>
      </c>
      <c r="AY65" s="93">
        <v>0</v>
      </c>
      <c r="AZ65" s="93">
        <v>0</v>
      </c>
      <c r="BA65" s="93">
        <v>0</v>
      </c>
      <c r="BB65" s="93">
        <v>0</v>
      </c>
      <c r="BD65" s="39">
        <f t="shared" si="53"/>
        <v>0</v>
      </c>
      <c r="BE65" s="93">
        <v>0</v>
      </c>
      <c r="BF65" s="93">
        <v>0</v>
      </c>
      <c r="BG65" s="93">
        <v>0</v>
      </c>
      <c r="BH65" s="93">
        <v>0</v>
      </c>
      <c r="BJ65" s="39">
        <f t="shared" si="54"/>
        <v>0</v>
      </c>
      <c r="BK65" s="93">
        <v>0</v>
      </c>
      <c r="BL65" s="93">
        <v>0</v>
      </c>
      <c r="BM65" s="93">
        <v>0</v>
      </c>
      <c r="BN65" s="93">
        <v>0</v>
      </c>
      <c r="BO65" s="93"/>
      <c r="BP65" s="39">
        <f t="shared" si="55"/>
        <v>0</v>
      </c>
      <c r="BQ65" s="93">
        <v>0</v>
      </c>
      <c r="BR65" s="93">
        <v>0</v>
      </c>
      <c r="BS65" s="93">
        <v>0</v>
      </c>
      <c r="BT65" s="93">
        <v>0</v>
      </c>
      <c r="BU65" s="90" t="e">
        <f t="shared" si="66"/>
        <v>#REF!</v>
      </c>
      <c r="BV65" s="39">
        <f t="shared" si="56"/>
        <v>0</v>
      </c>
      <c r="BW65" s="93">
        <v>0</v>
      </c>
      <c r="BX65" s="93">
        <v>0</v>
      </c>
      <c r="BY65" s="93">
        <v>0</v>
      </c>
      <c r="BZ65" s="93">
        <v>0</v>
      </c>
      <c r="CB65" s="39">
        <f t="shared" si="57"/>
        <v>0</v>
      </c>
      <c r="CC65" s="93">
        <v>0</v>
      </c>
      <c r="CD65" s="93">
        <v>0</v>
      </c>
      <c r="CE65" s="93">
        <v>0</v>
      </c>
      <c r="CF65" s="93">
        <v>0</v>
      </c>
      <c r="CH65" s="39">
        <f t="shared" si="58"/>
        <v>0</v>
      </c>
      <c r="CI65" s="93">
        <v>0</v>
      </c>
      <c r="CJ65" s="93">
        <v>0</v>
      </c>
      <c r="CK65" s="93">
        <v>0</v>
      </c>
      <c r="CL65" s="93">
        <v>0</v>
      </c>
      <c r="CM65" s="93"/>
      <c r="CN65" s="39">
        <f t="shared" si="59"/>
        <v>0</v>
      </c>
      <c r="CO65" s="93">
        <v>0</v>
      </c>
      <c r="CP65" s="93">
        <v>0</v>
      </c>
      <c r="CQ65" s="93">
        <v>0</v>
      </c>
      <c r="CR65" s="93">
        <v>0</v>
      </c>
      <c r="CS65" s="90" t="e">
        <f t="shared" si="67"/>
        <v>#REF!</v>
      </c>
      <c r="CT65" s="39">
        <f t="shared" si="60"/>
        <v>0</v>
      </c>
      <c r="CU65" s="93">
        <v>0</v>
      </c>
      <c r="CV65" s="93">
        <v>0</v>
      </c>
      <c r="CW65" s="93">
        <v>0</v>
      </c>
      <c r="CX65" s="93">
        <v>0</v>
      </c>
      <c r="CZ65" s="39">
        <f t="shared" si="61"/>
        <v>0</v>
      </c>
      <c r="DA65" s="93">
        <v>0</v>
      </c>
      <c r="DB65" s="93">
        <v>0</v>
      </c>
      <c r="DC65" s="93">
        <v>0</v>
      </c>
      <c r="DD65" s="93">
        <v>0</v>
      </c>
      <c r="DF65" s="39">
        <f t="shared" si="62"/>
        <v>0</v>
      </c>
      <c r="DG65" s="93">
        <v>0</v>
      </c>
      <c r="DH65" s="93">
        <v>0</v>
      </c>
      <c r="DI65" s="93">
        <v>0</v>
      </c>
      <c r="DJ65" s="93">
        <v>0</v>
      </c>
      <c r="DK65" s="93"/>
      <c r="DL65" s="39">
        <f t="shared" si="63"/>
        <v>0</v>
      </c>
      <c r="DM65" s="93">
        <v>0</v>
      </c>
      <c r="DN65" s="93">
        <v>0</v>
      </c>
      <c r="DO65" s="93">
        <v>0</v>
      </c>
      <c r="DP65" s="93">
        <v>0</v>
      </c>
    </row>
    <row r="66" spans="1:120" x14ac:dyDescent="0.2">
      <c r="A66" s="90" t="e">
        <f>name!#REF!</f>
        <v>#REF!</v>
      </c>
      <c r="B66" s="39" t="e">
        <f t="shared" si="44"/>
        <v>#N/A</v>
      </c>
      <c r="C66" s="93" t="e">
        <v>#N/A</v>
      </c>
      <c r="D66" s="93" t="e">
        <v>#N/A</v>
      </c>
      <c r="E66" s="93" t="e">
        <v>#N/A</v>
      </c>
      <c r="F66" s="93" t="e">
        <v>#N/A</v>
      </c>
      <c r="H66" s="39" t="e">
        <f t="shared" si="45"/>
        <v>#N/A</v>
      </c>
      <c r="I66" s="93" t="e">
        <v>#N/A</v>
      </c>
      <c r="J66" s="93" t="e">
        <v>#N/A</v>
      </c>
      <c r="K66" s="93" t="e">
        <v>#N/A</v>
      </c>
      <c r="L66" s="93" t="e">
        <v>#N/A</v>
      </c>
      <c r="N66" s="39" t="e">
        <f t="shared" si="46"/>
        <v>#N/A</v>
      </c>
      <c r="O66" s="93" t="e">
        <v>#N/A</v>
      </c>
      <c r="P66" s="93" t="e">
        <v>#N/A</v>
      </c>
      <c r="Q66" s="93" t="e">
        <v>#N/A</v>
      </c>
      <c r="R66" s="93" t="e">
        <v>#N/A</v>
      </c>
      <c r="S66" s="93"/>
      <c r="T66" s="39" t="e">
        <f t="shared" si="47"/>
        <v>#N/A</v>
      </c>
      <c r="U66" s="93" t="e">
        <v>#N/A</v>
      </c>
      <c r="V66" s="93" t="e">
        <v>#N/A</v>
      </c>
      <c r="W66" s="93" t="e">
        <v>#N/A</v>
      </c>
      <c r="X66" s="93" t="e">
        <v>#N/A</v>
      </c>
      <c r="Y66" s="90" t="e">
        <f t="shared" si="64"/>
        <v>#REF!</v>
      </c>
      <c r="Z66" s="39" t="e">
        <f t="shared" si="48"/>
        <v>#N/A</v>
      </c>
      <c r="AA66" s="93" t="e">
        <v>#N/A</v>
      </c>
      <c r="AB66" s="93" t="e">
        <v>#N/A</v>
      </c>
      <c r="AC66" s="93" t="e">
        <v>#N/A</v>
      </c>
      <c r="AD66" s="93" t="e">
        <v>#N/A</v>
      </c>
      <c r="AF66" s="39" t="e">
        <f t="shared" si="49"/>
        <v>#N/A</v>
      </c>
      <c r="AG66" s="93" t="e">
        <v>#N/A</v>
      </c>
      <c r="AH66" s="93" t="e">
        <v>#N/A</v>
      </c>
      <c r="AI66" s="93" t="e">
        <v>#N/A</v>
      </c>
      <c r="AJ66" s="93" t="e">
        <v>#N/A</v>
      </c>
      <c r="AL66" s="39" t="e">
        <f t="shared" si="50"/>
        <v>#N/A</v>
      </c>
      <c r="AM66" s="93" t="e">
        <v>#N/A</v>
      </c>
      <c r="AN66" s="93" t="e">
        <v>#N/A</v>
      </c>
      <c r="AO66" s="93" t="e">
        <v>#N/A</v>
      </c>
      <c r="AP66" s="93" t="e">
        <v>#N/A</v>
      </c>
      <c r="AQ66" s="93"/>
      <c r="AR66" s="39" t="e">
        <f t="shared" si="51"/>
        <v>#N/A</v>
      </c>
      <c r="AS66" s="93" t="e">
        <v>#N/A</v>
      </c>
      <c r="AT66" s="93" t="e">
        <v>#N/A</v>
      </c>
      <c r="AU66" s="93" t="e">
        <v>#N/A</v>
      </c>
      <c r="AV66" s="93" t="e">
        <v>#N/A</v>
      </c>
      <c r="AW66" s="90" t="e">
        <f t="shared" si="65"/>
        <v>#REF!</v>
      </c>
      <c r="AX66" s="39" t="e">
        <f t="shared" si="52"/>
        <v>#N/A</v>
      </c>
      <c r="AY66" s="93" t="e">
        <v>#N/A</v>
      </c>
      <c r="AZ66" s="93" t="e">
        <v>#N/A</v>
      </c>
      <c r="BA66" s="93" t="e">
        <v>#N/A</v>
      </c>
      <c r="BB66" s="93" t="e">
        <v>#N/A</v>
      </c>
      <c r="BD66" s="39" t="e">
        <f t="shared" si="53"/>
        <v>#N/A</v>
      </c>
      <c r="BE66" s="93" t="e">
        <v>#N/A</v>
      </c>
      <c r="BF66" s="93" t="e">
        <v>#N/A</v>
      </c>
      <c r="BG66" s="93" t="e">
        <v>#N/A</v>
      </c>
      <c r="BH66" s="93" t="e">
        <v>#N/A</v>
      </c>
      <c r="BJ66" s="39" t="e">
        <f t="shared" si="54"/>
        <v>#N/A</v>
      </c>
      <c r="BK66" s="93" t="e">
        <v>#N/A</v>
      </c>
      <c r="BL66" s="93" t="e">
        <v>#N/A</v>
      </c>
      <c r="BM66" s="93" t="e">
        <v>#N/A</v>
      </c>
      <c r="BN66" s="93" t="e">
        <v>#N/A</v>
      </c>
      <c r="BO66" s="93"/>
      <c r="BP66" s="39" t="e">
        <f t="shared" si="55"/>
        <v>#N/A</v>
      </c>
      <c r="BQ66" s="93" t="e">
        <v>#N/A</v>
      </c>
      <c r="BR66" s="93" t="e">
        <v>#N/A</v>
      </c>
      <c r="BS66" s="93" t="e">
        <v>#N/A</v>
      </c>
      <c r="BT66" s="93" t="e">
        <v>#N/A</v>
      </c>
      <c r="BU66" s="90" t="e">
        <f t="shared" si="66"/>
        <v>#REF!</v>
      </c>
      <c r="BV66" s="39" t="e">
        <f t="shared" si="56"/>
        <v>#N/A</v>
      </c>
      <c r="BW66" s="93" t="e">
        <v>#N/A</v>
      </c>
      <c r="BX66" s="93" t="e">
        <v>#N/A</v>
      </c>
      <c r="BY66" s="93" t="e">
        <v>#N/A</v>
      </c>
      <c r="BZ66" s="93" t="e">
        <v>#N/A</v>
      </c>
      <c r="CB66" s="39" t="e">
        <f t="shared" si="57"/>
        <v>#N/A</v>
      </c>
      <c r="CC66" s="93" t="e">
        <v>#N/A</v>
      </c>
      <c r="CD66" s="93" t="e">
        <v>#N/A</v>
      </c>
      <c r="CE66" s="93" t="e">
        <v>#N/A</v>
      </c>
      <c r="CF66" s="93" t="e">
        <v>#N/A</v>
      </c>
      <c r="CH66" s="39" t="e">
        <f t="shared" si="58"/>
        <v>#N/A</v>
      </c>
      <c r="CI66" s="93" t="e">
        <v>#N/A</v>
      </c>
      <c r="CJ66" s="93" t="e">
        <v>#N/A</v>
      </c>
      <c r="CK66" s="93" t="e">
        <v>#N/A</v>
      </c>
      <c r="CL66" s="93" t="e">
        <v>#N/A</v>
      </c>
      <c r="CM66" s="93"/>
      <c r="CN66" s="39" t="e">
        <f t="shared" si="59"/>
        <v>#N/A</v>
      </c>
      <c r="CO66" s="93" t="e">
        <v>#N/A</v>
      </c>
      <c r="CP66" s="93" t="e">
        <v>#N/A</v>
      </c>
      <c r="CQ66" s="93" t="e">
        <v>#N/A</v>
      </c>
      <c r="CR66" s="93" t="e">
        <v>#N/A</v>
      </c>
      <c r="CS66" s="90" t="e">
        <f t="shared" si="67"/>
        <v>#REF!</v>
      </c>
      <c r="CT66" s="39" t="e">
        <f t="shared" si="60"/>
        <v>#N/A</v>
      </c>
      <c r="CU66" s="93" t="e">
        <v>#N/A</v>
      </c>
      <c r="CV66" s="93" t="e">
        <v>#N/A</v>
      </c>
      <c r="CW66" s="93" t="e">
        <v>#N/A</v>
      </c>
      <c r="CX66" s="93" t="e">
        <v>#N/A</v>
      </c>
      <c r="CZ66" s="39" t="e">
        <f t="shared" si="61"/>
        <v>#N/A</v>
      </c>
      <c r="DA66" s="93" t="e">
        <v>#N/A</v>
      </c>
      <c r="DB66" s="93" t="e">
        <v>#N/A</v>
      </c>
      <c r="DC66" s="93" t="e">
        <v>#N/A</v>
      </c>
      <c r="DD66" s="93" t="e">
        <v>#N/A</v>
      </c>
      <c r="DF66" s="39" t="e">
        <f t="shared" si="62"/>
        <v>#N/A</v>
      </c>
      <c r="DG66" s="93" t="e">
        <v>#N/A</v>
      </c>
      <c r="DH66" s="93" t="e">
        <v>#N/A</v>
      </c>
      <c r="DI66" s="93" t="e">
        <v>#N/A</v>
      </c>
      <c r="DJ66" s="93" t="e">
        <v>#N/A</v>
      </c>
      <c r="DK66" s="93"/>
      <c r="DL66" s="39" t="e">
        <f t="shared" si="63"/>
        <v>#N/A</v>
      </c>
      <c r="DM66" s="93" t="e">
        <v>#N/A</v>
      </c>
      <c r="DN66" s="93" t="e">
        <v>#N/A</v>
      </c>
      <c r="DO66" s="93" t="e">
        <v>#N/A</v>
      </c>
      <c r="DP66" s="93" t="e">
        <v>#N/A</v>
      </c>
    </row>
    <row r="67" spans="1:120" x14ac:dyDescent="0.2">
      <c r="A67" s="90" t="e">
        <f>name!#REF!</f>
        <v>#REF!</v>
      </c>
      <c r="B67" s="39" t="e">
        <f t="shared" si="44"/>
        <v>#N/A</v>
      </c>
      <c r="C67" s="93" t="e">
        <v>#N/A</v>
      </c>
      <c r="D67" s="93" t="e">
        <v>#N/A</v>
      </c>
      <c r="E67" s="93" t="e">
        <v>#N/A</v>
      </c>
      <c r="F67" s="93" t="e">
        <v>#N/A</v>
      </c>
      <c r="H67" s="39" t="e">
        <f t="shared" si="45"/>
        <v>#N/A</v>
      </c>
      <c r="I67" s="93" t="e">
        <v>#N/A</v>
      </c>
      <c r="J67" s="93" t="e">
        <v>#N/A</v>
      </c>
      <c r="K67" s="93" t="e">
        <v>#N/A</v>
      </c>
      <c r="L67" s="93" t="e">
        <v>#N/A</v>
      </c>
      <c r="N67" s="39" t="e">
        <f t="shared" si="46"/>
        <v>#N/A</v>
      </c>
      <c r="O67" s="93" t="e">
        <v>#N/A</v>
      </c>
      <c r="P67" s="93" t="e">
        <v>#N/A</v>
      </c>
      <c r="Q67" s="93" t="e">
        <v>#N/A</v>
      </c>
      <c r="R67" s="93" t="e">
        <v>#N/A</v>
      </c>
      <c r="S67" s="93"/>
      <c r="T67" s="39" t="e">
        <f t="shared" si="47"/>
        <v>#N/A</v>
      </c>
      <c r="U67" s="93" t="e">
        <v>#N/A</v>
      </c>
      <c r="V67" s="93" t="e">
        <v>#N/A</v>
      </c>
      <c r="W67" s="93" t="e">
        <v>#N/A</v>
      </c>
      <c r="X67" s="93" t="e">
        <v>#N/A</v>
      </c>
      <c r="Y67" s="90" t="e">
        <f t="shared" si="64"/>
        <v>#REF!</v>
      </c>
      <c r="Z67" s="39" t="e">
        <f t="shared" si="48"/>
        <v>#N/A</v>
      </c>
      <c r="AA67" s="93" t="e">
        <v>#N/A</v>
      </c>
      <c r="AB67" s="93" t="e">
        <v>#N/A</v>
      </c>
      <c r="AC67" s="93" t="e">
        <v>#N/A</v>
      </c>
      <c r="AD67" s="93" t="e">
        <v>#N/A</v>
      </c>
      <c r="AF67" s="39" t="e">
        <f t="shared" si="49"/>
        <v>#N/A</v>
      </c>
      <c r="AG67" s="93" t="e">
        <v>#N/A</v>
      </c>
      <c r="AH67" s="93" t="e">
        <v>#N/A</v>
      </c>
      <c r="AI67" s="93" t="e">
        <v>#N/A</v>
      </c>
      <c r="AJ67" s="93" t="e">
        <v>#N/A</v>
      </c>
      <c r="AL67" s="39" t="e">
        <f t="shared" si="50"/>
        <v>#N/A</v>
      </c>
      <c r="AM67" s="93" t="e">
        <v>#N/A</v>
      </c>
      <c r="AN67" s="93" t="e">
        <v>#N/A</v>
      </c>
      <c r="AO67" s="93" t="e">
        <v>#N/A</v>
      </c>
      <c r="AP67" s="93" t="e">
        <v>#N/A</v>
      </c>
      <c r="AQ67" s="93"/>
      <c r="AR67" s="39" t="e">
        <f t="shared" si="51"/>
        <v>#N/A</v>
      </c>
      <c r="AS67" s="93" t="e">
        <v>#N/A</v>
      </c>
      <c r="AT67" s="93" t="e">
        <v>#N/A</v>
      </c>
      <c r="AU67" s="93" t="e">
        <v>#N/A</v>
      </c>
      <c r="AV67" s="93" t="e">
        <v>#N/A</v>
      </c>
      <c r="AW67" s="90" t="e">
        <f t="shared" si="65"/>
        <v>#REF!</v>
      </c>
      <c r="AX67" s="39" t="e">
        <f t="shared" si="52"/>
        <v>#N/A</v>
      </c>
      <c r="AY67" s="93" t="e">
        <v>#N/A</v>
      </c>
      <c r="AZ67" s="93" t="e">
        <v>#N/A</v>
      </c>
      <c r="BA67" s="93" t="e">
        <v>#N/A</v>
      </c>
      <c r="BB67" s="93" t="e">
        <v>#N/A</v>
      </c>
      <c r="BD67" s="39" t="e">
        <f t="shared" si="53"/>
        <v>#N/A</v>
      </c>
      <c r="BE67" s="93" t="e">
        <v>#N/A</v>
      </c>
      <c r="BF67" s="93" t="e">
        <v>#N/A</v>
      </c>
      <c r="BG67" s="93" t="e">
        <v>#N/A</v>
      </c>
      <c r="BH67" s="93" t="e">
        <v>#N/A</v>
      </c>
      <c r="BJ67" s="39" t="e">
        <f t="shared" si="54"/>
        <v>#N/A</v>
      </c>
      <c r="BK67" s="93" t="e">
        <v>#N/A</v>
      </c>
      <c r="BL67" s="93" t="e">
        <v>#N/A</v>
      </c>
      <c r="BM67" s="93" t="e">
        <v>#N/A</v>
      </c>
      <c r="BN67" s="93" t="e">
        <v>#N/A</v>
      </c>
      <c r="BO67" s="93"/>
      <c r="BP67" s="39" t="e">
        <f t="shared" si="55"/>
        <v>#N/A</v>
      </c>
      <c r="BQ67" s="93" t="e">
        <v>#N/A</v>
      </c>
      <c r="BR67" s="93" t="e">
        <v>#N/A</v>
      </c>
      <c r="BS67" s="93" t="e">
        <v>#N/A</v>
      </c>
      <c r="BT67" s="93" t="e">
        <v>#N/A</v>
      </c>
      <c r="BU67" s="90" t="e">
        <f t="shared" si="66"/>
        <v>#REF!</v>
      </c>
      <c r="BV67" s="39" t="e">
        <f t="shared" si="56"/>
        <v>#N/A</v>
      </c>
      <c r="BW67" s="93" t="e">
        <v>#N/A</v>
      </c>
      <c r="BX67" s="93" t="e">
        <v>#N/A</v>
      </c>
      <c r="BY67" s="93" t="e">
        <v>#N/A</v>
      </c>
      <c r="BZ67" s="93" t="e">
        <v>#N/A</v>
      </c>
      <c r="CB67" s="39" t="e">
        <f t="shared" si="57"/>
        <v>#N/A</v>
      </c>
      <c r="CC67" s="93" t="e">
        <v>#N/A</v>
      </c>
      <c r="CD67" s="93" t="e">
        <v>#N/A</v>
      </c>
      <c r="CE67" s="93" t="e">
        <v>#N/A</v>
      </c>
      <c r="CF67" s="93" t="e">
        <v>#N/A</v>
      </c>
      <c r="CH67" s="39" t="e">
        <f t="shared" si="58"/>
        <v>#N/A</v>
      </c>
      <c r="CI67" s="93" t="e">
        <v>#N/A</v>
      </c>
      <c r="CJ67" s="93" t="e">
        <v>#N/A</v>
      </c>
      <c r="CK67" s="93" t="e">
        <v>#N/A</v>
      </c>
      <c r="CL67" s="93" t="e">
        <v>#N/A</v>
      </c>
      <c r="CM67" s="93"/>
      <c r="CN67" s="39" t="e">
        <f t="shared" si="59"/>
        <v>#N/A</v>
      </c>
      <c r="CO67" s="93" t="e">
        <v>#N/A</v>
      </c>
      <c r="CP67" s="93" t="e">
        <v>#N/A</v>
      </c>
      <c r="CQ67" s="93" t="e">
        <v>#N/A</v>
      </c>
      <c r="CR67" s="93" t="e">
        <v>#N/A</v>
      </c>
      <c r="CS67" s="90" t="e">
        <f t="shared" si="67"/>
        <v>#REF!</v>
      </c>
      <c r="CT67" s="39" t="e">
        <f t="shared" si="60"/>
        <v>#N/A</v>
      </c>
      <c r="CU67" s="93" t="e">
        <v>#N/A</v>
      </c>
      <c r="CV67" s="93" t="e">
        <v>#N/A</v>
      </c>
      <c r="CW67" s="93" t="e">
        <v>#N/A</v>
      </c>
      <c r="CX67" s="93" t="e">
        <v>#N/A</v>
      </c>
      <c r="CZ67" s="39" t="e">
        <f t="shared" si="61"/>
        <v>#N/A</v>
      </c>
      <c r="DA67" s="93" t="e">
        <v>#N/A</v>
      </c>
      <c r="DB67" s="93" t="e">
        <v>#N/A</v>
      </c>
      <c r="DC67" s="93" t="e">
        <v>#N/A</v>
      </c>
      <c r="DD67" s="93" t="e">
        <v>#N/A</v>
      </c>
      <c r="DF67" s="39" t="e">
        <f t="shared" si="62"/>
        <v>#N/A</v>
      </c>
      <c r="DG67" s="93" t="e">
        <v>#N/A</v>
      </c>
      <c r="DH67" s="93" t="e">
        <v>#N/A</v>
      </c>
      <c r="DI67" s="93" t="e">
        <v>#N/A</v>
      </c>
      <c r="DJ67" s="93" t="e">
        <v>#N/A</v>
      </c>
      <c r="DK67" s="93"/>
      <c r="DL67" s="39" t="e">
        <f t="shared" si="63"/>
        <v>#N/A</v>
      </c>
      <c r="DM67" s="93" t="e">
        <v>#N/A</v>
      </c>
      <c r="DN67" s="93" t="e">
        <v>#N/A</v>
      </c>
      <c r="DO67" s="93" t="e">
        <v>#N/A</v>
      </c>
      <c r="DP67" s="93" t="e">
        <v>#N/A</v>
      </c>
    </row>
    <row r="68" spans="1:120" x14ac:dyDescent="0.2">
      <c r="A68" s="90" t="e">
        <f>name!#REF!</f>
        <v>#REF!</v>
      </c>
      <c r="B68" s="39" t="e">
        <f t="shared" si="44"/>
        <v>#N/A</v>
      </c>
      <c r="C68" s="93" t="e">
        <v>#N/A</v>
      </c>
      <c r="D68" s="93" t="e">
        <v>#N/A</v>
      </c>
      <c r="E68" s="93" t="e">
        <v>#N/A</v>
      </c>
      <c r="F68" s="93" t="e">
        <v>#N/A</v>
      </c>
      <c r="H68" s="39" t="e">
        <f t="shared" si="45"/>
        <v>#N/A</v>
      </c>
      <c r="I68" s="93" t="e">
        <v>#N/A</v>
      </c>
      <c r="J68" s="93" t="e">
        <v>#N/A</v>
      </c>
      <c r="K68" s="93" t="e">
        <v>#N/A</v>
      </c>
      <c r="L68" s="93" t="e">
        <v>#N/A</v>
      </c>
      <c r="N68" s="39" t="e">
        <f t="shared" si="46"/>
        <v>#N/A</v>
      </c>
      <c r="O68" s="93" t="e">
        <v>#N/A</v>
      </c>
      <c r="P68" s="93" t="e">
        <v>#N/A</v>
      </c>
      <c r="Q68" s="93" t="e">
        <v>#N/A</v>
      </c>
      <c r="R68" s="93" t="e">
        <v>#N/A</v>
      </c>
      <c r="S68" s="93"/>
      <c r="T68" s="39" t="e">
        <f t="shared" si="47"/>
        <v>#N/A</v>
      </c>
      <c r="U68" s="93" t="e">
        <v>#N/A</v>
      </c>
      <c r="V68" s="93" t="e">
        <v>#N/A</v>
      </c>
      <c r="W68" s="93" t="e">
        <v>#N/A</v>
      </c>
      <c r="X68" s="93" t="e">
        <v>#N/A</v>
      </c>
      <c r="Y68" s="90" t="e">
        <f t="shared" si="64"/>
        <v>#REF!</v>
      </c>
      <c r="Z68" s="39" t="e">
        <f t="shared" si="48"/>
        <v>#N/A</v>
      </c>
      <c r="AA68" s="93" t="e">
        <v>#N/A</v>
      </c>
      <c r="AB68" s="93" t="e">
        <v>#N/A</v>
      </c>
      <c r="AC68" s="93" t="e">
        <v>#N/A</v>
      </c>
      <c r="AD68" s="93" t="e">
        <v>#N/A</v>
      </c>
      <c r="AF68" s="39" t="e">
        <f t="shared" si="49"/>
        <v>#N/A</v>
      </c>
      <c r="AG68" s="93" t="e">
        <v>#N/A</v>
      </c>
      <c r="AH68" s="93" t="e">
        <v>#N/A</v>
      </c>
      <c r="AI68" s="93" t="e">
        <v>#N/A</v>
      </c>
      <c r="AJ68" s="93" t="e">
        <v>#N/A</v>
      </c>
      <c r="AL68" s="39" t="e">
        <f t="shared" si="50"/>
        <v>#N/A</v>
      </c>
      <c r="AM68" s="93" t="e">
        <v>#N/A</v>
      </c>
      <c r="AN68" s="93" t="e">
        <v>#N/A</v>
      </c>
      <c r="AO68" s="93" t="e">
        <v>#N/A</v>
      </c>
      <c r="AP68" s="93" t="e">
        <v>#N/A</v>
      </c>
      <c r="AQ68" s="93"/>
      <c r="AR68" s="39" t="e">
        <f t="shared" si="51"/>
        <v>#N/A</v>
      </c>
      <c r="AS68" s="93" t="e">
        <v>#N/A</v>
      </c>
      <c r="AT68" s="93" t="e">
        <v>#N/A</v>
      </c>
      <c r="AU68" s="93" t="e">
        <v>#N/A</v>
      </c>
      <c r="AV68" s="93" t="e">
        <v>#N/A</v>
      </c>
      <c r="AW68" s="90" t="e">
        <f t="shared" si="65"/>
        <v>#REF!</v>
      </c>
      <c r="AX68" s="39" t="e">
        <f t="shared" si="52"/>
        <v>#N/A</v>
      </c>
      <c r="AY68" s="93" t="e">
        <v>#N/A</v>
      </c>
      <c r="AZ68" s="93" t="e">
        <v>#N/A</v>
      </c>
      <c r="BA68" s="93" t="e">
        <v>#N/A</v>
      </c>
      <c r="BB68" s="93" t="e">
        <v>#N/A</v>
      </c>
      <c r="BD68" s="39" t="e">
        <f t="shared" si="53"/>
        <v>#N/A</v>
      </c>
      <c r="BE68" s="93" t="e">
        <v>#N/A</v>
      </c>
      <c r="BF68" s="93" t="e">
        <v>#N/A</v>
      </c>
      <c r="BG68" s="93" t="e">
        <v>#N/A</v>
      </c>
      <c r="BH68" s="93" t="e">
        <v>#N/A</v>
      </c>
      <c r="BJ68" s="39" t="e">
        <f t="shared" si="54"/>
        <v>#N/A</v>
      </c>
      <c r="BK68" s="93" t="e">
        <v>#N/A</v>
      </c>
      <c r="BL68" s="93" t="e">
        <v>#N/A</v>
      </c>
      <c r="BM68" s="93" t="e">
        <v>#N/A</v>
      </c>
      <c r="BN68" s="93" t="e">
        <v>#N/A</v>
      </c>
      <c r="BO68" s="93"/>
      <c r="BP68" s="39" t="e">
        <f t="shared" si="55"/>
        <v>#N/A</v>
      </c>
      <c r="BQ68" s="93" t="e">
        <v>#N/A</v>
      </c>
      <c r="BR68" s="93" t="e">
        <v>#N/A</v>
      </c>
      <c r="BS68" s="93" t="e">
        <v>#N/A</v>
      </c>
      <c r="BT68" s="93" t="e">
        <v>#N/A</v>
      </c>
      <c r="BU68" s="90" t="e">
        <f t="shared" si="66"/>
        <v>#REF!</v>
      </c>
      <c r="BV68" s="39" t="e">
        <f t="shared" si="56"/>
        <v>#N/A</v>
      </c>
      <c r="BW68" s="93" t="e">
        <v>#N/A</v>
      </c>
      <c r="BX68" s="93" t="e">
        <v>#N/A</v>
      </c>
      <c r="BY68" s="93" t="e">
        <v>#N/A</v>
      </c>
      <c r="BZ68" s="93" t="e">
        <v>#N/A</v>
      </c>
      <c r="CB68" s="39" t="e">
        <f t="shared" si="57"/>
        <v>#N/A</v>
      </c>
      <c r="CC68" s="93" t="e">
        <v>#N/A</v>
      </c>
      <c r="CD68" s="93" t="e">
        <v>#N/A</v>
      </c>
      <c r="CE68" s="93" t="e">
        <v>#N/A</v>
      </c>
      <c r="CF68" s="93" t="e">
        <v>#N/A</v>
      </c>
      <c r="CH68" s="39" t="e">
        <f t="shared" si="58"/>
        <v>#N/A</v>
      </c>
      <c r="CI68" s="93" t="e">
        <v>#N/A</v>
      </c>
      <c r="CJ68" s="93" t="e">
        <v>#N/A</v>
      </c>
      <c r="CK68" s="93" t="e">
        <v>#N/A</v>
      </c>
      <c r="CL68" s="93" t="e">
        <v>#N/A</v>
      </c>
      <c r="CM68" s="93"/>
      <c r="CN68" s="39" t="e">
        <f t="shared" si="59"/>
        <v>#N/A</v>
      </c>
      <c r="CO68" s="93" t="e">
        <v>#N/A</v>
      </c>
      <c r="CP68" s="93" t="e">
        <v>#N/A</v>
      </c>
      <c r="CQ68" s="93" t="e">
        <v>#N/A</v>
      </c>
      <c r="CR68" s="93" t="e">
        <v>#N/A</v>
      </c>
      <c r="CS68" s="90" t="e">
        <f t="shared" si="67"/>
        <v>#REF!</v>
      </c>
      <c r="CT68" s="39" t="e">
        <f t="shared" si="60"/>
        <v>#N/A</v>
      </c>
      <c r="CU68" s="93" t="e">
        <v>#N/A</v>
      </c>
      <c r="CV68" s="93" t="e">
        <v>#N/A</v>
      </c>
      <c r="CW68" s="93" t="e">
        <v>#N/A</v>
      </c>
      <c r="CX68" s="93" t="e">
        <v>#N/A</v>
      </c>
      <c r="CZ68" s="39" t="e">
        <f t="shared" si="61"/>
        <v>#N/A</v>
      </c>
      <c r="DA68" s="93" t="e">
        <v>#N/A</v>
      </c>
      <c r="DB68" s="93" t="e">
        <v>#N/A</v>
      </c>
      <c r="DC68" s="93" t="e">
        <v>#N/A</v>
      </c>
      <c r="DD68" s="93" t="e">
        <v>#N/A</v>
      </c>
      <c r="DF68" s="39" t="e">
        <f t="shared" si="62"/>
        <v>#N/A</v>
      </c>
      <c r="DG68" s="93" t="e">
        <v>#N/A</v>
      </c>
      <c r="DH68" s="93" t="e">
        <v>#N/A</v>
      </c>
      <c r="DI68" s="93" t="e">
        <v>#N/A</v>
      </c>
      <c r="DJ68" s="93" t="e">
        <v>#N/A</v>
      </c>
      <c r="DK68" s="93"/>
      <c r="DL68" s="39" t="e">
        <f t="shared" si="63"/>
        <v>#N/A</v>
      </c>
      <c r="DM68" s="93" t="e">
        <v>#N/A</v>
      </c>
      <c r="DN68" s="93" t="e">
        <v>#N/A</v>
      </c>
      <c r="DO68" s="93" t="e">
        <v>#N/A</v>
      </c>
      <c r="DP68" s="93" t="e">
        <v>#N/A</v>
      </c>
    </row>
    <row r="69" spans="1:120" x14ac:dyDescent="0.2">
      <c r="A69" s="90" t="e">
        <f>name!#REF!</f>
        <v>#REF!</v>
      </c>
      <c r="B69" s="39" t="e">
        <f t="shared" si="44"/>
        <v>#N/A</v>
      </c>
      <c r="C69" s="93" t="e">
        <v>#N/A</v>
      </c>
      <c r="D69" s="93" t="e">
        <v>#N/A</v>
      </c>
      <c r="E69" s="93" t="e">
        <v>#N/A</v>
      </c>
      <c r="F69" s="93" t="e">
        <v>#N/A</v>
      </c>
      <c r="H69" s="39" t="e">
        <f t="shared" si="45"/>
        <v>#N/A</v>
      </c>
      <c r="I69" s="93" t="e">
        <v>#N/A</v>
      </c>
      <c r="J69" s="93" t="e">
        <v>#N/A</v>
      </c>
      <c r="K69" s="93" t="e">
        <v>#N/A</v>
      </c>
      <c r="L69" s="93" t="e">
        <v>#N/A</v>
      </c>
      <c r="N69" s="39" t="e">
        <f t="shared" si="46"/>
        <v>#N/A</v>
      </c>
      <c r="O69" s="93" t="e">
        <v>#N/A</v>
      </c>
      <c r="P69" s="93" t="e">
        <v>#N/A</v>
      </c>
      <c r="Q69" s="93" t="e">
        <v>#N/A</v>
      </c>
      <c r="R69" s="93" t="e">
        <v>#N/A</v>
      </c>
      <c r="S69" s="93"/>
      <c r="T69" s="39" t="e">
        <f t="shared" si="47"/>
        <v>#N/A</v>
      </c>
      <c r="U69" s="93" t="e">
        <v>#N/A</v>
      </c>
      <c r="V69" s="93" t="e">
        <v>#N/A</v>
      </c>
      <c r="W69" s="93" t="e">
        <v>#N/A</v>
      </c>
      <c r="X69" s="93" t="e">
        <v>#N/A</v>
      </c>
      <c r="Y69" s="90" t="e">
        <f t="shared" si="64"/>
        <v>#REF!</v>
      </c>
      <c r="Z69" s="39" t="e">
        <f t="shared" si="48"/>
        <v>#N/A</v>
      </c>
      <c r="AA69" s="93" t="e">
        <v>#N/A</v>
      </c>
      <c r="AB69" s="93" t="e">
        <v>#N/A</v>
      </c>
      <c r="AC69" s="93" t="e">
        <v>#N/A</v>
      </c>
      <c r="AD69" s="93" t="e">
        <v>#N/A</v>
      </c>
      <c r="AF69" s="39" t="e">
        <f t="shared" si="49"/>
        <v>#N/A</v>
      </c>
      <c r="AG69" s="93" t="e">
        <v>#N/A</v>
      </c>
      <c r="AH69" s="93" t="e">
        <v>#N/A</v>
      </c>
      <c r="AI69" s="93" t="e">
        <v>#N/A</v>
      </c>
      <c r="AJ69" s="93" t="e">
        <v>#N/A</v>
      </c>
      <c r="AL69" s="39" t="e">
        <f t="shared" si="50"/>
        <v>#N/A</v>
      </c>
      <c r="AM69" s="93" t="e">
        <v>#N/A</v>
      </c>
      <c r="AN69" s="93" t="e">
        <v>#N/A</v>
      </c>
      <c r="AO69" s="93" t="e">
        <v>#N/A</v>
      </c>
      <c r="AP69" s="93" t="e">
        <v>#N/A</v>
      </c>
      <c r="AQ69" s="93"/>
      <c r="AR69" s="39" t="e">
        <f t="shared" si="51"/>
        <v>#N/A</v>
      </c>
      <c r="AS69" s="93" t="e">
        <v>#N/A</v>
      </c>
      <c r="AT69" s="93" t="e">
        <v>#N/A</v>
      </c>
      <c r="AU69" s="93" t="e">
        <v>#N/A</v>
      </c>
      <c r="AV69" s="93" t="e">
        <v>#N/A</v>
      </c>
      <c r="AW69" s="90" t="e">
        <f t="shared" si="65"/>
        <v>#REF!</v>
      </c>
      <c r="AX69" s="39" t="e">
        <f t="shared" si="52"/>
        <v>#N/A</v>
      </c>
      <c r="AY69" s="93" t="e">
        <v>#N/A</v>
      </c>
      <c r="AZ69" s="93" t="e">
        <v>#N/A</v>
      </c>
      <c r="BA69" s="93" t="e">
        <v>#N/A</v>
      </c>
      <c r="BB69" s="93" t="e">
        <v>#N/A</v>
      </c>
      <c r="BD69" s="39" t="e">
        <f t="shared" si="53"/>
        <v>#N/A</v>
      </c>
      <c r="BE69" s="93" t="e">
        <v>#N/A</v>
      </c>
      <c r="BF69" s="93" t="e">
        <v>#N/A</v>
      </c>
      <c r="BG69" s="93" t="e">
        <v>#N/A</v>
      </c>
      <c r="BH69" s="93" t="e">
        <v>#N/A</v>
      </c>
      <c r="BJ69" s="39" t="e">
        <f t="shared" si="54"/>
        <v>#N/A</v>
      </c>
      <c r="BK69" s="93" t="e">
        <v>#N/A</v>
      </c>
      <c r="BL69" s="93" t="e">
        <v>#N/A</v>
      </c>
      <c r="BM69" s="93" t="e">
        <v>#N/A</v>
      </c>
      <c r="BN69" s="93" t="e">
        <v>#N/A</v>
      </c>
      <c r="BO69" s="93"/>
      <c r="BP69" s="39" t="e">
        <f t="shared" si="55"/>
        <v>#N/A</v>
      </c>
      <c r="BQ69" s="93" t="e">
        <v>#N/A</v>
      </c>
      <c r="BR69" s="93" t="e">
        <v>#N/A</v>
      </c>
      <c r="BS69" s="93" t="e">
        <v>#N/A</v>
      </c>
      <c r="BT69" s="93" t="e">
        <v>#N/A</v>
      </c>
      <c r="BU69" s="90" t="e">
        <f t="shared" si="66"/>
        <v>#REF!</v>
      </c>
      <c r="BV69" s="39" t="e">
        <f t="shared" si="56"/>
        <v>#N/A</v>
      </c>
      <c r="BW69" s="93" t="e">
        <v>#N/A</v>
      </c>
      <c r="BX69" s="93" t="e">
        <v>#N/A</v>
      </c>
      <c r="BY69" s="93" t="e">
        <v>#N/A</v>
      </c>
      <c r="BZ69" s="93" t="e">
        <v>#N/A</v>
      </c>
      <c r="CB69" s="39" t="e">
        <f t="shared" si="57"/>
        <v>#N/A</v>
      </c>
      <c r="CC69" s="93" t="e">
        <v>#N/A</v>
      </c>
      <c r="CD69" s="93" t="e">
        <v>#N/A</v>
      </c>
      <c r="CE69" s="93" t="e">
        <v>#N/A</v>
      </c>
      <c r="CF69" s="93" t="e">
        <v>#N/A</v>
      </c>
      <c r="CH69" s="39" t="e">
        <f t="shared" si="58"/>
        <v>#N/A</v>
      </c>
      <c r="CI69" s="93" t="e">
        <v>#N/A</v>
      </c>
      <c r="CJ69" s="93" t="e">
        <v>#N/A</v>
      </c>
      <c r="CK69" s="93" t="e">
        <v>#N/A</v>
      </c>
      <c r="CL69" s="93" t="e">
        <v>#N/A</v>
      </c>
      <c r="CM69" s="93"/>
      <c r="CN69" s="39" t="e">
        <f t="shared" si="59"/>
        <v>#N/A</v>
      </c>
      <c r="CO69" s="93" t="e">
        <v>#N/A</v>
      </c>
      <c r="CP69" s="93" t="e">
        <v>#N/A</v>
      </c>
      <c r="CQ69" s="93" t="e">
        <v>#N/A</v>
      </c>
      <c r="CR69" s="93" t="e">
        <v>#N/A</v>
      </c>
      <c r="CS69" s="90" t="e">
        <f t="shared" si="67"/>
        <v>#REF!</v>
      </c>
      <c r="CT69" s="39" t="e">
        <f t="shared" si="60"/>
        <v>#N/A</v>
      </c>
      <c r="CU69" s="93" t="e">
        <v>#N/A</v>
      </c>
      <c r="CV69" s="93" t="e">
        <v>#N/A</v>
      </c>
      <c r="CW69" s="93" t="e">
        <v>#N/A</v>
      </c>
      <c r="CX69" s="93" t="e">
        <v>#N/A</v>
      </c>
      <c r="CZ69" s="39" t="e">
        <f t="shared" si="61"/>
        <v>#N/A</v>
      </c>
      <c r="DA69" s="93" t="e">
        <v>#N/A</v>
      </c>
      <c r="DB69" s="93" t="e">
        <v>#N/A</v>
      </c>
      <c r="DC69" s="93" t="e">
        <v>#N/A</v>
      </c>
      <c r="DD69" s="93" t="e">
        <v>#N/A</v>
      </c>
      <c r="DF69" s="39" t="e">
        <f t="shared" si="62"/>
        <v>#N/A</v>
      </c>
      <c r="DG69" s="93" t="e">
        <v>#N/A</v>
      </c>
      <c r="DH69" s="93" t="e">
        <v>#N/A</v>
      </c>
      <c r="DI69" s="93" t="e">
        <v>#N/A</v>
      </c>
      <c r="DJ69" s="93" t="e">
        <v>#N/A</v>
      </c>
      <c r="DK69" s="93"/>
      <c r="DL69" s="39" t="e">
        <f t="shared" si="63"/>
        <v>#N/A</v>
      </c>
      <c r="DM69" s="93" t="e">
        <v>#N/A</v>
      </c>
      <c r="DN69" s="93" t="e">
        <v>#N/A</v>
      </c>
      <c r="DO69" s="93" t="e">
        <v>#N/A</v>
      </c>
      <c r="DP69" s="93" t="e">
        <v>#N/A</v>
      </c>
    </row>
    <row r="70" spans="1:120" x14ac:dyDescent="0.2">
      <c r="A70" s="90" t="e">
        <f>name!#REF!</f>
        <v>#REF!</v>
      </c>
      <c r="B70" s="39" t="e">
        <f t="shared" si="44"/>
        <v>#N/A</v>
      </c>
      <c r="C70" s="93" t="e">
        <v>#N/A</v>
      </c>
      <c r="D70" s="93" t="e">
        <v>#N/A</v>
      </c>
      <c r="E70" s="93" t="e">
        <v>#N/A</v>
      </c>
      <c r="F70" s="93" t="e">
        <v>#N/A</v>
      </c>
      <c r="H70" s="39" t="e">
        <f t="shared" si="45"/>
        <v>#N/A</v>
      </c>
      <c r="I70" s="93" t="e">
        <v>#N/A</v>
      </c>
      <c r="J70" s="93" t="e">
        <v>#N/A</v>
      </c>
      <c r="K70" s="93" t="e">
        <v>#N/A</v>
      </c>
      <c r="L70" s="93" t="e">
        <v>#N/A</v>
      </c>
      <c r="N70" s="39" t="e">
        <f t="shared" si="46"/>
        <v>#N/A</v>
      </c>
      <c r="O70" s="93" t="e">
        <v>#N/A</v>
      </c>
      <c r="P70" s="93" t="e">
        <v>#N/A</v>
      </c>
      <c r="Q70" s="93" t="e">
        <v>#N/A</v>
      </c>
      <c r="R70" s="93" t="e">
        <v>#N/A</v>
      </c>
      <c r="S70" s="93"/>
      <c r="T70" s="39" t="e">
        <f t="shared" si="47"/>
        <v>#N/A</v>
      </c>
      <c r="U70" s="93" t="e">
        <v>#N/A</v>
      </c>
      <c r="V70" s="93" t="e">
        <v>#N/A</v>
      </c>
      <c r="W70" s="93" t="e">
        <v>#N/A</v>
      </c>
      <c r="X70" s="93" t="e">
        <v>#N/A</v>
      </c>
      <c r="Y70" s="90" t="e">
        <f t="shared" si="64"/>
        <v>#REF!</v>
      </c>
      <c r="Z70" s="39" t="e">
        <f t="shared" si="48"/>
        <v>#N/A</v>
      </c>
      <c r="AA70" s="93" t="e">
        <v>#N/A</v>
      </c>
      <c r="AB70" s="93" t="e">
        <v>#N/A</v>
      </c>
      <c r="AC70" s="93" t="e">
        <v>#N/A</v>
      </c>
      <c r="AD70" s="93" t="e">
        <v>#N/A</v>
      </c>
      <c r="AF70" s="39" t="e">
        <f t="shared" si="49"/>
        <v>#N/A</v>
      </c>
      <c r="AG70" s="93" t="e">
        <v>#N/A</v>
      </c>
      <c r="AH70" s="93" t="e">
        <v>#N/A</v>
      </c>
      <c r="AI70" s="93" t="e">
        <v>#N/A</v>
      </c>
      <c r="AJ70" s="93" t="e">
        <v>#N/A</v>
      </c>
      <c r="AL70" s="39" t="e">
        <f t="shared" si="50"/>
        <v>#N/A</v>
      </c>
      <c r="AM70" s="93" t="e">
        <v>#N/A</v>
      </c>
      <c r="AN70" s="93" t="e">
        <v>#N/A</v>
      </c>
      <c r="AO70" s="93" t="e">
        <v>#N/A</v>
      </c>
      <c r="AP70" s="93" t="e">
        <v>#N/A</v>
      </c>
      <c r="AQ70" s="93"/>
      <c r="AR70" s="39" t="e">
        <f t="shared" si="51"/>
        <v>#N/A</v>
      </c>
      <c r="AS70" s="93" t="e">
        <v>#N/A</v>
      </c>
      <c r="AT70" s="93" t="e">
        <v>#N/A</v>
      </c>
      <c r="AU70" s="93" t="e">
        <v>#N/A</v>
      </c>
      <c r="AV70" s="93" t="e">
        <v>#N/A</v>
      </c>
      <c r="AW70" s="90" t="e">
        <f t="shared" si="65"/>
        <v>#REF!</v>
      </c>
      <c r="AX70" s="39" t="e">
        <f t="shared" si="52"/>
        <v>#N/A</v>
      </c>
      <c r="AY70" s="93" t="e">
        <v>#N/A</v>
      </c>
      <c r="AZ70" s="93" t="e">
        <v>#N/A</v>
      </c>
      <c r="BA70" s="93" t="e">
        <v>#N/A</v>
      </c>
      <c r="BB70" s="93" t="e">
        <v>#N/A</v>
      </c>
      <c r="BD70" s="39" t="e">
        <f t="shared" si="53"/>
        <v>#N/A</v>
      </c>
      <c r="BE70" s="93" t="e">
        <v>#N/A</v>
      </c>
      <c r="BF70" s="93" t="e">
        <v>#N/A</v>
      </c>
      <c r="BG70" s="93" t="e">
        <v>#N/A</v>
      </c>
      <c r="BH70" s="93" t="e">
        <v>#N/A</v>
      </c>
      <c r="BJ70" s="39" t="e">
        <f t="shared" si="54"/>
        <v>#N/A</v>
      </c>
      <c r="BK70" s="93" t="e">
        <v>#N/A</v>
      </c>
      <c r="BL70" s="93" t="e">
        <v>#N/A</v>
      </c>
      <c r="BM70" s="93" t="e">
        <v>#N/A</v>
      </c>
      <c r="BN70" s="93" t="e">
        <v>#N/A</v>
      </c>
      <c r="BO70" s="93"/>
      <c r="BP70" s="39" t="e">
        <f t="shared" si="55"/>
        <v>#N/A</v>
      </c>
      <c r="BQ70" s="93" t="e">
        <v>#N/A</v>
      </c>
      <c r="BR70" s="93" t="e">
        <v>#N/A</v>
      </c>
      <c r="BS70" s="93" t="e">
        <v>#N/A</v>
      </c>
      <c r="BT70" s="93" t="e">
        <v>#N/A</v>
      </c>
      <c r="BU70" s="90" t="e">
        <f t="shared" si="66"/>
        <v>#REF!</v>
      </c>
      <c r="BV70" s="39" t="e">
        <f t="shared" si="56"/>
        <v>#N/A</v>
      </c>
      <c r="BW70" s="93" t="e">
        <v>#N/A</v>
      </c>
      <c r="BX70" s="93" t="e">
        <v>#N/A</v>
      </c>
      <c r="BY70" s="93" t="e">
        <v>#N/A</v>
      </c>
      <c r="BZ70" s="93" t="e">
        <v>#N/A</v>
      </c>
      <c r="CB70" s="39" t="e">
        <f t="shared" si="57"/>
        <v>#N/A</v>
      </c>
      <c r="CC70" s="93" t="e">
        <v>#N/A</v>
      </c>
      <c r="CD70" s="93" t="e">
        <v>#N/A</v>
      </c>
      <c r="CE70" s="93" t="e">
        <v>#N/A</v>
      </c>
      <c r="CF70" s="93" t="e">
        <v>#N/A</v>
      </c>
      <c r="CH70" s="39" t="e">
        <f t="shared" si="58"/>
        <v>#N/A</v>
      </c>
      <c r="CI70" s="93" t="e">
        <v>#N/A</v>
      </c>
      <c r="CJ70" s="93" t="e">
        <v>#N/A</v>
      </c>
      <c r="CK70" s="93" t="e">
        <v>#N/A</v>
      </c>
      <c r="CL70" s="93" t="e">
        <v>#N/A</v>
      </c>
      <c r="CM70" s="93"/>
      <c r="CN70" s="39" t="e">
        <f t="shared" si="59"/>
        <v>#N/A</v>
      </c>
      <c r="CO70" s="93" t="e">
        <v>#N/A</v>
      </c>
      <c r="CP70" s="93" t="e">
        <v>#N/A</v>
      </c>
      <c r="CQ70" s="93" t="e">
        <v>#N/A</v>
      </c>
      <c r="CR70" s="93" t="e">
        <v>#N/A</v>
      </c>
      <c r="CS70" s="90" t="e">
        <f t="shared" si="67"/>
        <v>#REF!</v>
      </c>
      <c r="CT70" s="39" t="e">
        <f t="shared" si="60"/>
        <v>#N/A</v>
      </c>
      <c r="CU70" s="93" t="e">
        <v>#N/A</v>
      </c>
      <c r="CV70" s="93" t="e">
        <v>#N/A</v>
      </c>
      <c r="CW70" s="93" t="e">
        <v>#N/A</v>
      </c>
      <c r="CX70" s="93" t="e">
        <v>#N/A</v>
      </c>
      <c r="CZ70" s="39" t="e">
        <f t="shared" si="61"/>
        <v>#N/A</v>
      </c>
      <c r="DA70" s="93" t="e">
        <v>#N/A</v>
      </c>
      <c r="DB70" s="93" t="e">
        <v>#N/A</v>
      </c>
      <c r="DC70" s="93" t="e">
        <v>#N/A</v>
      </c>
      <c r="DD70" s="93" t="e">
        <v>#N/A</v>
      </c>
      <c r="DF70" s="39" t="e">
        <f t="shared" si="62"/>
        <v>#N/A</v>
      </c>
      <c r="DG70" s="93" t="e">
        <v>#N/A</v>
      </c>
      <c r="DH70" s="93" t="e">
        <v>#N/A</v>
      </c>
      <c r="DI70" s="93" t="e">
        <v>#N/A</v>
      </c>
      <c r="DJ70" s="93" t="e">
        <v>#N/A</v>
      </c>
      <c r="DK70" s="93"/>
      <c r="DL70" s="39" t="e">
        <f t="shared" si="63"/>
        <v>#N/A</v>
      </c>
      <c r="DM70" s="93" t="e">
        <v>#N/A</v>
      </c>
      <c r="DN70" s="93" t="e">
        <v>#N/A</v>
      </c>
      <c r="DO70" s="93" t="e">
        <v>#N/A</v>
      </c>
      <c r="DP70" s="93" t="e">
        <v>#N/A</v>
      </c>
    </row>
    <row r="71" spans="1:120" x14ac:dyDescent="0.2">
      <c r="A71" s="90" t="e">
        <f>name!#REF!</f>
        <v>#REF!</v>
      </c>
      <c r="B71" s="39" t="e">
        <f t="shared" si="44"/>
        <v>#N/A</v>
      </c>
      <c r="C71" s="93" t="e">
        <v>#N/A</v>
      </c>
      <c r="D71" s="93" t="e">
        <v>#N/A</v>
      </c>
      <c r="E71" s="93" t="e">
        <v>#N/A</v>
      </c>
      <c r="F71" s="93" t="e">
        <v>#N/A</v>
      </c>
      <c r="H71" s="39" t="e">
        <f t="shared" si="45"/>
        <v>#N/A</v>
      </c>
      <c r="I71" s="93" t="e">
        <v>#N/A</v>
      </c>
      <c r="J71" s="93" t="e">
        <v>#N/A</v>
      </c>
      <c r="K71" s="93" t="e">
        <v>#N/A</v>
      </c>
      <c r="L71" s="93" t="e">
        <v>#N/A</v>
      </c>
      <c r="N71" s="39" t="e">
        <f t="shared" si="46"/>
        <v>#N/A</v>
      </c>
      <c r="O71" s="93" t="e">
        <v>#N/A</v>
      </c>
      <c r="P71" s="93" t="e">
        <v>#N/A</v>
      </c>
      <c r="Q71" s="93" t="e">
        <v>#N/A</v>
      </c>
      <c r="R71" s="93" t="e">
        <v>#N/A</v>
      </c>
      <c r="S71" s="93"/>
      <c r="T71" s="39" t="e">
        <f t="shared" si="47"/>
        <v>#N/A</v>
      </c>
      <c r="U71" s="93" t="e">
        <v>#N/A</v>
      </c>
      <c r="V71" s="93" t="e">
        <v>#N/A</v>
      </c>
      <c r="W71" s="93" t="e">
        <v>#N/A</v>
      </c>
      <c r="X71" s="93" t="e">
        <v>#N/A</v>
      </c>
      <c r="Y71" s="90" t="e">
        <f t="shared" si="64"/>
        <v>#REF!</v>
      </c>
      <c r="Z71" s="39" t="e">
        <f t="shared" si="48"/>
        <v>#N/A</v>
      </c>
      <c r="AA71" s="93" t="e">
        <v>#N/A</v>
      </c>
      <c r="AB71" s="93" t="e">
        <v>#N/A</v>
      </c>
      <c r="AC71" s="93" t="e">
        <v>#N/A</v>
      </c>
      <c r="AD71" s="93" t="e">
        <v>#N/A</v>
      </c>
      <c r="AF71" s="39" t="e">
        <f t="shared" si="49"/>
        <v>#N/A</v>
      </c>
      <c r="AG71" s="93" t="e">
        <v>#N/A</v>
      </c>
      <c r="AH71" s="93" t="e">
        <v>#N/A</v>
      </c>
      <c r="AI71" s="93" t="e">
        <v>#N/A</v>
      </c>
      <c r="AJ71" s="93" t="e">
        <v>#N/A</v>
      </c>
      <c r="AL71" s="39" t="e">
        <f t="shared" si="50"/>
        <v>#N/A</v>
      </c>
      <c r="AM71" s="93" t="e">
        <v>#N/A</v>
      </c>
      <c r="AN71" s="93" t="e">
        <v>#N/A</v>
      </c>
      <c r="AO71" s="93" t="e">
        <v>#N/A</v>
      </c>
      <c r="AP71" s="93" t="e">
        <v>#N/A</v>
      </c>
      <c r="AQ71" s="93"/>
      <c r="AR71" s="39" t="e">
        <f t="shared" si="51"/>
        <v>#N/A</v>
      </c>
      <c r="AS71" s="93" t="e">
        <v>#N/A</v>
      </c>
      <c r="AT71" s="93" t="e">
        <v>#N/A</v>
      </c>
      <c r="AU71" s="93" t="e">
        <v>#N/A</v>
      </c>
      <c r="AV71" s="93" t="e">
        <v>#N/A</v>
      </c>
      <c r="AW71" s="90" t="e">
        <f t="shared" si="65"/>
        <v>#REF!</v>
      </c>
      <c r="AX71" s="39" t="e">
        <f t="shared" si="52"/>
        <v>#N/A</v>
      </c>
      <c r="AY71" s="93" t="e">
        <v>#N/A</v>
      </c>
      <c r="AZ71" s="93" t="e">
        <v>#N/A</v>
      </c>
      <c r="BA71" s="93" t="e">
        <v>#N/A</v>
      </c>
      <c r="BB71" s="93" t="e">
        <v>#N/A</v>
      </c>
      <c r="BD71" s="39" t="e">
        <f t="shared" si="53"/>
        <v>#N/A</v>
      </c>
      <c r="BE71" s="93" t="e">
        <v>#N/A</v>
      </c>
      <c r="BF71" s="93" t="e">
        <v>#N/A</v>
      </c>
      <c r="BG71" s="93" t="e">
        <v>#N/A</v>
      </c>
      <c r="BH71" s="93" t="e">
        <v>#N/A</v>
      </c>
      <c r="BJ71" s="39" t="e">
        <f t="shared" si="54"/>
        <v>#N/A</v>
      </c>
      <c r="BK71" s="93" t="e">
        <v>#N/A</v>
      </c>
      <c r="BL71" s="93" t="e">
        <v>#N/A</v>
      </c>
      <c r="BM71" s="93" t="e">
        <v>#N/A</v>
      </c>
      <c r="BN71" s="93" t="e">
        <v>#N/A</v>
      </c>
      <c r="BO71" s="93"/>
      <c r="BP71" s="39" t="e">
        <f t="shared" si="55"/>
        <v>#N/A</v>
      </c>
      <c r="BQ71" s="93" t="e">
        <v>#N/A</v>
      </c>
      <c r="BR71" s="93" t="e">
        <v>#N/A</v>
      </c>
      <c r="BS71" s="93" t="e">
        <v>#N/A</v>
      </c>
      <c r="BT71" s="93" t="e">
        <v>#N/A</v>
      </c>
      <c r="BU71" s="90" t="e">
        <f t="shared" si="66"/>
        <v>#REF!</v>
      </c>
      <c r="BV71" s="39" t="e">
        <f t="shared" si="56"/>
        <v>#N/A</v>
      </c>
      <c r="BW71" s="93" t="e">
        <v>#N/A</v>
      </c>
      <c r="BX71" s="93" t="e">
        <v>#N/A</v>
      </c>
      <c r="BY71" s="93" t="e">
        <v>#N/A</v>
      </c>
      <c r="BZ71" s="93" t="e">
        <v>#N/A</v>
      </c>
      <c r="CB71" s="39" t="e">
        <f t="shared" si="57"/>
        <v>#N/A</v>
      </c>
      <c r="CC71" s="93" t="e">
        <v>#N/A</v>
      </c>
      <c r="CD71" s="93" t="e">
        <v>#N/A</v>
      </c>
      <c r="CE71" s="93" t="e">
        <v>#N/A</v>
      </c>
      <c r="CF71" s="93" t="e">
        <v>#N/A</v>
      </c>
      <c r="CH71" s="39" t="e">
        <f t="shared" si="58"/>
        <v>#N/A</v>
      </c>
      <c r="CI71" s="93" t="e">
        <v>#N/A</v>
      </c>
      <c r="CJ71" s="93" t="e">
        <v>#N/A</v>
      </c>
      <c r="CK71" s="93" t="e">
        <v>#N/A</v>
      </c>
      <c r="CL71" s="93" t="e">
        <v>#N/A</v>
      </c>
      <c r="CM71" s="93"/>
      <c r="CN71" s="39" t="e">
        <f t="shared" si="59"/>
        <v>#N/A</v>
      </c>
      <c r="CO71" s="93" t="e">
        <v>#N/A</v>
      </c>
      <c r="CP71" s="93" t="e">
        <v>#N/A</v>
      </c>
      <c r="CQ71" s="93" t="e">
        <v>#N/A</v>
      </c>
      <c r="CR71" s="93" t="e">
        <v>#N/A</v>
      </c>
      <c r="CS71" s="90" t="e">
        <f t="shared" si="67"/>
        <v>#REF!</v>
      </c>
      <c r="CT71" s="39" t="e">
        <f t="shared" si="60"/>
        <v>#N/A</v>
      </c>
      <c r="CU71" s="93" t="e">
        <v>#N/A</v>
      </c>
      <c r="CV71" s="93" t="e">
        <v>#N/A</v>
      </c>
      <c r="CW71" s="93" t="e">
        <v>#N/A</v>
      </c>
      <c r="CX71" s="93" t="e">
        <v>#N/A</v>
      </c>
      <c r="CZ71" s="39" t="e">
        <f t="shared" si="61"/>
        <v>#N/A</v>
      </c>
      <c r="DA71" s="93" t="e">
        <v>#N/A</v>
      </c>
      <c r="DB71" s="93" t="e">
        <v>#N/A</v>
      </c>
      <c r="DC71" s="93" t="e">
        <v>#N/A</v>
      </c>
      <c r="DD71" s="93" t="e">
        <v>#N/A</v>
      </c>
      <c r="DF71" s="39" t="e">
        <f t="shared" si="62"/>
        <v>#N/A</v>
      </c>
      <c r="DG71" s="93" t="e">
        <v>#N/A</v>
      </c>
      <c r="DH71" s="93" t="e">
        <v>#N/A</v>
      </c>
      <c r="DI71" s="93" t="e">
        <v>#N/A</v>
      </c>
      <c r="DJ71" s="93" t="e">
        <v>#N/A</v>
      </c>
      <c r="DK71" s="93"/>
      <c r="DL71" s="39" t="e">
        <f t="shared" si="63"/>
        <v>#N/A</v>
      </c>
      <c r="DM71" s="93" t="e">
        <v>#N/A</v>
      </c>
      <c r="DN71" s="93" t="e">
        <v>#N/A</v>
      </c>
      <c r="DO71" s="93" t="e">
        <v>#N/A</v>
      </c>
      <c r="DP71" s="93" t="e">
        <v>#N/A</v>
      </c>
    </row>
    <row r="72" spans="1:120" x14ac:dyDescent="0.2">
      <c r="A72" s="90" t="e">
        <f>name!#REF!</f>
        <v>#REF!</v>
      </c>
      <c r="B72" s="39" t="e">
        <f t="shared" si="44"/>
        <v>#N/A</v>
      </c>
      <c r="C72" s="93" t="e">
        <v>#N/A</v>
      </c>
      <c r="D72" s="93" t="e">
        <v>#N/A</v>
      </c>
      <c r="E72" s="93" t="e">
        <v>#N/A</v>
      </c>
      <c r="F72" s="93" t="e">
        <v>#N/A</v>
      </c>
      <c r="H72" s="39" t="e">
        <f t="shared" si="45"/>
        <v>#N/A</v>
      </c>
      <c r="I72" s="93" t="e">
        <v>#N/A</v>
      </c>
      <c r="J72" s="93" t="e">
        <v>#N/A</v>
      </c>
      <c r="K72" s="93" t="e">
        <v>#N/A</v>
      </c>
      <c r="L72" s="93" t="e">
        <v>#N/A</v>
      </c>
      <c r="N72" s="39" t="e">
        <f t="shared" si="46"/>
        <v>#N/A</v>
      </c>
      <c r="O72" s="93" t="e">
        <v>#N/A</v>
      </c>
      <c r="P72" s="93" t="e">
        <v>#N/A</v>
      </c>
      <c r="Q72" s="93" t="e">
        <v>#N/A</v>
      </c>
      <c r="R72" s="93" t="e">
        <v>#N/A</v>
      </c>
      <c r="S72" s="93"/>
      <c r="T72" s="39" t="e">
        <f t="shared" si="47"/>
        <v>#N/A</v>
      </c>
      <c r="U72" s="93" t="e">
        <v>#N/A</v>
      </c>
      <c r="V72" s="93" t="e">
        <v>#N/A</v>
      </c>
      <c r="W72" s="93" t="e">
        <v>#N/A</v>
      </c>
      <c r="X72" s="93" t="e">
        <v>#N/A</v>
      </c>
      <c r="Y72" s="90" t="e">
        <f t="shared" si="64"/>
        <v>#REF!</v>
      </c>
      <c r="Z72" s="39" t="e">
        <f t="shared" si="48"/>
        <v>#N/A</v>
      </c>
      <c r="AA72" s="93" t="e">
        <v>#N/A</v>
      </c>
      <c r="AB72" s="93" t="e">
        <v>#N/A</v>
      </c>
      <c r="AC72" s="93" t="e">
        <v>#N/A</v>
      </c>
      <c r="AD72" s="93" t="e">
        <v>#N/A</v>
      </c>
      <c r="AF72" s="39" t="e">
        <f t="shared" si="49"/>
        <v>#N/A</v>
      </c>
      <c r="AG72" s="93" t="e">
        <v>#N/A</v>
      </c>
      <c r="AH72" s="93" t="e">
        <v>#N/A</v>
      </c>
      <c r="AI72" s="93" t="e">
        <v>#N/A</v>
      </c>
      <c r="AJ72" s="93" t="e">
        <v>#N/A</v>
      </c>
      <c r="AL72" s="39" t="e">
        <f t="shared" si="50"/>
        <v>#N/A</v>
      </c>
      <c r="AM72" s="93" t="e">
        <v>#N/A</v>
      </c>
      <c r="AN72" s="93" t="e">
        <v>#N/A</v>
      </c>
      <c r="AO72" s="93" t="e">
        <v>#N/A</v>
      </c>
      <c r="AP72" s="93" t="e">
        <v>#N/A</v>
      </c>
      <c r="AQ72" s="93"/>
      <c r="AR72" s="39" t="e">
        <f t="shared" si="51"/>
        <v>#N/A</v>
      </c>
      <c r="AS72" s="93" t="e">
        <v>#N/A</v>
      </c>
      <c r="AT72" s="93" t="e">
        <v>#N/A</v>
      </c>
      <c r="AU72" s="93" t="e">
        <v>#N/A</v>
      </c>
      <c r="AV72" s="93" t="e">
        <v>#N/A</v>
      </c>
      <c r="AW72" s="90" t="e">
        <f t="shared" si="65"/>
        <v>#REF!</v>
      </c>
      <c r="AX72" s="39" t="e">
        <f t="shared" si="52"/>
        <v>#N/A</v>
      </c>
      <c r="AY72" s="93" t="e">
        <v>#N/A</v>
      </c>
      <c r="AZ72" s="93" t="e">
        <v>#N/A</v>
      </c>
      <c r="BA72" s="93" t="e">
        <v>#N/A</v>
      </c>
      <c r="BB72" s="93" t="e">
        <v>#N/A</v>
      </c>
      <c r="BD72" s="39" t="e">
        <f t="shared" si="53"/>
        <v>#N/A</v>
      </c>
      <c r="BE72" s="93" t="e">
        <v>#N/A</v>
      </c>
      <c r="BF72" s="93" t="e">
        <v>#N/A</v>
      </c>
      <c r="BG72" s="93" t="e">
        <v>#N/A</v>
      </c>
      <c r="BH72" s="93" t="e">
        <v>#N/A</v>
      </c>
      <c r="BJ72" s="39" t="e">
        <f t="shared" si="54"/>
        <v>#N/A</v>
      </c>
      <c r="BK72" s="93" t="e">
        <v>#N/A</v>
      </c>
      <c r="BL72" s="93" t="e">
        <v>#N/A</v>
      </c>
      <c r="BM72" s="93" t="e">
        <v>#N/A</v>
      </c>
      <c r="BN72" s="93" t="e">
        <v>#N/A</v>
      </c>
      <c r="BO72" s="93"/>
      <c r="BP72" s="39" t="e">
        <f t="shared" si="55"/>
        <v>#N/A</v>
      </c>
      <c r="BQ72" s="93" t="e">
        <v>#N/A</v>
      </c>
      <c r="BR72" s="93" t="e">
        <v>#N/A</v>
      </c>
      <c r="BS72" s="93" t="e">
        <v>#N/A</v>
      </c>
      <c r="BT72" s="93" t="e">
        <v>#N/A</v>
      </c>
      <c r="BU72" s="90" t="e">
        <f t="shared" si="66"/>
        <v>#REF!</v>
      </c>
      <c r="BV72" s="39" t="e">
        <f t="shared" si="56"/>
        <v>#N/A</v>
      </c>
      <c r="BW72" s="93" t="e">
        <v>#N/A</v>
      </c>
      <c r="BX72" s="93" t="e">
        <v>#N/A</v>
      </c>
      <c r="BY72" s="93" t="e">
        <v>#N/A</v>
      </c>
      <c r="BZ72" s="93" t="e">
        <v>#N/A</v>
      </c>
      <c r="CB72" s="39" t="e">
        <f t="shared" si="57"/>
        <v>#N/A</v>
      </c>
      <c r="CC72" s="93" t="e">
        <v>#N/A</v>
      </c>
      <c r="CD72" s="93" t="e">
        <v>#N/A</v>
      </c>
      <c r="CE72" s="93" t="e">
        <v>#N/A</v>
      </c>
      <c r="CF72" s="93" t="e">
        <v>#N/A</v>
      </c>
      <c r="CH72" s="39" t="e">
        <f t="shared" si="58"/>
        <v>#N/A</v>
      </c>
      <c r="CI72" s="93" t="e">
        <v>#N/A</v>
      </c>
      <c r="CJ72" s="93" t="e">
        <v>#N/A</v>
      </c>
      <c r="CK72" s="93" t="e">
        <v>#N/A</v>
      </c>
      <c r="CL72" s="93" t="e">
        <v>#N/A</v>
      </c>
      <c r="CM72" s="93"/>
      <c r="CN72" s="39" t="e">
        <f t="shared" si="59"/>
        <v>#N/A</v>
      </c>
      <c r="CO72" s="93" t="e">
        <v>#N/A</v>
      </c>
      <c r="CP72" s="93" t="e">
        <v>#N/A</v>
      </c>
      <c r="CQ72" s="93" t="e">
        <v>#N/A</v>
      </c>
      <c r="CR72" s="93" t="e">
        <v>#N/A</v>
      </c>
      <c r="CS72" s="90" t="e">
        <f t="shared" si="67"/>
        <v>#REF!</v>
      </c>
      <c r="CT72" s="39" t="e">
        <f t="shared" si="60"/>
        <v>#N/A</v>
      </c>
      <c r="CU72" s="93" t="e">
        <v>#N/A</v>
      </c>
      <c r="CV72" s="93" t="e">
        <v>#N/A</v>
      </c>
      <c r="CW72" s="93" t="e">
        <v>#N/A</v>
      </c>
      <c r="CX72" s="93" t="e">
        <v>#N/A</v>
      </c>
      <c r="CZ72" s="39" t="e">
        <f t="shared" si="61"/>
        <v>#N/A</v>
      </c>
      <c r="DA72" s="93" t="e">
        <v>#N/A</v>
      </c>
      <c r="DB72" s="93" t="e">
        <v>#N/A</v>
      </c>
      <c r="DC72" s="93" t="e">
        <v>#N/A</v>
      </c>
      <c r="DD72" s="93" t="e">
        <v>#N/A</v>
      </c>
      <c r="DF72" s="39" t="e">
        <f t="shared" si="62"/>
        <v>#N/A</v>
      </c>
      <c r="DG72" s="93" t="e">
        <v>#N/A</v>
      </c>
      <c r="DH72" s="93" t="e">
        <v>#N/A</v>
      </c>
      <c r="DI72" s="93" t="e">
        <v>#N/A</v>
      </c>
      <c r="DJ72" s="93" t="e">
        <v>#N/A</v>
      </c>
      <c r="DK72" s="93"/>
      <c r="DL72" s="39" t="e">
        <f t="shared" si="63"/>
        <v>#N/A</v>
      </c>
      <c r="DM72" s="93" t="e">
        <v>#N/A</v>
      </c>
      <c r="DN72" s="93" t="e">
        <v>#N/A</v>
      </c>
      <c r="DO72" s="93" t="e">
        <v>#N/A</v>
      </c>
      <c r="DP72" s="93" t="e">
        <v>#N/A</v>
      </c>
    </row>
    <row r="73" spans="1:120" x14ac:dyDescent="0.2">
      <c r="A73" s="90" t="e">
        <f>name!#REF!</f>
        <v>#REF!</v>
      </c>
      <c r="B73" s="39" t="e">
        <f t="shared" si="44"/>
        <v>#N/A</v>
      </c>
      <c r="C73" s="93" t="e">
        <v>#N/A</v>
      </c>
      <c r="D73" s="93" t="e">
        <v>#N/A</v>
      </c>
      <c r="E73" s="93" t="e">
        <v>#N/A</v>
      </c>
      <c r="F73" s="93" t="e">
        <v>#N/A</v>
      </c>
      <c r="H73" s="39" t="e">
        <f t="shared" si="45"/>
        <v>#N/A</v>
      </c>
      <c r="I73" s="93" t="e">
        <v>#N/A</v>
      </c>
      <c r="J73" s="93" t="e">
        <v>#N/A</v>
      </c>
      <c r="K73" s="93" t="e">
        <v>#N/A</v>
      </c>
      <c r="L73" s="93" t="e">
        <v>#N/A</v>
      </c>
      <c r="N73" s="39" t="e">
        <f t="shared" si="46"/>
        <v>#N/A</v>
      </c>
      <c r="O73" s="93" t="e">
        <v>#N/A</v>
      </c>
      <c r="P73" s="93" t="e">
        <v>#N/A</v>
      </c>
      <c r="Q73" s="93" t="e">
        <v>#N/A</v>
      </c>
      <c r="R73" s="93" t="e">
        <v>#N/A</v>
      </c>
      <c r="S73" s="93"/>
      <c r="T73" s="39" t="e">
        <f t="shared" si="47"/>
        <v>#N/A</v>
      </c>
      <c r="U73" s="93" t="e">
        <v>#N/A</v>
      </c>
      <c r="V73" s="93" t="e">
        <v>#N/A</v>
      </c>
      <c r="W73" s="93" t="e">
        <v>#N/A</v>
      </c>
      <c r="X73" s="93" t="e">
        <v>#N/A</v>
      </c>
      <c r="Y73" s="90" t="e">
        <f t="shared" si="64"/>
        <v>#REF!</v>
      </c>
      <c r="Z73" s="39" t="e">
        <f t="shared" si="48"/>
        <v>#N/A</v>
      </c>
      <c r="AA73" s="93" t="e">
        <v>#N/A</v>
      </c>
      <c r="AB73" s="93" t="e">
        <v>#N/A</v>
      </c>
      <c r="AC73" s="93" t="e">
        <v>#N/A</v>
      </c>
      <c r="AD73" s="93" t="e">
        <v>#N/A</v>
      </c>
      <c r="AF73" s="39" t="e">
        <f t="shared" si="49"/>
        <v>#N/A</v>
      </c>
      <c r="AG73" s="93" t="e">
        <v>#N/A</v>
      </c>
      <c r="AH73" s="93" t="e">
        <v>#N/A</v>
      </c>
      <c r="AI73" s="93" t="e">
        <v>#N/A</v>
      </c>
      <c r="AJ73" s="93" t="e">
        <v>#N/A</v>
      </c>
      <c r="AL73" s="39" t="e">
        <f t="shared" si="50"/>
        <v>#N/A</v>
      </c>
      <c r="AM73" s="93" t="e">
        <v>#N/A</v>
      </c>
      <c r="AN73" s="93" t="e">
        <v>#N/A</v>
      </c>
      <c r="AO73" s="93" t="e">
        <v>#N/A</v>
      </c>
      <c r="AP73" s="93" t="e">
        <v>#N/A</v>
      </c>
      <c r="AQ73" s="93"/>
      <c r="AR73" s="39" t="e">
        <f t="shared" si="51"/>
        <v>#N/A</v>
      </c>
      <c r="AS73" s="93" t="e">
        <v>#N/A</v>
      </c>
      <c r="AT73" s="93" t="e">
        <v>#N/A</v>
      </c>
      <c r="AU73" s="93" t="e">
        <v>#N/A</v>
      </c>
      <c r="AV73" s="93" t="e">
        <v>#N/A</v>
      </c>
      <c r="AW73" s="90" t="e">
        <f t="shared" si="65"/>
        <v>#REF!</v>
      </c>
      <c r="AX73" s="39" t="e">
        <f t="shared" si="52"/>
        <v>#N/A</v>
      </c>
      <c r="AY73" s="93" t="e">
        <v>#N/A</v>
      </c>
      <c r="AZ73" s="93" t="e">
        <v>#N/A</v>
      </c>
      <c r="BA73" s="93" t="e">
        <v>#N/A</v>
      </c>
      <c r="BB73" s="93" t="e">
        <v>#N/A</v>
      </c>
      <c r="BD73" s="39" t="e">
        <f t="shared" si="53"/>
        <v>#N/A</v>
      </c>
      <c r="BE73" s="93" t="e">
        <v>#N/A</v>
      </c>
      <c r="BF73" s="93" t="e">
        <v>#N/A</v>
      </c>
      <c r="BG73" s="93" t="e">
        <v>#N/A</v>
      </c>
      <c r="BH73" s="93" t="e">
        <v>#N/A</v>
      </c>
      <c r="BJ73" s="39" t="e">
        <f t="shared" si="54"/>
        <v>#N/A</v>
      </c>
      <c r="BK73" s="93" t="e">
        <v>#N/A</v>
      </c>
      <c r="BL73" s="93" t="e">
        <v>#N/A</v>
      </c>
      <c r="BM73" s="93" t="e">
        <v>#N/A</v>
      </c>
      <c r="BN73" s="93" t="e">
        <v>#N/A</v>
      </c>
      <c r="BO73" s="93"/>
      <c r="BP73" s="39" t="e">
        <f t="shared" si="55"/>
        <v>#N/A</v>
      </c>
      <c r="BQ73" s="93" t="e">
        <v>#N/A</v>
      </c>
      <c r="BR73" s="93" t="e">
        <v>#N/A</v>
      </c>
      <c r="BS73" s="93" t="e">
        <v>#N/A</v>
      </c>
      <c r="BT73" s="93" t="e">
        <v>#N/A</v>
      </c>
      <c r="BU73" s="90" t="e">
        <f t="shared" si="66"/>
        <v>#REF!</v>
      </c>
      <c r="BV73" s="39" t="e">
        <f t="shared" si="56"/>
        <v>#N/A</v>
      </c>
      <c r="BW73" s="93" t="e">
        <v>#N/A</v>
      </c>
      <c r="BX73" s="93" t="e">
        <v>#N/A</v>
      </c>
      <c r="BY73" s="93" t="e">
        <v>#N/A</v>
      </c>
      <c r="BZ73" s="93" t="e">
        <v>#N/A</v>
      </c>
      <c r="CB73" s="39" t="e">
        <f t="shared" si="57"/>
        <v>#N/A</v>
      </c>
      <c r="CC73" s="93" t="e">
        <v>#N/A</v>
      </c>
      <c r="CD73" s="93" t="e">
        <v>#N/A</v>
      </c>
      <c r="CE73" s="93" t="e">
        <v>#N/A</v>
      </c>
      <c r="CF73" s="93" t="e">
        <v>#N/A</v>
      </c>
      <c r="CH73" s="39" t="e">
        <f t="shared" si="58"/>
        <v>#N/A</v>
      </c>
      <c r="CI73" s="93" t="e">
        <v>#N/A</v>
      </c>
      <c r="CJ73" s="93" t="e">
        <v>#N/A</v>
      </c>
      <c r="CK73" s="93" t="e">
        <v>#N/A</v>
      </c>
      <c r="CL73" s="93" t="e">
        <v>#N/A</v>
      </c>
      <c r="CM73" s="93"/>
      <c r="CN73" s="39" t="e">
        <f t="shared" si="59"/>
        <v>#N/A</v>
      </c>
      <c r="CO73" s="93" t="e">
        <v>#N/A</v>
      </c>
      <c r="CP73" s="93" t="e">
        <v>#N/A</v>
      </c>
      <c r="CQ73" s="93" t="e">
        <v>#N/A</v>
      </c>
      <c r="CR73" s="93" t="e">
        <v>#N/A</v>
      </c>
      <c r="CS73" s="90" t="e">
        <f t="shared" si="67"/>
        <v>#REF!</v>
      </c>
      <c r="CT73" s="39" t="e">
        <f t="shared" si="60"/>
        <v>#N/A</v>
      </c>
      <c r="CU73" s="93" t="e">
        <v>#N/A</v>
      </c>
      <c r="CV73" s="93" t="e">
        <v>#N/A</v>
      </c>
      <c r="CW73" s="93" t="e">
        <v>#N/A</v>
      </c>
      <c r="CX73" s="93" t="e">
        <v>#N/A</v>
      </c>
      <c r="CZ73" s="39" t="e">
        <f t="shared" si="61"/>
        <v>#N/A</v>
      </c>
      <c r="DA73" s="93" t="e">
        <v>#N/A</v>
      </c>
      <c r="DB73" s="93" t="e">
        <v>#N/A</v>
      </c>
      <c r="DC73" s="93" t="e">
        <v>#N/A</v>
      </c>
      <c r="DD73" s="93" t="e">
        <v>#N/A</v>
      </c>
      <c r="DF73" s="39" t="e">
        <f t="shared" si="62"/>
        <v>#N/A</v>
      </c>
      <c r="DG73" s="93" t="e">
        <v>#N/A</v>
      </c>
      <c r="DH73" s="93" t="e">
        <v>#N/A</v>
      </c>
      <c r="DI73" s="93" t="e">
        <v>#N/A</v>
      </c>
      <c r="DJ73" s="93" t="e">
        <v>#N/A</v>
      </c>
      <c r="DK73" s="93"/>
      <c r="DL73" s="39" t="e">
        <f t="shared" si="63"/>
        <v>#N/A</v>
      </c>
      <c r="DM73" s="93" t="e">
        <v>#N/A</v>
      </c>
      <c r="DN73" s="93" t="e">
        <v>#N/A</v>
      </c>
      <c r="DO73" s="93" t="e">
        <v>#N/A</v>
      </c>
      <c r="DP73" s="93" t="e">
        <v>#N/A</v>
      </c>
    </row>
    <row r="74" spans="1:120" x14ac:dyDescent="0.2">
      <c r="A74" s="90" t="e">
        <f>name!#REF!</f>
        <v>#REF!</v>
      </c>
      <c r="B74" s="39" t="e">
        <f t="shared" si="44"/>
        <v>#N/A</v>
      </c>
      <c r="C74" s="93" t="e">
        <v>#N/A</v>
      </c>
      <c r="D74" s="93" t="e">
        <v>#N/A</v>
      </c>
      <c r="E74" s="93" t="e">
        <v>#N/A</v>
      </c>
      <c r="F74" s="93" t="e">
        <v>#N/A</v>
      </c>
      <c r="H74" s="39" t="e">
        <f t="shared" si="45"/>
        <v>#N/A</v>
      </c>
      <c r="I74" s="93" t="e">
        <v>#N/A</v>
      </c>
      <c r="J74" s="93" t="e">
        <v>#N/A</v>
      </c>
      <c r="K74" s="93" t="e">
        <v>#N/A</v>
      </c>
      <c r="L74" s="93" t="e">
        <v>#N/A</v>
      </c>
      <c r="N74" s="39" t="e">
        <f t="shared" si="46"/>
        <v>#N/A</v>
      </c>
      <c r="O74" s="93" t="e">
        <v>#N/A</v>
      </c>
      <c r="P74" s="93" t="e">
        <v>#N/A</v>
      </c>
      <c r="Q74" s="93" t="e">
        <v>#N/A</v>
      </c>
      <c r="R74" s="93" t="e">
        <v>#N/A</v>
      </c>
      <c r="S74" s="93"/>
      <c r="T74" s="39" t="e">
        <f t="shared" si="47"/>
        <v>#N/A</v>
      </c>
      <c r="U74" s="93" t="e">
        <v>#N/A</v>
      </c>
      <c r="V74" s="93" t="e">
        <v>#N/A</v>
      </c>
      <c r="W74" s="93" t="e">
        <v>#N/A</v>
      </c>
      <c r="X74" s="93" t="e">
        <v>#N/A</v>
      </c>
      <c r="Y74" s="90" t="e">
        <f t="shared" si="64"/>
        <v>#REF!</v>
      </c>
      <c r="Z74" s="39" t="e">
        <f t="shared" si="48"/>
        <v>#N/A</v>
      </c>
      <c r="AA74" s="93" t="e">
        <v>#N/A</v>
      </c>
      <c r="AB74" s="93" t="e">
        <v>#N/A</v>
      </c>
      <c r="AC74" s="93" t="e">
        <v>#N/A</v>
      </c>
      <c r="AD74" s="93" t="e">
        <v>#N/A</v>
      </c>
      <c r="AF74" s="39" t="e">
        <f t="shared" si="49"/>
        <v>#N/A</v>
      </c>
      <c r="AG74" s="93" t="e">
        <v>#N/A</v>
      </c>
      <c r="AH74" s="93" t="e">
        <v>#N/A</v>
      </c>
      <c r="AI74" s="93" t="e">
        <v>#N/A</v>
      </c>
      <c r="AJ74" s="93" t="e">
        <v>#N/A</v>
      </c>
      <c r="AL74" s="39" t="e">
        <f t="shared" si="50"/>
        <v>#N/A</v>
      </c>
      <c r="AM74" s="93" t="e">
        <v>#N/A</v>
      </c>
      <c r="AN74" s="93" t="e">
        <v>#N/A</v>
      </c>
      <c r="AO74" s="93" t="e">
        <v>#N/A</v>
      </c>
      <c r="AP74" s="93" t="e">
        <v>#N/A</v>
      </c>
      <c r="AQ74" s="93"/>
      <c r="AR74" s="39" t="e">
        <f t="shared" si="51"/>
        <v>#N/A</v>
      </c>
      <c r="AS74" s="93" t="e">
        <v>#N/A</v>
      </c>
      <c r="AT74" s="93" t="e">
        <v>#N/A</v>
      </c>
      <c r="AU74" s="93" t="e">
        <v>#N/A</v>
      </c>
      <c r="AV74" s="93" t="e">
        <v>#N/A</v>
      </c>
      <c r="AW74" s="90" t="e">
        <f t="shared" si="65"/>
        <v>#REF!</v>
      </c>
      <c r="AX74" s="39" t="e">
        <f t="shared" si="52"/>
        <v>#N/A</v>
      </c>
      <c r="AY74" s="93" t="e">
        <v>#N/A</v>
      </c>
      <c r="AZ74" s="93" t="e">
        <v>#N/A</v>
      </c>
      <c r="BA74" s="93" t="e">
        <v>#N/A</v>
      </c>
      <c r="BB74" s="93" t="e">
        <v>#N/A</v>
      </c>
      <c r="BD74" s="39" t="e">
        <f t="shared" si="53"/>
        <v>#N/A</v>
      </c>
      <c r="BE74" s="93" t="e">
        <v>#N/A</v>
      </c>
      <c r="BF74" s="93" t="e">
        <v>#N/A</v>
      </c>
      <c r="BG74" s="93" t="e">
        <v>#N/A</v>
      </c>
      <c r="BH74" s="93" t="e">
        <v>#N/A</v>
      </c>
      <c r="BJ74" s="39" t="e">
        <f t="shared" si="54"/>
        <v>#N/A</v>
      </c>
      <c r="BK74" s="93" t="e">
        <v>#N/A</v>
      </c>
      <c r="BL74" s="93" t="e">
        <v>#N/A</v>
      </c>
      <c r="BM74" s="93" t="e">
        <v>#N/A</v>
      </c>
      <c r="BN74" s="93" t="e">
        <v>#N/A</v>
      </c>
      <c r="BO74" s="93"/>
      <c r="BP74" s="39" t="e">
        <f t="shared" si="55"/>
        <v>#N/A</v>
      </c>
      <c r="BQ74" s="93" t="e">
        <v>#N/A</v>
      </c>
      <c r="BR74" s="93" t="e">
        <v>#N/A</v>
      </c>
      <c r="BS74" s="93" t="e">
        <v>#N/A</v>
      </c>
      <c r="BT74" s="93" t="e">
        <v>#N/A</v>
      </c>
      <c r="BU74" s="90" t="e">
        <f t="shared" si="66"/>
        <v>#REF!</v>
      </c>
      <c r="BV74" s="39" t="e">
        <f t="shared" si="56"/>
        <v>#N/A</v>
      </c>
      <c r="BW74" s="93" t="e">
        <v>#N/A</v>
      </c>
      <c r="BX74" s="93" t="e">
        <v>#N/A</v>
      </c>
      <c r="BY74" s="93" t="e">
        <v>#N/A</v>
      </c>
      <c r="BZ74" s="93" t="e">
        <v>#N/A</v>
      </c>
      <c r="CB74" s="39" t="e">
        <f t="shared" si="57"/>
        <v>#N/A</v>
      </c>
      <c r="CC74" s="93" t="e">
        <v>#N/A</v>
      </c>
      <c r="CD74" s="93" t="e">
        <v>#N/A</v>
      </c>
      <c r="CE74" s="93" t="e">
        <v>#N/A</v>
      </c>
      <c r="CF74" s="93" t="e">
        <v>#N/A</v>
      </c>
      <c r="CH74" s="39" t="e">
        <f t="shared" si="58"/>
        <v>#N/A</v>
      </c>
      <c r="CI74" s="93" t="e">
        <v>#N/A</v>
      </c>
      <c r="CJ74" s="93" t="e">
        <v>#N/A</v>
      </c>
      <c r="CK74" s="93" t="e">
        <v>#N/A</v>
      </c>
      <c r="CL74" s="93" t="e">
        <v>#N/A</v>
      </c>
      <c r="CM74" s="93"/>
      <c r="CN74" s="39" t="e">
        <f t="shared" si="59"/>
        <v>#N/A</v>
      </c>
      <c r="CO74" s="93" t="e">
        <v>#N/A</v>
      </c>
      <c r="CP74" s="93" t="e">
        <v>#N/A</v>
      </c>
      <c r="CQ74" s="93" t="e">
        <v>#N/A</v>
      </c>
      <c r="CR74" s="93" t="e">
        <v>#N/A</v>
      </c>
      <c r="CS74" s="90" t="e">
        <f t="shared" si="67"/>
        <v>#REF!</v>
      </c>
      <c r="CT74" s="39" t="e">
        <f t="shared" si="60"/>
        <v>#N/A</v>
      </c>
      <c r="CU74" s="93" t="e">
        <v>#N/A</v>
      </c>
      <c r="CV74" s="93" t="e">
        <v>#N/A</v>
      </c>
      <c r="CW74" s="93" t="e">
        <v>#N/A</v>
      </c>
      <c r="CX74" s="93" t="e">
        <v>#N/A</v>
      </c>
      <c r="CZ74" s="39" t="e">
        <f t="shared" si="61"/>
        <v>#N/A</v>
      </c>
      <c r="DA74" s="93" t="e">
        <v>#N/A</v>
      </c>
      <c r="DB74" s="93" t="e">
        <v>#N/A</v>
      </c>
      <c r="DC74" s="93" t="e">
        <v>#N/A</v>
      </c>
      <c r="DD74" s="93" t="e">
        <v>#N/A</v>
      </c>
      <c r="DF74" s="39" t="e">
        <f t="shared" si="62"/>
        <v>#N/A</v>
      </c>
      <c r="DG74" s="93" t="e">
        <v>#N/A</v>
      </c>
      <c r="DH74" s="93" t="e">
        <v>#N/A</v>
      </c>
      <c r="DI74" s="93" t="e">
        <v>#N/A</v>
      </c>
      <c r="DJ74" s="93" t="e">
        <v>#N/A</v>
      </c>
      <c r="DK74" s="93"/>
      <c r="DL74" s="39" t="e">
        <f t="shared" si="63"/>
        <v>#N/A</v>
      </c>
      <c r="DM74" s="93" t="e">
        <v>#N/A</v>
      </c>
      <c r="DN74" s="93" t="e">
        <v>#N/A</v>
      </c>
      <c r="DO74" s="93" t="e">
        <v>#N/A</v>
      </c>
      <c r="DP74" s="93" t="e">
        <v>#N/A</v>
      </c>
    </row>
    <row r="75" spans="1:120" x14ac:dyDescent="0.2">
      <c r="A75" s="90" t="e">
        <f>name!#REF!</f>
        <v>#REF!</v>
      </c>
      <c r="B75" s="39" t="e">
        <f t="shared" si="44"/>
        <v>#N/A</v>
      </c>
      <c r="C75" s="93" t="e">
        <v>#N/A</v>
      </c>
      <c r="D75" s="93" t="e">
        <v>#N/A</v>
      </c>
      <c r="E75" s="93" t="e">
        <v>#N/A</v>
      </c>
      <c r="F75" s="93" t="e">
        <v>#N/A</v>
      </c>
      <c r="H75" s="39" t="e">
        <f t="shared" si="45"/>
        <v>#N/A</v>
      </c>
      <c r="I75" s="93" t="e">
        <v>#N/A</v>
      </c>
      <c r="J75" s="93" t="e">
        <v>#N/A</v>
      </c>
      <c r="K75" s="93" t="e">
        <v>#N/A</v>
      </c>
      <c r="L75" s="93" t="e">
        <v>#N/A</v>
      </c>
      <c r="N75" s="39" t="e">
        <f t="shared" si="46"/>
        <v>#N/A</v>
      </c>
      <c r="O75" s="93" t="e">
        <v>#N/A</v>
      </c>
      <c r="P75" s="93" t="e">
        <v>#N/A</v>
      </c>
      <c r="Q75" s="93" t="e">
        <v>#N/A</v>
      </c>
      <c r="R75" s="93" t="e">
        <v>#N/A</v>
      </c>
      <c r="S75" s="93"/>
      <c r="T75" s="39" t="e">
        <f t="shared" si="47"/>
        <v>#N/A</v>
      </c>
      <c r="U75" s="93" t="e">
        <v>#N/A</v>
      </c>
      <c r="V75" s="93" t="e">
        <v>#N/A</v>
      </c>
      <c r="W75" s="93" t="e">
        <v>#N/A</v>
      </c>
      <c r="X75" s="93" t="e">
        <v>#N/A</v>
      </c>
      <c r="Y75" s="90" t="e">
        <f t="shared" si="64"/>
        <v>#REF!</v>
      </c>
      <c r="Z75" s="39" t="e">
        <f t="shared" si="48"/>
        <v>#N/A</v>
      </c>
      <c r="AA75" s="93" t="e">
        <v>#N/A</v>
      </c>
      <c r="AB75" s="93" t="e">
        <v>#N/A</v>
      </c>
      <c r="AC75" s="93" t="e">
        <v>#N/A</v>
      </c>
      <c r="AD75" s="93" t="e">
        <v>#N/A</v>
      </c>
      <c r="AF75" s="39" t="e">
        <f t="shared" si="49"/>
        <v>#N/A</v>
      </c>
      <c r="AG75" s="93" t="e">
        <v>#N/A</v>
      </c>
      <c r="AH75" s="93" t="e">
        <v>#N/A</v>
      </c>
      <c r="AI75" s="93" t="e">
        <v>#N/A</v>
      </c>
      <c r="AJ75" s="93" t="e">
        <v>#N/A</v>
      </c>
      <c r="AL75" s="39" t="e">
        <f t="shared" si="50"/>
        <v>#N/A</v>
      </c>
      <c r="AM75" s="93" t="e">
        <v>#N/A</v>
      </c>
      <c r="AN75" s="93" t="e">
        <v>#N/A</v>
      </c>
      <c r="AO75" s="93" t="e">
        <v>#N/A</v>
      </c>
      <c r="AP75" s="93" t="e">
        <v>#N/A</v>
      </c>
      <c r="AQ75" s="93"/>
      <c r="AR75" s="39" t="e">
        <f t="shared" si="51"/>
        <v>#N/A</v>
      </c>
      <c r="AS75" s="93" t="e">
        <v>#N/A</v>
      </c>
      <c r="AT75" s="93" t="e">
        <v>#N/A</v>
      </c>
      <c r="AU75" s="93" t="e">
        <v>#N/A</v>
      </c>
      <c r="AV75" s="93" t="e">
        <v>#N/A</v>
      </c>
      <c r="AW75" s="90" t="e">
        <f t="shared" si="65"/>
        <v>#REF!</v>
      </c>
      <c r="AX75" s="39" t="e">
        <f t="shared" si="52"/>
        <v>#N/A</v>
      </c>
      <c r="AY75" s="93" t="e">
        <v>#N/A</v>
      </c>
      <c r="AZ75" s="93" t="e">
        <v>#N/A</v>
      </c>
      <c r="BA75" s="93" t="e">
        <v>#N/A</v>
      </c>
      <c r="BB75" s="93" t="e">
        <v>#N/A</v>
      </c>
      <c r="BD75" s="39" t="e">
        <f t="shared" si="53"/>
        <v>#N/A</v>
      </c>
      <c r="BE75" s="93" t="e">
        <v>#N/A</v>
      </c>
      <c r="BF75" s="93" t="e">
        <v>#N/A</v>
      </c>
      <c r="BG75" s="93" t="e">
        <v>#N/A</v>
      </c>
      <c r="BH75" s="93" t="e">
        <v>#N/A</v>
      </c>
      <c r="BJ75" s="39" t="e">
        <f t="shared" si="54"/>
        <v>#N/A</v>
      </c>
      <c r="BK75" s="93" t="e">
        <v>#N/A</v>
      </c>
      <c r="BL75" s="93" t="e">
        <v>#N/A</v>
      </c>
      <c r="BM75" s="93" t="e">
        <v>#N/A</v>
      </c>
      <c r="BN75" s="93" t="e">
        <v>#N/A</v>
      </c>
      <c r="BO75" s="93"/>
      <c r="BP75" s="39" t="e">
        <f t="shared" si="55"/>
        <v>#N/A</v>
      </c>
      <c r="BQ75" s="93" t="e">
        <v>#N/A</v>
      </c>
      <c r="BR75" s="93" t="e">
        <v>#N/A</v>
      </c>
      <c r="BS75" s="93" t="e">
        <v>#N/A</v>
      </c>
      <c r="BT75" s="93" t="e">
        <v>#N/A</v>
      </c>
      <c r="BU75" s="90" t="e">
        <f t="shared" si="66"/>
        <v>#REF!</v>
      </c>
      <c r="BV75" s="39" t="e">
        <f t="shared" si="56"/>
        <v>#N/A</v>
      </c>
      <c r="BW75" s="93" t="e">
        <v>#N/A</v>
      </c>
      <c r="BX75" s="93" t="e">
        <v>#N/A</v>
      </c>
      <c r="BY75" s="93" t="e">
        <v>#N/A</v>
      </c>
      <c r="BZ75" s="93" t="e">
        <v>#N/A</v>
      </c>
      <c r="CB75" s="39" t="e">
        <f t="shared" si="57"/>
        <v>#N/A</v>
      </c>
      <c r="CC75" s="93" t="e">
        <v>#N/A</v>
      </c>
      <c r="CD75" s="93" t="e">
        <v>#N/A</v>
      </c>
      <c r="CE75" s="93" t="e">
        <v>#N/A</v>
      </c>
      <c r="CF75" s="93" t="e">
        <v>#N/A</v>
      </c>
      <c r="CH75" s="39" t="e">
        <f t="shared" si="58"/>
        <v>#N/A</v>
      </c>
      <c r="CI75" s="93" t="e">
        <v>#N/A</v>
      </c>
      <c r="CJ75" s="93" t="e">
        <v>#N/A</v>
      </c>
      <c r="CK75" s="93" t="e">
        <v>#N/A</v>
      </c>
      <c r="CL75" s="93" t="e">
        <v>#N/A</v>
      </c>
      <c r="CM75" s="93"/>
      <c r="CN75" s="39" t="e">
        <f t="shared" si="59"/>
        <v>#N/A</v>
      </c>
      <c r="CO75" s="93" t="e">
        <v>#N/A</v>
      </c>
      <c r="CP75" s="93" t="e">
        <v>#N/A</v>
      </c>
      <c r="CQ75" s="93" t="e">
        <v>#N/A</v>
      </c>
      <c r="CR75" s="93" t="e">
        <v>#N/A</v>
      </c>
      <c r="CS75" s="90" t="e">
        <f t="shared" si="67"/>
        <v>#REF!</v>
      </c>
      <c r="CT75" s="39" t="e">
        <f t="shared" si="60"/>
        <v>#N/A</v>
      </c>
      <c r="CU75" s="93" t="e">
        <v>#N/A</v>
      </c>
      <c r="CV75" s="93" t="e">
        <v>#N/A</v>
      </c>
      <c r="CW75" s="93" t="e">
        <v>#N/A</v>
      </c>
      <c r="CX75" s="93" t="e">
        <v>#N/A</v>
      </c>
      <c r="CZ75" s="39" t="e">
        <f t="shared" si="61"/>
        <v>#N/A</v>
      </c>
      <c r="DA75" s="93" t="e">
        <v>#N/A</v>
      </c>
      <c r="DB75" s="93" t="e">
        <v>#N/A</v>
      </c>
      <c r="DC75" s="93" t="e">
        <v>#N/A</v>
      </c>
      <c r="DD75" s="93" t="e">
        <v>#N/A</v>
      </c>
      <c r="DF75" s="39" t="e">
        <f t="shared" si="62"/>
        <v>#N/A</v>
      </c>
      <c r="DG75" s="93" t="e">
        <v>#N/A</v>
      </c>
      <c r="DH75" s="93" t="e">
        <v>#N/A</v>
      </c>
      <c r="DI75" s="93" t="e">
        <v>#N/A</v>
      </c>
      <c r="DJ75" s="93" t="e">
        <v>#N/A</v>
      </c>
      <c r="DK75" s="93"/>
      <c r="DL75" s="39" t="e">
        <f t="shared" si="63"/>
        <v>#N/A</v>
      </c>
      <c r="DM75" s="93" t="e">
        <v>#N/A</v>
      </c>
      <c r="DN75" s="93" t="e">
        <v>#N/A</v>
      </c>
      <c r="DO75" s="93" t="e">
        <v>#N/A</v>
      </c>
      <c r="DP75" s="93" t="e">
        <v>#N/A</v>
      </c>
    </row>
    <row r="76" spans="1:120" x14ac:dyDescent="0.2">
      <c r="B76" s="39"/>
      <c r="H76" s="39"/>
      <c r="N76" s="39"/>
      <c r="T76" s="39"/>
      <c r="Z76" s="39"/>
      <c r="AF76" s="39"/>
      <c r="AL76" s="39"/>
      <c r="AR76" s="39"/>
      <c r="AX76" s="39"/>
      <c r="BD76" s="39"/>
      <c r="BJ76" s="39"/>
      <c r="BP76" s="39"/>
      <c r="BV76" s="39"/>
      <c r="CB76" s="39"/>
      <c r="CH76" s="39"/>
      <c r="CN76" s="39"/>
      <c r="CT76" s="39"/>
      <c r="CZ76" s="39"/>
      <c r="DF76" s="39"/>
      <c r="DL76" s="39"/>
    </row>
    <row r="77" spans="1:120" x14ac:dyDescent="0.2">
      <c r="A77" s="91" t="e">
        <f>name!#REF!</f>
        <v>#REF!</v>
      </c>
      <c r="B77" s="42">
        <f t="shared" si="44"/>
        <v>2.7912372459239387</v>
      </c>
      <c r="C77" s="92">
        <f>C50</f>
        <v>4561.2992279926211</v>
      </c>
      <c r="D77" s="92">
        <f>D50</f>
        <v>431.97496524334053</v>
      </c>
      <c r="E77" s="92">
        <f>E50</f>
        <v>1445.5882710202891</v>
      </c>
      <c r="F77" s="92">
        <f>F50</f>
        <v>1877.5632362636297</v>
      </c>
      <c r="G77" s="91"/>
      <c r="H77" s="42">
        <f t="shared" si="45"/>
        <v>2.6517730789267446</v>
      </c>
      <c r="I77" s="92">
        <f>I50</f>
        <v>774.77767553257945</v>
      </c>
      <c r="J77" s="92">
        <f>J50</f>
        <v>-90.9176985646708</v>
      </c>
      <c r="K77" s="92">
        <f>K50</f>
        <v>231.78692033646578</v>
      </c>
      <c r="L77" s="92">
        <f>L50</f>
        <v>140.86922177179497</v>
      </c>
      <c r="M77" s="91"/>
      <c r="N77" s="42">
        <f t="shared" si="46"/>
        <v>2.6893242464146816</v>
      </c>
      <c r="O77" s="92">
        <f>O50</f>
        <v>1810.6123702397726</v>
      </c>
      <c r="P77" s="92">
        <f>P50</f>
        <v>208.84741372398935</v>
      </c>
      <c r="Q77" s="92">
        <f>Q50</f>
        <v>550.29225403969679</v>
      </c>
      <c r="R77" s="92">
        <f>R50</f>
        <v>759.13966776368613</v>
      </c>
      <c r="S77" s="92"/>
      <c r="T77" s="42">
        <f t="shared" si="47"/>
        <v>2.9376202991175049</v>
      </c>
      <c r="U77" s="92">
        <f>U50</f>
        <v>1975.9091822202711</v>
      </c>
      <c r="V77" s="92">
        <f>V50</f>
        <v>314.04525008402186</v>
      </c>
      <c r="W77" s="92">
        <f>W50</f>
        <v>663.50909664412427</v>
      </c>
      <c r="X77" s="92">
        <f>X50</f>
        <v>977.55434672814613</v>
      </c>
      <c r="Y77" s="91" t="e">
        <f>A77</f>
        <v>#REF!</v>
      </c>
      <c r="Z77" s="42">
        <f>IF(AA77&gt;0,((1+(AC77/AA77))^(1/($A$101-$A$100))-1)*100,0)</f>
        <v>2.9771972098236787</v>
      </c>
      <c r="AA77" s="92">
        <f>AA50</f>
        <v>2141.7348734083043</v>
      </c>
      <c r="AB77" s="92">
        <f>AB50</f>
        <v>328.18012130131888</v>
      </c>
      <c r="AC77" s="92">
        <f>AC50</f>
        <v>730.21185757939747</v>
      </c>
      <c r="AD77" s="92">
        <f>AD50</f>
        <v>1058.3919788807164</v>
      </c>
      <c r="AE77" s="91"/>
      <c r="AF77" s="42">
        <f>IF(AG77&gt;0,((1+(AI77/AG77))^(1/($A$101-$A$100))-1)*100,0)</f>
        <v>3.0280155732974823</v>
      </c>
      <c r="AG77" s="92">
        <f>AG50</f>
        <v>114.36183531349347</v>
      </c>
      <c r="AH77" s="92">
        <f>AH50</f>
        <v>10.806009020856356</v>
      </c>
      <c r="AI77" s="92">
        <f>AI50</f>
        <v>39.749458273691218</v>
      </c>
      <c r="AJ77" s="92">
        <f>AJ50</f>
        <v>50.555467294547576</v>
      </c>
      <c r="AK77" s="91"/>
      <c r="AL77" s="42">
        <f>IF(AM77&gt;0,((1+(AO77/AM77))^(1/($A$101-$A$100))-1)*100,0)</f>
        <v>2.9663353480916088</v>
      </c>
      <c r="AM77" s="92">
        <f>AM50</f>
        <v>484.03376220781502</v>
      </c>
      <c r="AN77" s="92">
        <f>AN50</f>
        <v>80.752171418150368</v>
      </c>
      <c r="AO77" s="92">
        <f>AO50</f>
        <v>164.34415782441963</v>
      </c>
      <c r="AP77" s="92">
        <f>AP50</f>
        <v>245.09632924256999</v>
      </c>
      <c r="AQ77" s="92"/>
      <c r="AR77" s="42">
        <f>IF(AS77&gt;0,((1+(AU77/AS77))^(1/($A$101-$A$100))-1)*100,0)</f>
        <v>2.9768281396108875</v>
      </c>
      <c r="AS77" s="92">
        <f>AS50</f>
        <v>1543.3392758869961</v>
      </c>
      <c r="AT77" s="92">
        <f>AT50</f>
        <v>236.62194086231219</v>
      </c>
      <c r="AU77" s="92">
        <f>AU50</f>
        <v>526.11824148128676</v>
      </c>
      <c r="AV77" s="92">
        <f>AV50</f>
        <v>762.74018234359892</v>
      </c>
      <c r="AW77" s="91" t="e">
        <f>Y77</f>
        <v>#REF!</v>
      </c>
      <c r="AX77" s="42">
        <f>IF(AY77&gt;0,((1+(BA77/AY77))^(1/($A$101-$A$100))-1)*100,0)</f>
        <v>2.5960689907792656</v>
      </c>
      <c r="AY77" s="92">
        <f>AY50</f>
        <v>1169.4910110900296</v>
      </c>
      <c r="AZ77" s="92">
        <f>AZ50</f>
        <v>61.012733866251224</v>
      </c>
      <c r="BA77" s="92">
        <f>BA50</f>
        <v>341.64688672572964</v>
      </c>
      <c r="BB77" s="92">
        <f>BB50</f>
        <v>402.65962059198085</v>
      </c>
      <c r="BC77" s="91"/>
      <c r="BD77" s="42">
        <f>IF(BE77&gt;0,((1+(BG77/BE77))^(1/($A$101-$A$100))-1)*100,0)</f>
        <v>2.5108134589674425</v>
      </c>
      <c r="BE77" s="92">
        <f>BE50</f>
        <v>196.77997170605971</v>
      </c>
      <c r="BF77" s="92">
        <f>BF50</f>
        <v>-19.19988351079143</v>
      </c>
      <c r="BG77" s="92">
        <f>BG50</f>
        <v>55.380896948664599</v>
      </c>
      <c r="BH77" s="92">
        <f>BH50</f>
        <v>36.181013437873169</v>
      </c>
      <c r="BI77" s="91"/>
      <c r="BJ77" s="42">
        <f>IF(BK77&gt;0,((1+(BM77/BK77))^(1/($A$101-$A$100))-1)*100,0)</f>
        <v>2.5531077119064882</v>
      </c>
      <c r="BK77" s="92">
        <f>BK50</f>
        <v>650.12175377402275</v>
      </c>
      <c r="BL77" s="92">
        <f>BL50</f>
        <v>42.192712487148434</v>
      </c>
      <c r="BM77" s="92">
        <f>BM50</f>
        <v>186.41100647521165</v>
      </c>
      <c r="BN77" s="92">
        <f>BN50</f>
        <v>228.60371896236009</v>
      </c>
      <c r="BO77" s="92"/>
      <c r="BP77" s="42">
        <f>IF(BQ77&gt;0,((1+(BS77/BQ77))^(1/($A$101-$A$100))-1)*100,0)</f>
        <v>2.7334678665663192</v>
      </c>
      <c r="BQ77" s="92">
        <f>BQ50</f>
        <v>322.58928560994713</v>
      </c>
      <c r="BR77" s="92">
        <f>BR50</f>
        <v>38.019904889894228</v>
      </c>
      <c r="BS77" s="92">
        <f>BS50</f>
        <v>99.854983301853494</v>
      </c>
      <c r="BT77" s="92">
        <f>BT50</f>
        <v>137.87488819174771</v>
      </c>
      <c r="BU77" s="91" t="e">
        <f>AW77</f>
        <v>#REF!</v>
      </c>
      <c r="BV77" s="42">
        <f>IF(BW77&gt;0,((1+(BY77/BW77))^(1/($A$101-$A$100))-1)*100,0)</f>
        <v>2.5889208699682698</v>
      </c>
      <c r="BW77" s="92">
        <f>BW50</f>
        <v>786.26148565798121</v>
      </c>
      <c r="BX77" s="92">
        <f>BX50</f>
        <v>-16.768227409449015</v>
      </c>
      <c r="BY77" s="92">
        <f>BY50</f>
        <v>228.98528730973825</v>
      </c>
      <c r="BZ77" s="92">
        <f>BZ50</f>
        <v>212.21705990028923</v>
      </c>
      <c r="CA77" s="91"/>
      <c r="CB77" s="42">
        <f>IF(CC77&gt;0,((1+(CE77/CC77))^(1/($A$101-$A$100))-1)*100,0)</f>
        <v>2.5278948366694864</v>
      </c>
      <c r="CC77" s="92">
        <f>CC50</f>
        <v>257.91842111045776</v>
      </c>
      <c r="CD77" s="92">
        <f>CD50</f>
        <v>-52.179148361626908</v>
      </c>
      <c r="CE77" s="92">
        <f>CE50</f>
        <v>73.138570554183204</v>
      </c>
      <c r="CF77" s="92">
        <f>CF50</f>
        <v>20.959422192556296</v>
      </c>
      <c r="CG77" s="91"/>
      <c r="CH77" s="42">
        <f>IF(CI77&gt;0,((1+(CK77/CI77))^(1/($A$101-$A$100))-1)*100,0)</f>
        <v>2.5655949055339189</v>
      </c>
      <c r="CI77" s="92">
        <f>CI50</f>
        <v>462.50112579230256</v>
      </c>
      <c r="CJ77" s="92">
        <f>CJ50</f>
        <v>18.263082416840735</v>
      </c>
      <c r="CK77" s="92">
        <f>CK50</f>
        <v>133.33911166207648</v>
      </c>
      <c r="CL77" s="92">
        <f>CL50</f>
        <v>151.60219407891722</v>
      </c>
      <c r="CM77" s="92"/>
      <c r="CN77" s="42">
        <f>IF(CO77&gt;0,((1+(CQ77/CO77))^(1/($A$101-$A$100))-1)*100,0)</f>
        <v>2.9840981402702971</v>
      </c>
      <c r="CO77" s="92">
        <f>CO50</f>
        <v>65.841938755220539</v>
      </c>
      <c r="CP77" s="92">
        <f>CP50</f>
        <v>17.147838535337179</v>
      </c>
      <c r="CQ77" s="92">
        <f>CQ50</f>
        <v>22.507605093478684</v>
      </c>
      <c r="CR77" s="92">
        <f>CR50</f>
        <v>39.65544362881586</v>
      </c>
      <c r="CS77" s="91" t="e">
        <f>BU77</f>
        <v>#REF!</v>
      </c>
      <c r="CT77" s="42">
        <f>IF(CU77&gt;0,((1+(CW77/CU77))^(1/($A$101-$A$100))-1)*100,0)</f>
        <v>2.7533233225370157</v>
      </c>
      <c r="CU77" s="92">
        <f>CU50</f>
        <v>463.81185783630696</v>
      </c>
      <c r="CV77" s="92">
        <f>CV50</f>
        <v>59.550337485219423</v>
      </c>
      <c r="CW77" s="92">
        <f>CW50</f>
        <v>144.74423940542175</v>
      </c>
      <c r="CX77" s="92">
        <f>CX50</f>
        <v>204.29457689064117</v>
      </c>
      <c r="CY77" s="91"/>
      <c r="CZ77" s="42">
        <f>IF(DA77&gt;0,((1+(DC77/DA77))^(1/($A$101-$A$100))-1)*100,0)</f>
        <v>2.7273559755584653</v>
      </c>
      <c r="DA77" s="92">
        <f>DA50</f>
        <v>205.71744740256855</v>
      </c>
      <c r="DB77" s="92">
        <f>DB50</f>
        <v>-30.344675713108767</v>
      </c>
      <c r="DC77" s="92">
        <f>DC50</f>
        <v>63.517994559926827</v>
      </c>
      <c r="DD77" s="92">
        <f>DD50</f>
        <v>33.173318846818063</v>
      </c>
      <c r="DE77" s="91"/>
      <c r="DF77" s="42">
        <f>IF(DG77&gt;0,((1+(DI77/DG77))^(1/($A$101-$A$100))-1)*100,0)</f>
        <v>2.7323553670193235</v>
      </c>
      <c r="DG77" s="92">
        <f>DG50</f>
        <v>213.95572846563186</v>
      </c>
      <c r="DH77" s="92">
        <f>DH50</f>
        <v>67.639447401849822</v>
      </c>
      <c r="DI77" s="92">
        <f>DI50</f>
        <v>66.197978077989319</v>
      </c>
      <c r="DJ77" s="92">
        <f>DJ50</f>
        <v>133.83742547983914</v>
      </c>
      <c r="DK77" s="92"/>
      <c r="DL77" s="42">
        <f>IF(DM77&gt;0,((1+(DO77/DM77))^(1/($A$101-$A$100))-1)*100,0)</f>
        <v>2.9736201868302725</v>
      </c>
      <c r="DM77" s="92">
        <f>DM50</f>
        <v>44.13868196810671</v>
      </c>
      <c r="DN77" s="92">
        <f>DN50</f>
        <v>22.25556579647839</v>
      </c>
      <c r="DO77" s="92">
        <f>DO50</f>
        <v>15.028266767505601</v>
      </c>
      <c r="DP77" s="92">
        <f>DP50</f>
        <v>37.283832563983992</v>
      </c>
    </row>
    <row r="79" spans="1:120" x14ac:dyDescent="0.2">
      <c r="A79" s="90" t="str">
        <f ca="1">CELL("filename")</f>
        <v>M:\IE\Projects\Nuffield via NFER AI and automation\Data\Results\Workbooks\LO\[LO_MainTables.Main.xlsm]Manager</v>
      </c>
      <c r="Y79" s="90" t="str">
        <f ca="1">CELL("filename")</f>
        <v>M:\IE\Projects\Nuffield via NFER AI and automation\Data\Results\Workbooks\LO\[LO_MainTables.Main.xlsm]Manager</v>
      </c>
      <c r="AW79" s="90" t="str">
        <f ca="1">CELL("filename")</f>
        <v>M:\IE\Projects\Nuffield via NFER AI and automation\Data\Results\Workbooks\LO\[LO_MainTables.Main.xlsm]Manager</v>
      </c>
      <c r="BU79" s="90" t="str">
        <f ca="1">CELL("filename")</f>
        <v>M:\IE\Projects\Nuffield via NFER AI and automation\Data\Results\Workbooks\LO\[LO_MainTables.Main.xlsm]Manager</v>
      </c>
      <c r="CS79" s="90" t="str">
        <f ca="1">CELL("filename")</f>
        <v>M:\IE\Projects\Nuffield via NFER AI and automation\Data\Results\Workbooks\LO\[LO_MainTables.Main.xlsm]Manager</v>
      </c>
    </row>
    <row r="80" spans="1:120" ht="15.75" x14ac:dyDescent="0.25">
      <c r="A80" s="18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8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8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8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8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1"/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  <c r="X82" s="115" t="str">
        <f>$X$3</f>
        <v>thousands</v>
      </c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1"/>
      <c r="AV82" s="115" t="str">
        <f>$X$3</f>
        <v>thousands</v>
      </c>
      <c r="AW82" s="91"/>
      <c r="AX82" s="91"/>
      <c r="AY82" s="91"/>
      <c r="AZ82" s="91"/>
      <c r="BA82" s="91"/>
      <c r="BB82" s="91"/>
      <c r="BC82" s="91"/>
      <c r="BD82" s="91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115" t="str">
        <f>$X$3</f>
        <v>thousands</v>
      </c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115" t="str">
        <f>$X$3</f>
        <v>thousands</v>
      </c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115" t="str">
        <f>$X$3</f>
        <v>thousands</v>
      </c>
    </row>
    <row r="83" spans="1:120" x14ac:dyDescent="0.2">
      <c r="B83" s="381" t="str">
        <f>B4</f>
        <v>All qualifications</v>
      </c>
      <c r="C83" s="381"/>
      <c r="D83" s="381"/>
      <c r="E83" s="381"/>
      <c r="F83" s="381"/>
      <c r="G83" s="113"/>
      <c r="H83" s="381" t="str">
        <f>H4</f>
        <v>RQF8 Doctorate</v>
      </c>
      <c r="I83" s="381"/>
      <c r="J83" s="381"/>
      <c r="K83" s="381"/>
      <c r="L83" s="381"/>
      <c r="M83" s="113"/>
      <c r="N83" s="382" t="str">
        <f>N4</f>
        <v>RQF7 Other higher degree</v>
      </c>
      <c r="O83" s="382"/>
      <c r="P83" s="382"/>
      <c r="Q83" s="382"/>
      <c r="R83" s="382"/>
      <c r="S83" s="110"/>
      <c r="T83" s="382" t="str">
        <f>T4</f>
        <v>RQF6 First degree</v>
      </c>
      <c r="U83" s="382"/>
      <c r="V83" s="382"/>
      <c r="W83" s="382"/>
      <c r="X83" s="382"/>
      <c r="Z83" s="381" t="str">
        <f>Z4</f>
        <v>All qualifications</v>
      </c>
      <c r="AA83" s="381"/>
      <c r="AB83" s="381"/>
      <c r="AC83" s="381"/>
      <c r="AD83" s="381"/>
      <c r="AE83" s="113"/>
      <c r="AF83" s="381" t="str">
        <f>AF4</f>
        <v>RQF8 Doctorate</v>
      </c>
      <c r="AG83" s="381"/>
      <c r="AH83" s="381"/>
      <c r="AI83" s="381"/>
      <c r="AJ83" s="381"/>
      <c r="AK83" s="113"/>
      <c r="AL83" s="382" t="str">
        <f>AL4</f>
        <v>RQF7 Other higher degree</v>
      </c>
      <c r="AM83" s="382"/>
      <c r="AN83" s="382"/>
      <c r="AO83" s="382"/>
      <c r="AP83" s="382"/>
      <c r="AQ83" s="110"/>
      <c r="AR83" s="382" t="str">
        <f>AR4</f>
        <v>RQF6 First degree</v>
      </c>
      <c r="AS83" s="382"/>
      <c r="AT83" s="382"/>
      <c r="AU83" s="382"/>
      <c r="AV83" s="382"/>
      <c r="AX83" s="381" t="str">
        <f>AX4</f>
        <v>All qualifications</v>
      </c>
      <c r="AY83" s="381"/>
      <c r="AZ83" s="381"/>
      <c r="BA83" s="381"/>
      <c r="BB83" s="381"/>
      <c r="BC83" s="113"/>
      <c r="BD83" s="381" t="str">
        <f>BD4</f>
        <v>RQF8 Doctorate</v>
      </c>
      <c r="BE83" s="381"/>
      <c r="BF83" s="381"/>
      <c r="BG83" s="381"/>
      <c r="BH83" s="381"/>
      <c r="BI83" s="113"/>
      <c r="BJ83" s="382" t="str">
        <f>BJ4</f>
        <v>RQF7 Other higher degree</v>
      </c>
      <c r="BK83" s="382"/>
      <c r="BL83" s="382"/>
      <c r="BM83" s="382"/>
      <c r="BN83" s="382"/>
      <c r="BO83" s="110"/>
      <c r="BP83" s="382" t="str">
        <f>BP4</f>
        <v>RQF6 First degree</v>
      </c>
      <c r="BQ83" s="382"/>
      <c r="BR83" s="382"/>
      <c r="BS83" s="382"/>
      <c r="BT83" s="382"/>
      <c r="BV83" s="381" t="str">
        <f>BV4</f>
        <v>All qualifications</v>
      </c>
      <c r="BW83" s="381"/>
      <c r="BX83" s="381"/>
      <c r="BY83" s="381"/>
      <c r="BZ83" s="381"/>
      <c r="CA83" s="113"/>
      <c r="CB83" s="381" t="str">
        <f>CB4</f>
        <v>RQF8 Doctorate</v>
      </c>
      <c r="CC83" s="381"/>
      <c r="CD83" s="381"/>
      <c r="CE83" s="381"/>
      <c r="CF83" s="381"/>
      <c r="CG83" s="113"/>
      <c r="CH83" s="382" t="str">
        <f>CH4</f>
        <v>RQF7 Other higher degree</v>
      </c>
      <c r="CI83" s="382"/>
      <c r="CJ83" s="382"/>
      <c r="CK83" s="382"/>
      <c r="CL83" s="382"/>
      <c r="CM83" s="110"/>
      <c r="CN83" s="382" t="str">
        <f>CN4</f>
        <v>RQF6 First degree</v>
      </c>
      <c r="CO83" s="382"/>
      <c r="CP83" s="382"/>
      <c r="CQ83" s="382"/>
      <c r="CR83" s="382"/>
      <c r="CT83" s="381" t="str">
        <f>CT4</f>
        <v>All qualifications</v>
      </c>
      <c r="CU83" s="381"/>
      <c r="CV83" s="381"/>
      <c r="CW83" s="381"/>
      <c r="CX83" s="381"/>
      <c r="CY83" s="113"/>
      <c r="CZ83" s="381" t="str">
        <f>CZ4</f>
        <v>RQF8 Doctorate</v>
      </c>
      <c r="DA83" s="381"/>
      <c r="DB83" s="381"/>
      <c r="DC83" s="381"/>
      <c r="DD83" s="381"/>
      <c r="DE83" s="113"/>
      <c r="DF83" s="382" t="str">
        <f>DF4</f>
        <v>RQF7 Other higher degree</v>
      </c>
      <c r="DG83" s="382"/>
      <c r="DH83" s="382"/>
      <c r="DI83" s="382"/>
      <c r="DJ83" s="382"/>
      <c r="DK83" s="110"/>
      <c r="DL83" s="382" t="str">
        <f>DL4</f>
        <v>RQF6 First degree</v>
      </c>
      <c r="DM83" s="382"/>
      <c r="DN83" s="382"/>
      <c r="DO83" s="382"/>
      <c r="DP83" s="382"/>
    </row>
    <row r="85" spans="1:120" ht="38.25" x14ac:dyDescent="0.2">
      <c r="A85" s="112"/>
      <c r="B85" s="109" t="str">
        <f>B6</f>
        <v>RD p.a%</v>
      </c>
      <c r="C85" s="109" t="str">
        <f>C6</f>
        <v>2015 Level</v>
      </c>
      <c r="D85" s="109" t="str">
        <f>D6</f>
        <v>Net Change</v>
      </c>
      <c r="E85" s="109" t="str">
        <f>E6</f>
        <v>Replace-ment Demand</v>
      </c>
      <c r="F85" s="109" t="str">
        <f>F6</f>
        <v>Total Require-ment</v>
      </c>
      <c r="G85" s="108"/>
      <c r="H85" s="104" t="str">
        <f>B85</f>
        <v>RD p.a%</v>
      </c>
      <c r="I85" s="104" t="str">
        <f>C85</f>
        <v>2015 Level</v>
      </c>
      <c r="J85" s="104" t="str">
        <f>D85</f>
        <v>Net Change</v>
      </c>
      <c r="K85" s="104" t="str">
        <f>E85</f>
        <v>Replace-ment Demand</v>
      </c>
      <c r="L85" s="104" t="str">
        <f>F85</f>
        <v>Total Require-ment</v>
      </c>
      <c r="M85" s="103"/>
      <c r="N85" s="105" t="str">
        <f>H85</f>
        <v>RD p.a%</v>
      </c>
      <c r="O85" s="105" t="str">
        <f>I85</f>
        <v>2015 Level</v>
      </c>
      <c r="P85" s="105" t="str">
        <f>J85</f>
        <v>Net Change</v>
      </c>
      <c r="Q85" s="105" t="str">
        <f>K85</f>
        <v>Replace-ment Demand</v>
      </c>
      <c r="R85" s="105" t="str">
        <f>L85</f>
        <v>Total Require-ment</v>
      </c>
      <c r="S85" s="103"/>
      <c r="T85" s="105" t="str">
        <f>N85</f>
        <v>RD p.a%</v>
      </c>
      <c r="U85" s="105" t="str">
        <f>O85</f>
        <v>2015 Level</v>
      </c>
      <c r="V85" s="105" t="str">
        <f>P85</f>
        <v>Net Change</v>
      </c>
      <c r="W85" s="105" t="str">
        <f>Q85</f>
        <v>Replace-ment Demand</v>
      </c>
      <c r="X85" s="105" t="str">
        <f>R85</f>
        <v>Total Require-ment</v>
      </c>
      <c r="Y85" s="112"/>
      <c r="Z85" s="109" t="str">
        <f>Z6</f>
        <v>RD p.a%</v>
      </c>
      <c r="AA85" s="109" t="str">
        <f>AA6</f>
        <v>2015 Level</v>
      </c>
      <c r="AB85" s="109" t="str">
        <f>AB6</f>
        <v>Net Change</v>
      </c>
      <c r="AC85" s="109" t="str">
        <f>AC6</f>
        <v>Replace-ment Demand</v>
      </c>
      <c r="AD85" s="109" t="str">
        <f>AD6</f>
        <v>Total Require-ment</v>
      </c>
      <c r="AE85" s="108"/>
      <c r="AF85" s="104" t="str">
        <f>Z85</f>
        <v>RD p.a%</v>
      </c>
      <c r="AG85" s="104" t="str">
        <f>AA85</f>
        <v>2015 Level</v>
      </c>
      <c r="AH85" s="104" t="str">
        <f>AB85</f>
        <v>Net Change</v>
      </c>
      <c r="AI85" s="104" t="str">
        <f>AC85</f>
        <v>Replace-ment Demand</v>
      </c>
      <c r="AJ85" s="104" t="str">
        <f>AD85</f>
        <v>Total Require-ment</v>
      </c>
      <c r="AK85" s="103"/>
      <c r="AL85" s="105" t="str">
        <f>AF85</f>
        <v>RD p.a%</v>
      </c>
      <c r="AM85" s="105" t="str">
        <f>AG85</f>
        <v>2015 Level</v>
      </c>
      <c r="AN85" s="105" t="str">
        <f>AH85</f>
        <v>Net Change</v>
      </c>
      <c r="AO85" s="105" t="str">
        <f>AI85</f>
        <v>Replace-ment Demand</v>
      </c>
      <c r="AP85" s="105" t="str">
        <f>AJ85</f>
        <v>Total Require-ment</v>
      </c>
      <c r="AQ85" s="103"/>
      <c r="AR85" s="105" t="str">
        <f>AL85</f>
        <v>RD p.a%</v>
      </c>
      <c r="AS85" s="105" t="str">
        <f>AM85</f>
        <v>2015 Level</v>
      </c>
      <c r="AT85" s="105" t="str">
        <f>AN85</f>
        <v>Net Change</v>
      </c>
      <c r="AU85" s="105" t="str">
        <f>AO85</f>
        <v>Replace-ment Demand</v>
      </c>
      <c r="AV85" s="105" t="str">
        <f>AP85</f>
        <v>Total Require-ment</v>
      </c>
      <c r="AW85" s="112"/>
      <c r="AX85" s="109" t="str">
        <f>AX6</f>
        <v>RD p.a%</v>
      </c>
      <c r="AY85" s="109" t="str">
        <f>AY6</f>
        <v>2015 Level</v>
      </c>
      <c r="AZ85" s="109" t="str">
        <f>AZ6</f>
        <v>Net Change</v>
      </c>
      <c r="BA85" s="109" t="str">
        <f>BA6</f>
        <v>Replace-ment Demand</v>
      </c>
      <c r="BB85" s="109" t="str">
        <f>BB6</f>
        <v>Total Require-ment</v>
      </c>
      <c r="BC85" s="108"/>
      <c r="BD85" s="104" t="str">
        <f>AX85</f>
        <v>RD p.a%</v>
      </c>
      <c r="BE85" s="104" t="str">
        <f>AY85</f>
        <v>2015 Level</v>
      </c>
      <c r="BF85" s="104" t="str">
        <f>AZ85</f>
        <v>Net Change</v>
      </c>
      <c r="BG85" s="104" t="str">
        <f>BA85</f>
        <v>Replace-ment Demand</v>
      </c>
      <c r="BH85" s="104" t="str">
        <f>BB85</f>
        <v>Total Require-ment</v>
      </c>
      <c r="BI85" s="103"/>
      <c r="BJ85" s="105" t="str">
        <f>BD85</f>
        <v>RD p.a%</v>
      </c>
      <c r="BK85" s="105" t="str">
        <f>BE85</f>
        <v>2015 Level</v>
      </c>
      <c r="BL85" s="105" t="str">
        <f>BF85</f>
        <v>Net Change</v>
      </c>
      <c r="BM85" s="105" t="str">
        <f>BG85</f>
        <v>Replace-ment Demand</v>
      </c>
      <c r="BN85" s="105" t="str">
        <f>BH85</f>
        <v>Total Require-ment</v>
      </c>
      <c r="BO85" s="103"/>
      <c r="BP85" s="105" t="str">
        <f>BJ85</f>
        <v>RD p.a%</v>
      </c>
      <c r="BQ85" s="105" t="str">
        <f>BK85</f>
        <v>2015 Level</v>
      </c>
      <c r="BR85" s="105" t="str">
        <f>BL85</f>
        <v>Net Change</v>
      </c>
      <c r="BS85" s="105" t="str">
        <f>BM85</f>
        <v>Replace-ment Demand</v>
      </c>
      <c r="BT85" s="105" t="str">
        <f>BN85</f>
        <v>Total Require-ment</v>
      </c>
      <c r="BU85" s="112"/>
      <c r="BV85" s="109" t="str">
        <f>BV6</f>
        <v>RD p.a%</v>
      </c>
      <c r="BW85" s="109" t="str">
        <f>BW6</f>
        <v>2015 Level</v>
      </c>
      <c r="BX85" s="109" t="str">
        <f>BX6</f>
        <v>Net Change</v>
      </c>
      <c r="BY85" s="109" t="str">
        <f>BY6</f>
        <v>Replace-ment Demand</v>
      </c>
      <c r="BZ85" s="109" t="str">
        <f>BZ6</f>
        <v>Total Require-ment</v>
      </c>
      <c r="CA85" s="108"/>
      <c r="CB85" s="104" t="str">
        <f>BV85</f>
        <v>RD p.a%</v>
      </c>
      <c r="CC85" s="104" t="str">
        <f>BW85</f>
        <v>2015 Level</v>
      </c>
      <c r="CD85" s="104" t="str">
        <f>BX85</f>
        <v>Net Change</v>
      </c>
      <c r="CE85" s="104" t="str">
        <f>BY85</f>
        <v>Replace-ment Demand</v>
      </c>
      <c r="CF85" s="104" t="str">
        <f>BZ85</f>
        <v>Total Require-ment</v>
      </c>
      <c r="CG85" s="103"/>
      <c r="CH85" s="105" t="str">
        <f>CB85</f>
        <v>RD p.a%</v>
      </c>
      <c r="CI85" s="105" t="str">
        <f>CC85</f>
        <v>2015 Level</v>
      </c>
      <c r="CJ85" s="105" t="str">
        <f>CD85</f>
        <v>Net Change</v>
      </c>
      <c r="CK85" s="105" t="str">
        <f>CE85</f>
        <v>Replace-ment Demand</v>
      </c>
      <c r="CL85" s="105" t="str">
        <f>CF85</f>
        <v>Total Require-ment</v>
      </c>
      <c r="CM85" s="103"/>
      <c r="CN85" s="105" t="str">
        <f>CH85</f>
        <v>RD p.a%</v>
      </c>
      <c r="CO85" s="105" t="str">
        <f>CI85</f>
        <v>2015 Level</v>
      </c>
      <c r="CP85" s="105" t="str">
        <f>CJ85</f>
        <v>Net Change</v>
      </c>
      <c r="CQ85" s="105" t="str">
        <f>CK85</f>
        <v>Replace-ment Demand</v>
      </c>
      <c r="CR85" s="105" t="str">
        <f>CL85</f>
        <v>Total Require-ment</v>
      </c>
      <c r="CS85" s="112"/>
      <c r="CT85" s="109" t="str">
        <f>CT6</f>
        <v>RD p.a%</v>
      </c>
      <c r="CU85" s="109" t="str">
        <f>CU6</f>
        <v>2015 Level</v>
      </c>
      <c r="CV85" s="109" t="str">
        <f>CV6</f>
        <v>Net Change</v>
      </c>
      <c r="CW85" s="109" t="str">
        <f>CW6</f>
        <v>Replace-ment Demand</v>
      </c>
      <c r="CX85" s="109" t="str">
        <f>CX6</f>
        <v>Total Require-ment</v>
      </c>
      <c r="CY85" s="108"/>
      <c r="CZ85" s="104" t="str">
        <f>CT85</f>
        <v>RD p.a%</v>
      </c>
      <c r="DA85" s="104" t="str">
        <f>CU85</f>
        <v>2015 Level</v>
      </c>
      <c r="DB85" s="104" t="str">
        <f>CV85</f>
        <v>Net Change</v>
      </c>
      <c r="DC85" s="104" t="str">
        <f>CW85</f>
        <v>Replace-ment Demand</v>
      </c>
      <c r="DD85" s="104" t="str">
        <f>CX85</f>
        <v>Total Require-ment</v>
      </c>
      <c r="DE85" s="103"/>
      <c r="DF85" s="105" t="str">
        <f>CZ85</f>
        <v>RD p.a%</v>
      </c>
      <c r="DG85" s="105" t="str">
        <f>DA85</f>
        <v>2015 Level</v>
      </c>
      <c r="DH85" s="105" t="str">
        <f>DB85</f>
        <v>Net Change</v>
      </c>
      <c r="DI85" s="105" t="str">
        <f>DC85</f>
        <v>Replace-ment Demand</v>
      </c>
      <c r="DJ85" s="105" t="str">
        <f>DD85</f>
        <v>Total Require-ment</v>
      </c>
      <c r="DK85" s="103"/>
      <c r="DL85" s="105" t="str">
        <f>DF85</f>
        <v>RD p.a%</v>
      </c>
      <c r="DM85" s="105" t="str">
        <f>DG85</f>
        <v>2015 Level</v>
      </c>
      <c r="DN85" s="105" t="str">
        <f>DH85</f>
        <v>Net Change</v>
      </c>
      <c r="DO85" s="105" t="str">
        <f>DI85</f>
        <v>Replace-ment Demand</v>
      </c>
      <c r="DP85" s="105" t="str">
        <f>DJ85</f>
        <v>Total Require-ment</v>
      </c>
    </row>
    <row r="87" spans="1:120" x14ac:dyDescent="0.2">
      <c r="A87" s="90" t="str">
        <f>name!C4</f>
        <v>Primary sector and utilities</v>
      </c>
      <c r="B87" s="39" t="e">
        <f t="shared" ref="B87:B94" si="68">IF(C87&gt;0,((1+(E87/C87))^(1/($A$101-$A$100))-1)*100,0)</f>
        <v>#REF!</v>
      </c>
      <c r="C87" s="93" t="e">
        <f t="array" ref="C87:C92">MMULT(aggregation!#REF!,BasicTable5!C8:C48)</f>
        <v>#REF!</v>
      </c>
      <c r="D87" s="93" t="e">
        <f t="array" ref="D87:D92">MMULT(aggregation!#REF!,BasicTable5!D8:D48)</f>
        <v>#REF!</v>
      </c>
      <c r="E87" s="93" t="e">
        <f t="array" ref="E87:E92">MMULT(aggregation!#REF!,BasicTable5!E8:E48)</f>
        <v>#REF!</v>
      </c>
      <c r="F87" s="93" t="e">
        <f t="array" ref="F87:F92">MMULT(aggregation!#REF!,BasicTable5!F8:F48)</f>
        <v>#REF!</v>
      </c>
      <c r="H87" s="39" t="e">
        <f t="shared" ref="H87:H94" si="69">IF(I87&gt;0,((1+(K87/I87))^(1/($A$101-$A$100))-1)*100,0)</f>
        <v>#REF!</v>
      </c>
      <c r="I87" s="93" t="e">
        <f t="array" ref="I87:I92">MMULT(aggregation!#REF!,BasicTable5!I8:I48)</f>
        <v>#REF!</v>
      </c>
      <c r="J87" s="93" t="e">
        <f t="array" ref="J87:J92">MMULT(aggregation!#REF!,BasicTable5!J8:J48)</f>
        <v>#REF!</v>
      </c>
      <c r="K87" s="93" t="e">
        <f t="array" ref="K87:K92">MMULT(aggregation!#REF!,BasicTable5!K8:K48)</f>
        <v>#REF!</v>
      </c>
      <c r="L87" s="93" t="e">
        <f t="array" ref="L87:L92">MMULT(aggregation!#REF!,BasicTable5!L8:L48)</f>
        <v>#REF!</v>
      </c>
      <c r="N87" s="39" t="e">
        <f t="shared" ref="N87:N94" si="70">IF(O87&gt;0,((1+(Q87/O87))^(1/($A$101-$A$100))-1)*100,0)</f>
        <v>#REF!</v>
      </c>
      <c r="O87" s="93" t="e">
        <f t="array" ref="O87:O92">MMULT(aggregation!#REF!,BasicTable5!O8:O48)</f>
        <v>#REF!</v>
      </c>
      <c r="P87" s="93" t="e">
        <f t="array" ref="P87:P92">MMULT(aggregation!#REF!,BasicTable5!P8:P48)</f>
        <v>#REF!</v>
      </c>
      <c r="Q87" s="93" t="e">
        <f t="array" ref="Q87:Q92">MMULT(aggregation!#REF!,BasicTable5!Q8:Q48)</f>
        <v>#REF!</v>
      </c>
      <c r="R87" s="93" t="e">
        <f t="array" ref="R87:R92">MMULT(aggregation!#REF!,BasicTable5!R8:R48)</f>
        <v>#REF!</v>
      </c>
      <c r="S87" s="93"/>
      <c r="T87" s="39" t="e">
        <f t="shared" ref="T87:T94" si="71">IF(U87&gt;0,((1+(W87/U87))^(1/($A$101-$A$100))-1)*100,0)</f>
        <v>#REF!</v>
      </c>
      <c r="U87" s="93" t="e">
        <f t="array" ref="U87:U92">MMULT(aggregation!#REF!,BasicTable5!U8:U48)</f>
        <v>#REF!</v>
      </c>
      <c r="V87" s="93" t="e">
        <f t="array" ref="V87:V92">MMULT(aggregation!#REF!,BasicTable5!V8:V48)</f>
        <v>#REF!</v>
      </c>
      <c r="W87" s="93" t="e">
        <f t="array" ref="W87:W92">MMULT(aggregation!#REF!,BasicTable5!W8:W48)</f>
        <v>#REF!</v>
      </c>
      <c r="X87" s="93" t="e">
        <f t="array" ref="X87:X92">MMULT(aggregation!#REF!,BasicTable5!X8:X48)</f>
        <v>#REF!</v>
      </c>
      <c r="Y87" s="90" t="str">
        <f t="shared" ref="Y87:Y92" si="72">A87</f>
        <v>Primary sector and utilities</v>
      </c>
      <c r="Z87" s="39" t="e">
        <f t="shared" ref="Z87:Z92" si="73">IF(AA87&gt;0,((1+(AC87/AA87))^(1/($A$101-$A$100))-1)*100,0)</f>
        <v>#REF!</v>
      </c>
      <c r="AA87" s="93" t="e">
        <f t="array" ref="AA87:AA92">MMULT(aggregation!#REF!,BasicTable5!AA8:AA48)</f>
        <v>#REF!</v>
      </c>
      <c r="AB87" s="93" t="e">
        <f t="array" ref="AB87:AB92">MMULT(aggregation!#REF!,BasicTable5!AB8:AB48)</f>
        <v>#REF!</v>
      </c>
      <c r="AC87" s="93" t="e">
        <f t="array" ref="AC87:AC92">MMULT(aggregation!#REF!,BasicTable5!AC8:AC48)</f>
        <v>#REF!</v>
      </c>
      <c r="AD87" s="93" t="e">
        <f t="array" ref="AD87:AD92">MMULT(aggregation!#REF!,BasicTable5!AD8:AD48)</f>
        <v>#REF!</v>
      </c>
      <c r="AF87" s="39" t="e">
        <f t="shared" ref="AF87:AF92" si="74">IF(AG87&gt;0,((1+(AI87/AG87))^(1/($A$101-$A$100))-1)*100,0)</f>
        <v>#REF!</v>
      </c>
      <c r="AG87" s="93" t="e">
        <f t="array" ref="AG87:AG92">MMULT(aggregation!#REF!,BasicTable5!AG8:AG48)</f>
        <v>#REF!</v>
      </c>
      <c r="AH87" s="93" t="e">
        <f t="array" ref="AH87:AH92">MMULT(aggregation!#REF!,BasicTable5!AH8:AH48)</f>
        <v>#REF!</v>
      </c>
      <c r="AI87" s="93" t="e">
        <f t="array" ref="AI87:AI92">MMULT(aggregation!#REF!,BasicTable5!AI8:AI48)</f>
        <v>#REF!</v>
      </c>
      <c r="AJ87" s="93" t="e">
        <f t="array" ref="AJ87:AJ92">MMULT(aggregation!#REF!,BasicTable5!AJ8:AJ48)</f>
        <v>#REF!</v>
      </c>
      <c r="AL87" s="39" t="e">
        <f t="shared" ref="AL87:AL92" si="75">IF(AM87&gt;0,((1+(AO87/AM87))^(1/($A$101-$A$100))-1)*100,0)</f>
        <v>#REF!</v>
      </c>
      <c r="AM87" s="93" t="e">
        <f t="array" ref="AM87:AM92">MMULT(aggregation!#REF!,BasicTable5!AM8:AM48)</f>
        <v>#REF!</v>
      </c>
      <c r="AN87" s="93" t="e">
        <f t="array" ref="AN87:AN92">MMULT(aggregation!#REF!,BasicTable5!AN8:AN48)</f>
        <v>#REF!</v>
      </c>
      <c r="AO87" s="93" t="e">
        <f t="array" ref="AO87:AO92">MMULT(aggregation!#REF!,BasicTable5!AO8:AO48)</f>
        <v>#REF!</v>
      </c>
      <c r="AP87" s="93" t="e">
        <f t="array" ref="AP87:AP92">MMULT(aggregation!#REF!,BasicTable5!AP8:AP48)</f>
        <v>#REF!</v>
      </c>
      <c r="AQ87" s="93"/>
      <c r="AR87" s="39" t="e">
        <f t="shared" ref="AR87:AR92" si="76">IF(AS87&gt;0,((1+(AU87/AS87))^(1/($A$101-$A$100))-1)*100,0)</f>
        <v>#REF!</v>
      </c>
      <c r="AS87" s="93" t="e">
        <f t="array" ref="AS87:AS92">MMULT(aggregation!#REF!,BasicTable5!AS8:AS48)</f>
        <v>#REF!</v>
      </c>
      <c r="AT87" s="93" t="e">
        <f t="array" ref="AT87:AT92">MMULT(aggregation!#REF!,BasicTable5!AT8:AT48)</f>
        <v>#REF!</v>
      </c>
      <c r="AU87" s="93" t="e">
        <f t="array" ref="AU87:AU92">MMULT(aggregation!#REF!,BasicTable5!AU8:AU48)</f>
        <v>#REF!</v>
      </c>
      <c r="AV87" s="93" t="e">
        <f t="array" ref="AV87:AV92">MMULT(aggregation!#REF!,BasicTable5!AV8:AV48)</f>
        <v>#REF!</v>
      </c>
      <c r="AW87" s="90" t="str">
        <f t="shared" ref="AW87:AW92" si="77">Y87</f>
        <v>Primary sector and utilities</v>
      </c>
      <c r="AX87" s="39" t="e">
        <f t="shared" ref="AX87:AX92" si="78">IF(AY87&gt;0,((1+(BA87/AY87))^(1/($A$101-$A$100))-1)*100,0)</f>
        <v>#REF!</v>
      </c>
      <c r="AY87" s="93" t="e">
        <f t="array" ref="AY87:AY92">MMULT(aggregation!#REF!,BasicTable5!AY8:AY48)</f>
        <v>#REF!</v>
      </c>
      <c r="AZ87" s="93" t="e">
        <f t="array" ref="AZ87:AZ92">MMULT(aggregation!#REF!,BasicTable5!AZ8:AZ48)</f>
        <v>#REF!</v>
      </c>
      <c r="BA87" s="93" t="e">
        <f t="array" ref="BA87:BA92">MMULT(aggregation!#REF!,BasicTable5!BA8:BA48)</f>
        <v>#REF!</v>
      </c>
      <c r="BB87" s="93" t="e">
        <f t="array" ref="BB87:BB92">MMULT(aggregation!#REF!,BasicTable5!BB8:BB48)</f>
        <v>#REF!</v>
      </c>
      <c r="BD87" s="39" t="e">
        <f t="shared" ref="BD87:BD92" si="79">IF(BE87&gt;0,((1+(BG87/BE87))^(1/($A$101-$A$100))-1)*100,0)</f>
        <v>#REF!</v>
      </c>
      <c r="BE87" s="93" t="e">
        <f t="array" ref="BE87:BE92">MMULT(aggregation!#REF!,BasicTable5!BE8:BE48)</f>
        <v>#REF!</v>
      </c>
      <c r="BF87" s="93" t="e">
        <f t="array" ref="BF87:BF92">MMULT(aggregation!#REF!,BasicTable5!BF8:BF48)</f>
        <v>#REF!</v>
      </c>
      <c r="BG87" s="93" t="e">
        <f t="array" ref="BG87:BG92">MMULT(aggregation!#REF!,BasicTable5!BG8:BG48)</f>
        <v>#REF!</v>
      </c>
      <c r="BH87" s="93" t="e">
        <f t="array" ref="BH87:BH92">MMULT(aggregation!#REF!,BasicTable5!BH8:BH48)</f>
        <v>#REF!</v>
      </c>
      <c r="BJ87" s="39" t="e">
        <f t="shared" ref="BJ87:BJ92" si="80">IF(BK87&gt;0,((1+(BM87/BK87))^(1/($A$101-$A$100))-1)*100,0)</f>
        <v>#REF!</v>
      </c>
      <c r="BK87" s="93" t="e">
        <f t="array" ref="BK87:BK92">MMULT(aggregation!#REF!,BasicTable5!BK8:BK48)</f>
        <v>#REF!</v>
      </c>
      <c r="BL87" s="93" t="e">
        <f t="array" ref="BL87:BL92">MMULT(aggregation!#REF!,BasicTable5!BL8:BL48)</f>
        <v>#REF!</v>
      </c>
      <c r="BM87" s="93" t="e">
        <f t="array" ref="BM87:BM92">MMULT(aggregation!#REF!,BasicTable5!BM8:BM48)</f>
        <v>#REF!</v>
      </c>
      <c r="BN87" s="93" t="e">
        <f t="array" ref="BN87:BN92">MMULT(aggregation!#REF!,BasicTable5!BN8:BN48)</f>
        <v>#REF!</v>
      </c>
      <c r="BO87" s="93"/>
      <c r="BP87" s="39" t="e">
        <f t="shared" ref="BP87:BP92" si="81">IF(BQ87&gt;0,((1+(BS87/BQ87))^(1/($A$101-$A$100))-1)*100,0)</f>
        <v>#REF!</v>
      </c>
      <c r="BQ87" s="93" t="e">
        <f t="array" ref="BQ87:BQ92">MMULT(aggregation!#REF!,BasicTable5!BQ8:BQ48)</f>
        <v>#REF!</v>
      </c>
      <c r="BR87" s="93" t="e">
        <f t="array" ref="BR87:BR92">MMULT(aggregation!#REF!,BasicTable5!BR8:BR48)</f>
        <v>#REF!</v>
      </c>
      <c r="BS87" s="93" t="e">
        <f t="array" ref="BS87:BS92">MMULT(aggregation!#REF!,BasicTable5!BS8:BS48)</f>
        <v>#REF!</v>
      </c>
      <c r="BT87" s="93" t="e">
        <f t="array" ref="BT87:BT92">MMULT(aggregation!#REF!,BasicTable5!BT8:BT48)</f>
        <v>#REF!</v>
      </c>
      <c r="BU87" s="90" t="str">
        <f t="shared" ref="BU87:BU92" si="82">AW87</f>
        <v>Primary sector and utilities</v>
      </c>
      <c r="BV87" s="39" t="e">
        <f t="shared" ref="BV87:BV92" si="83">IF(BW87&gt;0,((1+(BY87/BW87))^(1/($A$101-$A$100))-1)*100,0)</f>
        <v>#REF!</v>
      </c>
      <c r="BW87" s="93" t="e">
        <f t="array" ref="BW87:BW92">MMULT(aggregation!#REF!,BasicTable5!BW8:BW48)</f>
        <v>#REF!</v>
      </c>
      <c r="BX87" s="93" t="e">
        <f t="array" ref="BX87:BX92">MMULT(aggregation!#REF!,BasicTable5!BX8:BX48)</f>
        <v>#REF!</v>
      </c>
      <c r="BY87" s="93" t="e">
        <f t="array" ref="BY87:BY92">MMULT(aggregation!#REF!,BasicTable5!BY8:BY48)</f>
        <v>#REF!</v>
      </c>
      <c r="BZ87" s="93" t="e">
        <f t="array" ref="BZ87:BZ92">MMULT(aggregation!#REF!,BasicTable5!BZ8:BZ48)</f>
        <v>#REF!</v>
      </c>
      <c r="CB87" s="39" t="e">
        <f t="shared" ref="CB87:CB92" si="84">IF(CC87&gt;0,((1+(CE87/CC87))^(1/($A$101-$A$100))-1)*100,0)</f>
        <v>#REF!</v>
      </c>
      <c r="CC87" s="93" t="e">
        <f t="array" ref="CC87:CC92">MMULT(aggregation!#REF!,BasicTable5!CC8:CC48)</f>
        <v>#REF!</v>
      </c>
      <c r="CD87" s="93" t="e">
        <f t="array" ref="CD87:CD92">MMULT(aggregation!#REF!,BasicTable5!CD8:CD48)</f>
        <v>#REF!</v>
      </c>
      <c r="CE87" s="93" t="e">
        <f t="array" ref="CE87:CE92">MMULT(aggregation!#REF!,BasicTable5!CE8:CE48)</f>
        <v>#REF!</v>
      </c>
      <c r="CF87" s="93" t="e">
        <f t="array" ref="CF87:CF92">MMULT(aggregation!#REF!,BasicTable5!CF8:CF48)</f>
        <v>#REF!</v>
      </c>
      <c r="CH87" s="39" t="e">
        <f t="shared" ref="CH87:CH92" si="85">IF(CI87&gt;0,((1+(CK87/CI87))^(1/($A$101-$A$100))-1)*100,0)</f>
        <v>#REF!</v>
      </c>
      <c r="CI87" s="93" t="e">
        <f t="array" ref="CI87:CI92">MMULT(aggregation!#REF!,BasicTable5!CI8:CI48)</f>
        <v>#REF!</v>
      </c>
      <c r="CJ87" s="93" t="e">
        <f t="array" ref="CJ87:CJ92">MMULT(aggregation!#REF!,BasicTable5!CJ8:CJ48)</f>
        <v>#REF!</v>
      </c>
      <c r="CK87" s="93" t="e">
        <f t="array" ref="CK87:CK92">MMULT(aggregation!#REF!,BasicTable5!CK8:CK48)</f>
        <v>#REF!</v>
      </c>
      <c r="CL87" s="93" t="e">
        <f t="array" ref="CL87:CL92">MMULT(aggregation!#REF!,BasicTable5!CL8:CL48)</f>
        <v>#REF!</v>
      </c>
      <c r="CM87" s="93"/>
      <c r="CN87" s="39" t="e">
        <f t="shared" ref="CN87:CN92" si="86">IF(CO87&gt;0,((1+(CQ87/CO87))^(1/($A$101-$A$100))-1)*100,0)</f>
        <v>#REF!</v>
      </c>
      <c r="CO87" s="93" t="e">
        <f t="array" ref="CO87:CO92">MMULT(aggregation!#REF!,BasicTable5!CO8:CO48)</f>
        <v>#REF!</v>
      </c>
      <c r="CP87" s="93" t="e">
        <f t="array" ref="CP87:CP92">MMULT(aggregation!#REF!,BasicTable5!CP8:CP48)</f>
        <v>#REF!</v>
      </c>
      <c r="CQ87" s="93" t="e">
        <f t="array" ref="CQ87:CQ92">MMULT(aggregation!#REF!,BasicTable5!CQ8:CQ48)</f>
        <v>#REF!</v>
      </c>
      <c r="CR87" s="93" t="e">
        <f t="array" ref="CR87:CR92">MMULT(aggregation!#REF!,BasicTable5!CR8:CR48)</f>
        <v>#REF!</v>
      </c>
      <c r="CS87" s="90" t="str">
        <f t="shared" ref="CS87:CS92" si="87">BU87</f>
        <v>Primary sector and utilities</v>
      </c>
      <c r="CT87" s="39" t="e">
        <f t="shared" ref="CT87:CT92" si="88">IF(CU87&gt;0,((1+(CW87/CU87))^(1/($A$101-$A$100))-1)*100,0)</f>
        <v>#REF!</v>
      </c>
      <c r="CU87" s="93" t="e">
        <f t="array" ref="CU87:CU92">MMULT(aggregation!#REF!,BasicTable5!CU8:CU48)</f>
        <v>#REF!</v>
      </c>
      <c r="CV87" s="93" t="e">
        <f t="array" ref="CV87:CV92">MMULT(aggregation!#REF!,BasicTable5!CV8:CV48)</f>
        <v>#REF!</v>
      </c>
      <c r="CW87" s="93" t="e">
        <f t="array" ref="CW87:CW92">MMULT(aggregation!#REF!,BasicTable5!CW8:CW48)</f>
        <v>#REF!</v>
      </c>
      <c r="CX87" s="93" t="e">
        <f t="array" ref="CX87:CX92">MMULT(aggregation!#REF!,BasicTable5!CX8:CX48)</f>
        <v>#REF!</v>
      </c>
      <c r="CZ87" s="39" t="e">
        <f t="shared" ref="CZ87:CZ92" si="89">IF(DA87&gt;0,((1+(DC87/DA87))^(1/($A$101-$A$100))-1)*100,0)</f>
        <v>#REF!</v>
      </c>
      <c r="DA87" s="93" t="e">
        <f t="array" ref="DA87:DA92">MMULT(aggregation!#REF!,BasicTable5!DA8:DA48)</f>
        <v>#REF!</v>
      </c>
      <c r="DB87" s="93" t="e">
        <f t="array" ref="DB87:DB92">MMULT(aggregation!#REF!,BasicTable5!DB8:DB48)</f>
        <v>#REF!</v>
      </c>
      <c r="DC87" s="93" t="e">
        <f t="array" ref="DC87:DC92">MMULT(aggregation!#REF!,BasicTable5!DC8:DC48)</f>
        <v>#REF!</v>
      </c>
      <c r="DD87" s="93" t="e">
        <f t="array" ref="DD87:DD92">MMULT(aggregation!#REF!,BasicTable5!DD8:DD48)</f>
        <v>#REF!</v>
      </c>
      <c r="DF87" s="39" t="e">
        <f t="shared" ref="DF87:DF92" si="90">IF(DG87&gt;0,((1+(DI87/DG87))^(1/($A$101-$A$100))-1)*100,0)</f>
        <v>#REF!</v>
      </c>
      <c r="DG87" s="93" t="e">
        <f t="array" ref="DG87:DG92">MMULT(aggregation!#REF!,BasicTable5!DG8:DG48)</f>
        <v>#REF!</v>
      </c>
      <c r="DH87" s="93" t="e">
        <f t="array" ref="DH87:DH92">MMULT(aggregation!#REF!,BasicTable5!DH8:DH48)</f>
        <v>#REF!</v>
      </c>
      <c r="DI87" s="93" t="e">
        <f t="array" ref="DI87:DI92">MMULT(aggregation!#REF!,BasicTable5!DI8:DI48)</f>
        <v>#REF!</v>
      </c>
      <c r="DJ87" s="93" t="e">
        <f t="array" ref="DJ87:DJ92">MMULT(aggregation!#REF!,BasicTable5!DJ8:DJ48)</f>
        <v>#REF!</v>
      </c>
      <c r="DK87" s="93"/>
      <c r="DL87" s="39" t="e">
        <f t="shared" ref="DL87:DL92" si="91">IF(DM87&gt;0,((1+(DO87/DM87))^(1/($A$101-$A$100))-1)*100,0)</f>
        <v>#REF!</v>
      </c>
      <c r="DM87" s="93" t="e">
        <f t="array" ref="DM87:DM92">MMULT(aggregation!#REF!,BasicTable5!DM8:DM48)</f>
        <v>#REF!</v>
      </c>
      <c r="DN87" s="93" t="e">
        <f t="array" ref="DN87:DN92">MMULT(aggregation!#REF!,BasicTable5!DN8:DN48)</f>
        <v>#REF!</v>
      </c>
      <c r="DO87" s="93" t="e">
        <f t="array" ref="DO87:DO92">MMULT(aggregation!#REF!,BasicTable5!DO8:DO48)</f>
        <v>#REF!</v>
      </c>
      <c r="DP87" s="93" t="e">
        <f t="array" ref="DP87:DP92">MMULT(aggregation!#REF!,BasicTable5!DP8:DP48)</f>
        <v>#REF!</v>
      </c>
    </row>
    <row r="88" spans="1:120" x14ac:dyDescent="0.2">
      <c r="A88" s="90" t="str">
        <f>name!C5</f>
        <v>Manufacturing</v>
      </c>
      <c r="B88" s="39" t="e">
        <f t="shared" si="68"/>
        <v>#REF!</v>
      </c>
      <c r="C88" s="93" t="e">
        <v>#REF!</v>
      </c>
      <c r="D88" s="93" t="e">
        <v>#REF!</v>
      </c>
      <c r="E88" s="93" t="e">
        <v>#REF!</v>
      </c>
      <c r="F88" s="93" t="e">
        <v>#REF!</v>
      </c>
      <c r="H88" s="39" t="e">
        <f t="shared" si="69"/>
        <v>#REF!</v>
      </c>
      <c r="I88" s="93" t="e">
        <v>#REF!</v>
      </c>
      <c r="J88" s="93" t="e">
        <v>#REF!</v>
      </c>
      <c r="K88" s="93" t="e">
        <v>#REF!</v>
      </c>
      <c r="L88" s="93" t="e">
        <v>#REF!</v>
      </c>
      <c r="N88" s="39" t="e">
        <f t="shared" si="70"/>
        <v>#REF!</v>
      </c>
      <c r="O88" s="93" t="e">
        <v>#REF!</v>
      </c>
      <c r="P88" s="93" t="e">
        <v>#REF!</v>
      </c>
      <c r="Q88" s="93" t="e">
        <v>#REF!</v>
      </c>
      <c r="R88" s="93" t="e">
        <v>#REF!</v>
      </c>
      <c r="S88" s="93"/>
      <c r="T88" s="39" t="e">
        <f t="shared" si="71"/>
        <v>#REF!</v>
      </c>
      <c r="U88" s="93" t="e">
        <v>#REF!</v>
      </c>
      <c r="V88" s="93" t="e">
        <v>#REF!</v>
      </c>
      <c r="W88" s="93" t="e">
        <v>#REF!</v>
      </c>
      <c r="X88" s="93" t="e">
        <v>#REF!</v>
      </c>
      <c r="Y88" s="90" t="str">
        <f t="shared" si="72"/>
        <v>Manufacturing</v>
      </c>
      <c r="Z88" s="39" t="e">
        <f t="shared" si="73"/>
        <v>#REF!</v>
      </c>
      <c r="AA88" s="93" t="e">
        <v>#REF!</v>
      </c>
      <c r="AB88" s="93" t="e">
        <v>#REF!</v>
      </c>
      <c r="AC88" s="93" t="e">
        <v>#REF!</v>
      </c>
      <c r="AD88" s="93" t="e">
        <v>#REF!</v>
      </c>
      <c r="AF88" s="39" t="e">
        <f t="shared" si="74"/>
        <v>#REF!</v>
      </c>
      <c r="AG88" s="93" t="e">
        <v>#REF!</v>
      </c>
      <c r="AH88" s="93" t="e">
        <v>#REF!</v>
      </c>
      <c r="AI88" s="93" t="e">
        <v>#REF!</v>
      </c>
      <c r="AJ88" s="93" t="e">
        <v>#REF!</v>
      </c>
      <c r="AL88" s="39" t="e">
        <f t="shared" si="75"/>
        <v>#REF!</v>
      </c>
      <c r="AM88" s="93" t="e">
        <v>#REF!</v>
      </c>
      <c r="AN88" s="93" t="e">
        <v>#REF!</v>
      </c>
      <c r="AO88" s="93" t="e">
        <v>#REF!</v>
      </c>
      <c r="AP88" s="93" t="e">
        <v>#REF!</v>
      </c>
      <c r="AQ88" s="93"/>
      <c r="AR88" s="39" t="e">
        <f t="shared" si="76"/>
        <v>#REF!</v>
      </c>
      <c r="AS88" s="93" t="e">
        <v>#REF!</v>
      </c>
      <c r="AT88" s="93" t="e">
        <v>#REF!</v>
      </c>
      <c r="AU88" s="93" t="e">
        <v>#REF!</v>
      </c>
      <c r="AV88" s="93" t="e">
        <v>#REF!</v>
      </c>
      <c r="AW88" s="90" t="str">
        <f t="shared" si="77"/>
        <v>Manufacturing</v>
      </c>
      <c r="AX88" s="39" t="e">
        <f t="shared" si="78"/>
        <v>#REF!</v>
      </c>
      <c r="AY88" s="93" t="e">
        <v>#REF!</v>
      </c>
      <c r="AZ88" s="93" t="e">
        <v>#REF!</v>
      </c>
      <c r="BA88" s="93" t="e">
        <v>#REF!</v>
      </c>
      <c r="BB88" s="93" t="e">
        <v>#REF!</v>
      </c>
      <c r="BD88" s="39" t="e">
        <f t="shared" si="79"/>
        <v>#REF!</v>
      </c>
      <c r="BE88" s="93" t="e">
        <v>#REF!</v>
      </c>
      <c r="BF88" s="93" t="e">
        <v>#REF!</v>
      </c>
      <c r="BG88" s="93" t="e">
        <v>#REF!</v>
      </c>
      <c r="BH88" s="93" t="e">
        <v>#REF!</v>
      </c>
      <c r="BJ88" s="39" t="e">
        <f t="shared" si="80"/>
        <v>#REF!</v>
      </c>
      <c r="BK88" s="93" t="e">
        <v>#REF!</v>
      </c>
      <c r="BL88" s="93" t="e">
        <v>#REF!</v>
      </c>
      <c r="BM88" s="93" t="e">
        <v>#REF!</v>
      </c>
      <c r="BN88" s="93" t="e">
        <v>#REF!</v>
      </c>
      <c r="BO88" s="93"/>
      <c r="BP88" s="39" t="e">
        <f t="shared" si="81"/>
        <v>#REF!</v>
      </c>
      <c r="BQ88" s="93" t="e">
        <v>#REF!</v>
      </c>
      <c r="BR88" s="93" t="e">
        <v>#REF!</v>
      </c>
      <c r="BS88" s="93" t="e">
        <v>#REF!</v>
      </c>
      <c r="BT88" s="93" t="e">
        <v>#REF!</v>
      </c>
      <c r="BU88" s="90" t="str">
        <f t="shared" si="82"/>
        <v>Manufacturing</v>
      </c>
      <c r="BV88" s="39" t="e">
        <f t="shared" si="83"/>
        <v>#REF!</v>
      </c>
      <c r="BW88" s="93" t="e">
        <v>#REF!</v>
      </c>
      <c r="BX88" s="93" t="e">
        <v>#REF!</v>
      </c>
      <c r="BY88" s="93" t="e">
        <v>#REF!</v>
      </c>
      <c r="BZ88" s="93" t="e">
        <v>#REF!</v>
      </c>
      <c r="CB88" s="39" t="e">
        <f t="shared" si="84"/>
        <v>#REF!</v>
      </c>
      <c r="CC88" s="93" t="e">
        <v>#REF!</v>
      </c>
      <c r="CD88" s="93" t="e">
        <v>#REF!</v>
      </c>
      <c r="CE88" s="93" t="e">
        <v>#REF!</v>
      </c>
      <c r="CF88" s="93" t="e">
        <v>#REF!</v>
      </c>
      <c r="CH88" s="39" t="e">
        <f t="shared" si="85"/>
        <v>#REF!</v>
      </c>
      <c r="CI88" s="93" t="e">
        <v>#REF!</v>
      </c>
      <c r="CJ88" s="93" t="e">
        <v>#REF!</v>
      </c>
      <c r="CK88" s="93" t="e">
        <v>#REF!</v>
      </c>
      <c r="CL88" s="93" t="e">
        <v>#REF!</v>
      </c>
      <c r="CM88" s="93"/>
      <c r="CN88" s="39" t="e">
        <f t="shared" si="86"/>
        <v>#REF!</v>
      </c>
      <c r="CO88" s="93" t="e">
        <v>#REF!</v>
      </c>
      <c r="CP88" s="93" t="e">
        <v>#REF!</v>
      </c>
      <c r="CQ88" s="93" t="e">
        <v>#REF!</v>
      </c>
      <c r="CR88" s="93" t="e">
        <v>#REF!</v>
      </c>
      <c r="CS88" s="90" t="str">
        <f t="shared" si="87"/>
        <v>Manufacturing</v>
      </c>
      <c r="CT88" s="39" t="e">
        <f t="shared" si="88"/>
        <v>#REF!</v>
      </c>
      <c r="CU88" s="93" t="e">
        <v>#REF!</v>
      </c>
      <c r="CV88" s="93" t="e">
        <v>#REF!</v>
      </c>
      <c r="CW88" s="93" t="e">
        <v>#REF!</v>
      </c>
      <c r="CX88" s="93" t="e">
        <v>#REF!</v>
      </c>
      <c r="CZ88" s="39" t="e">
        <f t="shared" si="89"/>
        <v>#REF!</v>
      </c>
      <c r="DA88" s="93" t="e">
        <v>#REF!</v>
      </c>
      <c r="DB88" s="93" t="e">
        <v>#REF!</v>
      </c>
      <c r="DC88" s="93" t="e">
        <v>#REF!</v>
      </c>
      <c r="DD88" s="93" t="e">
        <v>#REF!</v>
      </c>
      <c r="DF88" s="39" t="e">
        <f t="shared" si="90"/>
        <v>#REF!</v>
      </c>
      <c r="DG88" s="93" t="e">
        <v>#REF!</v>
      </c>
      <c r="DH88" s="93" t="e">
        <v>#REF!</v>
      </c>
      <c r="DI88" s="93" t="e">
        <v>#REF!</v>
      </c>
      <c r="DJ88" s="93" t="e">
        <v>#REF!</v>
      </c>
      <c r="DK88" s="93"/>
      <c r="DL88" s="39" t="e">
        <f t="shared" si="91"/>
        <v>#REF!</v>
      </c>
      <c r="DM88" s="93" t="e">
        <v>#REF!</v>
      </c>
      <c r="DN88" s="93" t="e">
        <v>#REF!</v>
      </c>
      <c r="DO88" s="93" t="e">
        <v>#REF!</v>
      </c>
      <c r="DP88" s="93" t="e">
        <v>#REF!</v>
      </c>
    </row>
    <row r="89" spans="1:120" x14ac:dyDescent="0.2">
      <c r="A89" s="90" t="str">
        <f>name!C6</f>
        <v>Construction</v>
      </c>
      <c r="B89" s="39" t="e">
        <f t="shared" si="68"/>
        <v>#REF!</v>
      </c>
      <c r="C89" s="93" t="e">
        <v>#REF!</v>
      </c>
      <c r="D89" s="93" t="e">
        <v>#REF!</v>
      </c>
      <c r="E89" s="93" t="e">
        <v>#REF!</v>
      </c>
      <c r="F89" s="93" t="e">
        <v>#REF!</v>
      </c>
      <c r="H89" s="39" t="e">
        <f t="shared" si="69"/>
        <v>#REF!</v>
      </c>
      <c r="I89" s="93" t="e">
        <v>#REF!</v>
      </c>
      <c r="J89" s="93" t="e">
        <v>#REF!</v>
      </c>
      <c r="K89" s="93" t="e">
        <v>#REF!</v>
      </c>
      <c r="L89" s="93" t="e">
        <v>#REF!</v>
      </c>
      <c r="N89" s="39" t="e">
        <f t="shared" si="70"/>
        <v>#REF!</v>
      </c>
      <c r="O89" s="93" t="e">
        <v>#REF!</v>
      </c>
      <c r="P89" s="93" t="e">
        <v>#REF!</v>
      </c>
      <c r="Q89" s="93" t="e">
        <v>#REF!</v>
      </c>
      <c r="R89" s="93" t="e">
        <v>#REF!</v>
      </c>
      <c r="S89" s="93"/>
      <c r="T89" s="39" t="e">
        <f t="shared" si="71"/>
        <v>#REF!</v>
      </c>
      <c r="U89" s="93" t="e">
        <v>#REF!</v>
      </c>
      <c r="V89" s="93" t="e">
        <v>#REF!</v>
      </c>
      <c r="W89" s="93" t="e">
        <v>#REF!</v>
      </c>
      <c r="X89" s="93" t="e">
        <v>#REF!</v>
      </c>
      <c r="Y89" s="90" t="str">
        <f t="shared" si="72"/>
        <v>Construction</v>
      </c>
      <c r="Z89" s="39" t="e">
        <f t="shared" si="73"/>
        <v>#REF!</v>
      </c>
      <c r="AA89" s="93" t="e">
        <v>#REF!</v>
      </c>
      <c r="AB89" s="93" t="e">
        <v>#REF!</v>
      </c>
      <c r="AC89" s="93" t="e">
        <v>#REF!</v>
      </c>
      <c r="AD89" s="93" t="e">
        <v>#REF!</v>
      </c>
      <c r="AF89" s="39" t="e">
        <f t="shared" si="74"/>
        <v>#REF!</v>
      </c>
      <c r="AG89" s="93" t="e">
        <v>#REF!</v>
      </c>
      <c r="AH89" s="93" t="e">
        <v>#REF!</v>
      </c>
      <c r="AI89" s="93" t="e">
        <v>#REF!</v>
      </c>
      <c r="AJ89" s="93" t="e">
        <v>#REF!</v>
      </c>
      <c r="AL89" s="39" t="e">
        <f t="shared" si="75"/>
        <v>#REF!</v>
      </c>
      <c r="AM89" s="93" t="e">
        <v>#REF!</v>
      </c>
      <c r="AN89" s="93" t="e">
        <v>#REF!</v>
      </c>
      <c r="AO89" s="93" t="e">
        <v>#REF!</v>
      </c>
      <c r="AP89" s="93" t="e">
        <v>#REF!</v>
      </c>
      <c r="AQ89" s="93"/>
      <c r="AR89" s="39" t="e">
        <f t="shared" si="76"/>
        <v>#REF!</v>
      </c>
      <c r="AS89" s="93" t="e">
        <v>#REF!</v>
      </c>
      <c r="AT89" s="93" t="e">
        <v>#REF!</v>
      </c>
      <c r="AU89" s="93" t="e">
        <v>#REF!</v>
      </c>
      <c r="AV89" s="93" t="e">
        <v>#REF!</v>
      </c>
      <c r="AW89" s="90" t="str">
        <f t="shared" si="77"/>
        <v>Construction</v>
      </c>
      <c r="AX89" s="39" t="e">
        <f t="shared" si="78"/>
        <v>#REF!</v>
      </c>
      <c r="AY89" s="93" t="e">
        <v>#REF!</v>
      </c>
      <c r="AZ89" s="93" t="e">
        <v>#REF!</v>
      </c>
      <c r="BA89" s="93" t="e">
        <v>#REF!</v>
      </c>
      <c r="BB89" s="93" t="e">
        <v>#REF!</v>
      </c>
      <c r="BD89" s="39" t="e">
        <f t="shared" si="79"/>
        <v>#REF!</v>
      </c>
      <c r="BE89" s="93" t="e">
        <v>#REF!</v>
      </c>
      <c r="BF89" s="93" t="e">
        <v>#REF!</v>
      </c>
      <c r="BG89" s="93" t="e">
        <v>#REF!</v>
      </c>
      <c r="BH89" s="93" t="e">
        <v>#REF!</v>
      </c>
      <c r="BJ89" s="39" t="e">
        <f t="shared" si="80"/>
        <v>#REF!</v>
      </c>
      <c r="BK89" s="93" t="e">
        <v>#REF!</v>
      </c>
      <c r="BL89" s="93" t="e">
        <v>#REF!</v>
      </c>
      <c r="BM89" s="93" t="e">
        <v>#REF!</v>
      </c>
      <c r="BN89" s="93" t="e">
        <v>#REF!</v>
      </c>
      <c r="BO89" s="93"/>
      <c r="BP89" s="39" t="e">
        <f t="shared" si="81"/>
        <v>#REF!</v>
      </c>
      <c r="BQ89" s="93" t="e">
        <v>#REF!</v>
      </c>
      <c r="BR89" s="93" t="e">
        <v>#REF!</v>
      </c>
      <c r="BS89" s="93" t="e">
        <v>#REF!</v>
      </c>
      <c r="BT89" s="93" t="e">
        <v>#REF!</v>
      </c>
      <c r="BU89" s="90" t="str">
        <f t="shared" si="82"/>
        <v>Construction</v>
      </c>
      <c r="BV89" s="39" t="e">
        <f t="shared" si="83"/>
        <v>#REF!</v>
      </c>
      <c r="BW89" s="93" t="e">
        <v>#REF!</v>
      </c>
      <c r="BX89" s="93" t="e">
        <v>#REF!</v>
      </c>
      <c r="BY89" s="93" t="e">
        <v>#REF!</v>
      </c>
      <c r="BZ89" s="93" t="e">
        <v>#REF!</v>
      </c>
      <c r="CB89" s="39" t="e">
        <f t="shared" si="84"/>
        <v>#REF!</v>
      </c>
      <c r="CC89" s="93" t="e">
        <v>#REF!</v>
      </c>
      <c r="CD89" s="93" t="e">
        <v>#REF!</v>
      </c>
      <c r="CE89" s="93" t="e">
        <v>#REF!</v>
      </c>
      <c r="CF89" s="93" t="e">
        <v>#REF!</v>
      </c>
      <c r="CH89" s="39" t="e">
        <f t="shared" si="85"/>
        <v>#REF!</v>
      </c>
      <c r="CI89" s="93" t="e">
        <v>#REF!</v>
      </c>
      <c r="CJ89" s="93" t="e">
        <v>#REF!</v>
      </c>
      <c r="CK89" s="93" t="e">
        <v>#REF!</v>
      </c>
      <c r="CL89" s="93" t="e">
        <v>#REF!</v>
      </c>
      <c r="CM89" s="93"/>
      <c r="CN89" s="39" t="e">
        <f t="shared" si="86"/>
        <v>#REF!</v>
      </c>
      <c r="CO89" s="93" t="e">
        <v>#REF!</v>
      </c>
      <c r="CP89" s="93" t="e">
        <v>#REF!</v>
      </c>
      <c r="CQ89" s="93" t="e">
        <v>#REF!</v>
      </c>
      <c r="CR89" s="93" t="e">
        <v>#REF!</v>
      </c>
      <c r="CS89" s="90" t="str">
        <f t="shared" si="87"/>
        <v>Construction</v>
      </c>
      <c r="CT89" s="39" t="e">
        <f t="shared" si="88"/>
        <v>#REF!</v>
      </c>
      <c r="CU89" s="93" t="e">
        <v>#REF!</v>
      </c>
      <c r="CV89" s="93" t="e">
        <v>#REF!</v>
      </c>
      <c r="CW89" s="93" t="e">
        <v>#REF!</v>
      </c>
      <c r="CX89" s="93" t="e">
        <v>#REF!</v>
      </c>
      <c r="CZ89" s="39" t="e">
        <f t="shared" si="89"/>
        <v>#REF!</v>
      </c>
      <c r="DA89" s="93" t="e">
        <v>#REF!</v>
      </c>
      <c r="DB89" s="93" t="e">
        <v>#REF!</v>
      </c>
      <c r="DC89" s="93" t="e">
        <v>#REF!</v>
      </c>
      <c r="DD89" s="93" t="e">
        <v>#REF!</v>
      </c>
      <c r="DF89" s="39" t="e">
        <f t="shared" si="90"/>
        <v>#REF!</v>
      </c>
      <c r="DG89" s="93" t="e">
        <v>#REF!</v>
      </c>
      <c r="DH89" s="93" t="e">
        <v>#REF!</v>
      </c>
      <c r="DI89" s="93" t="e">
        <v>#REF!</v>
      </c>
      <c r="DJ89" s="93" t="e">
        <v>#REF!</v>
      </c>
      <c r="DK89" s="93"/>
      <c r="DL89" s="39" t="e">
        <f t="shared" si="91"/>
        <v>#REF!</v>
      </c>
      <c r="DM89" s="93" t="e">
        <v>#REF!</v>
      </c>
      <c r="DN89" s="93" t="e">
        <v>#REF!</v>
      </c>
      <c r="DO89" s="93" t="e">
        <v>#REF!</v>
      </c>
      <c r="DP89" s="93" t="e">
        <v>#REF!</v>
      </c>
    </row>
    <row r="90" spans="1:120" x14ac:dyDescent="0.2">
      <c r="A90" s="90" t="str">
        <f>name!C7</f>
        <v>Trade, accomod. and transport</v>
      </c>
      <c r="B90" s="39" t="e">
        <f t="shared" si="68"/>
        <v>#REF!</v>
      </c>
      <c r="C90" s="93" t="e">
        <v>#REF!</v>
      </c>
      <c r="D90" s="93" t="e">
        <v>#REF!</v>
      </c>
      <c r="E90" s="93" t="e">
        <v>#REF!</v>
      </c>
      <c r="F90" s="93" t="e">
        <v>#REF!</v>
      </c>
      <c r="H90" s="39" t="e">
        <f t="shared" si="69"/>
        <v>#REF!</v>
      </c>
      <c r="I90" s="93" t="e">
        <v>#REF!</v>
      </c>
      <c r="J90" s="93" t="e">
        <v>#REF!</v>
      </c>
      <c r="K90" s="93" t="e">
        <v>#REF!</v>
      </c>
      <c r="L90" s="93" t="e">
        <v>#REF!</v>
      </c>
      <c r="N90" s="39" t="e">
        <f t="shared" si="70"/>
        <v>#REF!</v>
      </c>
      <c r="O90" s="93" t="e">
        <v>#REF!</v>
      </c>
      <c r="P90" s="93" t="e">
        <v>#REF!</v>
      </c>
      <c r="Q90" s="93" t="e">
        <v>#REF!</v>
      </c>
      <c r="R90" s="93" t="e">
        <v>#REF!</v>
      </c>
      <c r="S90" s="93"/>
      <c r="T90" s="39" t="e">
        <f t="shared" si="71"/>
        <v>#REF!</v>
      </c>
      <c r="U90" s="93" t="e">
        <v>#REF!</v>
      </c>
      <c r="V90" s="93" t="e">
        <v>#REF!</v>
      </c>
      <c r="W90" s="93" t="e">
        <v>#REF!</v>
      </c>
      <c r="X90" s="93" t="e">
        <v>#REF!</v>
      </c>
      <c r="Y90" s="90" t="str">
        <f t="shared" si="72"/>
        <v>Trade, accomod. and transport</v>
      </c>
      <c r="Z90" s="39" t="e">
        <f t="shared" si="73"/>
        <v>#REF!</v>
      </c>
      <c r="AA90" s="93" t="e">
        <v>#REF!</v>
      </c>
      <c r="AB90" s="93" t="e">
        <v>#REF!</v>
      </c>
      <c r="AC90" s="93" t="e">
        <v>#REF!</v>
      </c>
      <c r="AD90" s="93" t="e">
        <v>#REF!</v>
      </c>
      <c r="AF90" s="39" t="e">
        <f t="shared" si="74"/>
        <v>#REF!</v>
      </c>
      <c r="AG90" s="93" t="e">
        <v>#REF!</v>
      </c>
      <c r="AH90" s="93" t="e">
        <v>#REF!</v>
      </c>
      <c r="AI90" s="93" t="e">
        <v>#REF!</v>
      </c>
      <c r="AJ90" s="93" t="e">
        <v>#REF!</v>
      </c>
      <c r="AL90" s="39" t="e">
        <f t="shared" si="75"/>
        <v>#REF!</v>
      </c>
      <c r="AM90" s="93" t="e">
        <v>#REF!</v>
      </c>
      <c r="AN90" s="93" t="e">
        <v>#REF!</v>
      </c>
      <c r="AO90" s="93" t="e">
        <v>#REF!</v>
      </c>
      <c r="AP90" s="93" t="e">
        <v>#REF!</v>
      </c>
      <c r="AQ90" s="93"/>
      <c r="AR90" s="39" t="e">
        <f t="shared" si="76"/>
        <v>#REF!</v>
      </c>
      <c r="AS90" s="93" t="e">
        <v>#REF!</v>
      </c>
      <c r="AT90" s="93" t="e">
        <v>#REF!</v>
      </c>
      <c r="AU90" s="93" t="e">
        <v>#REF!</v>
      </c>
      <c r="AV90" s="93" t="e">
        <v>#REF!</v>
      </c>
      <c r="AW90" s="90" t="str">
        <f t="shared" si="77"/>
        <v>Trade, accomod. and transport</v>
      </c>
      <c r="AX90" s="39" t="e">
        <f t="shared" si="78"/>
        <v>#REF!</v>
      </c>
      <c r="AY90" s="93" t="e">
        <v>#REF!</v>
      </c>
      <c r="AZ90" s="93" t="e">
        <v>#REF!</v>
      </c>
      <c r="BA90" s="93" t="e">
        <v>#REF!</v>
      </c>
      <c r="BB90" s="93" t="e">
        <v>#REF!</v>
      </c>
      <c r="BD90" s="39" t="e">
        <f t="shared" si="79"/>
        <v>#REF!</v>
      </c>
      <c r="BE90" s="93" t="e">
        <v>#REF!</v>
      </c>
      <c r="BF90" s="93" t="e">
        <v>#REF!</v>
      </c>
      <c r="BG90" s="93" t="e">
        <v>#REF!</v>
      </c>
      <c r="BH90" s="93" t="e">
        <v>#REF!</v>
      </c>
      <c r="BJ90" s="39" t="e">
        <f t="shared" si="80"/>
        <v>#REF!</v>
      </c>
      <c r="BK90" s="93" t="e">
        <v>#REF!</v>
      </c>
      <c r="BL90" s="93" t="e">
        <v>#REF!</v>
      </c>
      <c r="BM90" s="93" t="e">
        <v>#REF!</v>
      </c>
      <c r="BN90" s="93" t="e">
        <v>#REF!</v>
      </c>
      <c r="BO90" s="93"/>
      <c r="BP90" s="39" t="e">
        <f t="shared" si="81"/>
        <v>#REF!</v>
      </c>
      <c r="BQ90" s="93" t="e">
        <v>#REF!</v>
      </c>
      <c r="BR90" s="93" t="e">
        <v>#REF!</v>
      </c>
      <c r="BS90" s="93" t="e">
        <v>#REF!</v>
      </c>
      <c r="BT90" s="93" t="e">
        <v>#REF!</v>
      </c>
      <c r="BU90" s="90" t="str">
        <f t="shared" si="82"/>
        <v>Trade, accomod. and transport</v>
      </c>
      <c r="BV90" s="39" t="e">
        <f t="shared" si="83"/>
        <v>#REF!</v>
      </c>
      <c r="BW90" s="93" t="e">
        <v>#REF!</v>
      </c>
      <c r="BX90" s="93" t="e">
        <v>#REF!</v>
      </c>
      <c r="BY90" s="93" t="e">
        <v>#REF!</v>
      </c>
      <c r="BZ90" s="93" t="e">
        <v>#REF!</v>
      </c>
      <c r="CB90" s="39" t="e">
        <f t="shared" si="84"/>
        <v>#REF!</v>
      </c>
      <c r="CC90" s="93" t="e">
        <v>#REF!</v>
      </c>
      <c r="CD90" s="93" t="e">
        <v>#REF!</v>
      </c>
      <c r="CE90" s="93" t="e">
        <v>#REF!</v>
      </c>
      <c r="CF90" s="93" t="e">
        <v>#REF!</v>
      </c>
      <c r="CH90" s="39" t="e">
        <f t="shared" si="85"/>
        <v>#REF!</v>
      </c>
      <c r="CI90" s="93" t="e">
        <v>#REF!</v>
      </c>
      <c r="CJ90" s="93" t="e">
        <v>#REF!</v>
      </c>
      <c r="CK90" s="93" t="e">
        <v>#REF!</v>
      </c>
      <c r="CL90" s="93" t="e">
        <v>#REF!</v>
      </c>
      <c r="CM90" s="93"/>
      <c r="CN90" s="39" t="e">
        <f t="shared" si="86"/>
        <v>#REF!</v>
      </c>
      <c r="CO90" s="93" t="e">
        <v>#REF!</v>
      </c>
      <c r="CP90" s="93" t="e">
        <v>#REF!</v>
      </c>
      <c r="CQ90" s="93" t="e">
        <v>#REF!</v>
      </c>
      <c r="CR90" s="93" t="e">
        <v>#REF!</v>
      </c>
      <c r="CS90" s="90" t="str">
        <f t="shared" si="87"/>
        <v>Trade, accomod. and transport</v>
      </c>
      <c r="CT90" s="39" t="e">
        <f t="shared" si="88"/>
        <v>#REF!</v>
      </c>
      <c r="CU90" s="93" t="e">
        <v>#REF!</v>
      </c>
      <c r="CV90" s="93" t="e">
        <v>#REF!</v>
      </c>
      <c r="CW90" s="93" t="e">
        <v>#REF!</v>
      </c>
      <c r="CX90" s="93" t="e">
        <v>#REF!</v>
      </c>
      <c r="CZ90" s="39" t="e">
        <f t="shared" si="89"/>
        <v>#REF!</v>
      </c>
      <c r="DA90" s="93" t="e">
        <v>#REF!</v>
      </c>
      <c r="DB90" s="93" t="e">
        <v>#REF!</v>
      </c>
      <c r="DC90" s="93" t="e">
        <v>#REF!</v>
      </c>
      <c r="DD90" s="93" t="e">
        <v>#REF!</v>
      </c>
      <c r="DF90" s="39" t="e">
        <f t="shared" si="90"/>
        <v>#REF!</v>
      </c>
      <c r="DG90" s="93" t="e">
        <v>#REF!</v>
      </c>
      <c r="DH90" s="93" t="e">
        <v>#REF!</v>
      </c>
      <c r="DI90" s="93" t="e">
        <v>#REF!</v>
      </c>
      <c r="DJ90" s="93" t="e">
        <v>#REF!</v>
      </c>
      <c r="DK90" s="93"/>
      <c r="DL90" s="39" t="e">
        <f t="shared" si="91"/>
        <v>#REF!</v>
      </c>
      <c r="DM90" s="93" t="e">
        <v>#REF!</v>
      </c>
      <c r="DN90" s="93" t="e">
        <v>#REF!</v>
      </c>
      <c r="DO90" s="93" t="e">
        <v>#REF!</v>
      </c>
      <c r="DP90" s="93" t="e">
        <v>#REF!</v>
      </c>
    </row>
    <row r="91" spans="1:120" x14ac:dyDescent="0.2">
      <c r="A91" s="90" t="str">
        <f>name!C8</f>
        <v>Business and other services</v>
      </c>
      <c r="B91" s="39" t="e">
        <f t="shared" si="68"/>
        <v>#REF!</v>
      </c>
      <c r="C91" s="93" t="e">
        <v>#REF!</v>
      </c>
      <c r="D91" s="93" t="e">
        <v>#REF!</v>
      </c>
      <c r="E91" s="93" t="e">
        <v>#REF!</v>
      </c>
      <c r="F91" s="93" t="e">
        <v>#REF!</v>
      </c>
      <c r="H91" s="39" t="e">
        <f t="shared" si="69"/>
        <v>#REF!</v>
      </c>
      <c r="I91" s="93" t="e">
        <v>#REF!</v>
      </c>
      <c r="J91" s="93" t="e">
        <v>#REF!</v>
      </c>
      <c r="K91" s="93" t="e">
        <v>#REF!</v>
      </c>
      <c r="L91" s="93" t="e">
        <v>#REF!</v>
      </c>
      <c r="N91" s="39" t="e">
        <f t="shared" si="70"/>
        <v>#REF!</v>
      </c>
      <c r="O91" s="93" t="e">
        <v>#REF!</v>
      </c>
      <c r="P91" s="93" t="e">
        <v>#REF!</v>
      </c>
      <c r="Q91" s="93" t="e">
        <v>#REF!</v>
      </c>
      <c r="R91" s="93" t="e">
        <v>#REF!</v>
      </c>
      <c r="S91" s="93"/>
      <c r="T91" s="39" t="e">
        <f t="shared" si="71"/>
        <v>#REF!</v>
      </c>
      <c r="U91" s="93" t="e">
        <v>#REF!</v>
      </c>
      <c r="V91" s="93" t="e">
        <v>#REF!</v>
      </c>
      <c r="W91" s="93" t="e">
        <v>#REF!</v>
      </c>
      <c r="X91" s="93" t="e">
        <v>#REF!</v>
      </c>
      <c r="Y91" s="90" t="str">
        <f t="shared" si="72"/>
        <v>Business and other services</v>
      </c>
      <c r="Z91" s="39" t="e">
        <f t="shared" si="73"/>
        <v>#REF!</v>
      </c>
      <c r="AA91" s="93" t="e">
        <v>#REF!</v>
      </c>
      <c r="AB91" s="93" t="e">
        <v>#REF!</v>
      </c>
      <c r="AC91" s="93" t="e">
        <v>#REF!</v>
      </c>
      <c r="AD91" s="93" t="e">
        <v>#REF!</v>
      </c>
      <c r="AF91" s="39" t="e">
        <f t="shared" si="74"/>
        <v>#REF!</v>
      </c>
      <c r="AG91" s="93" t="e">
        <v>#REF!</v>
      </c>
      <c r="AH91" s="93" t="e">
        <v>#REF!</v>
      </c>
      <c r="AI91" s="93" t="e">
        <v>#REF!</v>
      </c>
      <c r="AJ91" s="93" t="e">
        <v>#REF!</v>
      </c>
      <c r="AL91" s="39" t="e">
        <f t="shared" si="75"/>
        <v>#REF!</v>
      </c>
      <c r="AM91" s="93" t="e">
        <v>#REF!</v>
      </c>
      <c r="AN91" s="93" t="e">
        <v>#REF!</v>
      </c>
      <c r="AO91" s="93" t="e">
        <v>#REF!</v>
      </c>
      <c r="AP91" s="93" t="e">
        <v>#REF!</v>
      </c>
      <c r="AQ91" s="93"/>
      <c r="AR91" s="39" t="e">
        <f t="shared" si="76"/>
        <v>#REF!</v>
      </c>
      <c r="AS91" s="93" t="e">
        <v>#REF!</v>
      </c>
      <c r="AT91" s="93" t="e">
        <v>#REF!</v>
      </c>
      <c r="AU91" s="93" t="e">
        <v>#REF!</v>
      </c>
      <c r="AV91" s="93" t="e">
        <v>#REF!</v>
      </c>
      <c r="AW91" s="90" t="str">
        <f t="shared" si="77"/>
        <v>Business and other services</v>
      </c>
      <c r="AX91" s="39" t="e">
        <f t="shared" si="78"/>
        <v>#REF!</v>
      </c>
      <c r="AY91" s="93" t="e">
        <v>#REF!</v>
      </c>
      <c r="AZ91" s="93" t="e">
        <v>#REF!</v>
      </c>
      <c r="BA91" s="93" t="e">
        <v>#REF!</v>
      </c>
      <c r="BB91" s="93" t="e">
        <v>#REF!</v>
      </c>
      <c r="BD91" s="39" t="e">
        <f t="shared" si="79"/>
        <v>#REF!</v>
      </c>
      <c r="BE91" s="93" t="e">
        <v>#REF!</v>
      </c>
      <c r="BF91" s="93" t="e">
        <v>#REF!</v>
      </c>
      <c r="BG91" s="93" t="e">
        <v>#REF!</v>
      </c>
      <c r="BH91" s="93" t="e">
        <v>#REF!</v>
      </c>
      <c r="BJ91" s="39" t="e">
        <f t="shared" si="80"/>
        <v>#REF!</v>
      </c>
      <c r="BK91" s="93" t="e">
        <v>#REF!</v>
      </c>
      <c r="BL91" s="93" t="e">
        <v>#REF!</v>
      </c>
      <c r="BM91" s="93" t="e">
        <v>#REF!</v>
      </c>
      <c r="BN91" s="93" t="e">
        <v>#REF!</v>
      </c>
      <c r="BO91" s="93"/>
      <c r="BP91" s="39" t="e">
        <f t="shared" si="81"/>
        <v>#REF!</v>
      </c>
      <c r="BQ91" s="93" t="e">
        <v>#REF!</v>
      </c>
      <c r="BR91" s="93" t="e">
        <v>#REF!</v>
      </c>
      <c r="BS91" s="93" t="e">
        <v>#REF!</v>
      </c>
      <c r="BT91" s="93" t="e">
        <v>#REF!</v>
      </c>
      <c r="BU91" s="90" t="str">
        <f t="shared" si="82"/>
        <v>Business and other services</v>
      </c>
      <c r="BV91" s="39" t="e">
        <f t="shared" si="83"/>
        <v>#REF!</v>
      </c>
      <c r="BW91" s="93" t="e">
        <v>#REF!</v>
      </c>
      <c r="BX91" s="93" t="e">
        <v>#REF!</v>
      </c>
      <c r="BY91" s="93" t="e">
        <v>#REF!</v>
      </c>
      <c r="BZ91" s="93" t="e">
        <v>#REF!</v>
      </c>
      <c r="CB91" s="39" t="e">
        <f t="shared" si="84"/>
        <v>#REF!</v>
      </c>
      <c r="CC91" s="93" t="e">
        <v>#REF!</v>
      </c>
      <c r="CD91" s="93" t="e">
        <v>#REF!</v>
      </c>
      <c r="CE91" s="93" t="e">
        <v>#REF!</v>
      </c>
      <c r="CF91" s="93" t="e">
        <v>#REF!</v>
      </c>
      <c r="CH91" s="39" t="e">
        <f t="shared" si="85"/>
        <v>#REF!</v>
      </c>
      <c r="CI91" s="93" t="e">
        <v>#REF!</v>
      </c>
      <c r="CJ91" s="93" t="e">
        <v>#REF!</v>
      </c>
      <c r="CK91" s="93" t="e">
        <v>#REF!</v>
      </c>
      <c r="CL91" s="93" t="e">
        <v>#REF!</v>
      </c>
      <c r="CM91" s="93"/>
      <c r="CN91" s="39" t="e">
        <f t="shared" si="86"/>
        <v>#REF!</v>
      </c>
      <c r="CO91" s="93" t="e">
        <v>#REF!</v>
      </c>
      <c r="CP91" s="93" t="e">
        <v>#REF!</v>
      </c>
      <c r="CQ91" s="93" t="e">
        <v>#REF!</v>
      </c>
      <c r="CR91" s="93" t="e">
        <v>#REF!</v>
      </c>
      <c r="CS91" s="90" t="str">
        <f t="shared" si="87"/>
        <v>Business and other services</v>
      </c>
      <c r="CT91" s="39" t="e">
        <f t="shared" si="88"/>
        <v>#REF!</v>
      </c>
      <c r="CU91" s="93" t="e">
        <v>#REF!</v>
      </c>
      <c r="CV91" s="93" t="e">
        <v>#REF!</v>
      </c>
      <c r="CW91" s="93" t="e">
        <v>#REF!</v>
      </c>
      <c r="CX91" s="93" t="e">
        <v>#REF!</v>
      </c>
      <c r="CZ91" s="39" t="e">
        <f t="shared" si="89"/>
        <v>#REF!</v>
      </c>
      <c r="DA91" s="93" t="e">
        <v>#REF!</v>
      </c>
      <c r="DB91" s="93" t="e">
        <v>#REF!</v>
      </c>
      <c r="DC91" s="93" t="e">
        <v>#REF!</v>
      </c>
      <c r="DD91" s="93" t="e">
        <v>#REF!</v>
      </c>
      <c r="DF91" s="39" t="e">
        <f t="shared" si="90"/>
        <v>#REF!</v>
      </c>
      <c r="DG91" s="93" t="e">
        <v>#REF!</v>
      </c>
      <c r="DH91" s="93" t="e">
        <v>#REF!</v>
      </c>
      <c r="DI91" s="93" t="e">
        <v>#REF!</v>
      </c>
      <c r="DJ91" s="93" t="e">
        <v>#REF!</v>
      </c>
      <c r="DK91" s="93"/>
      <c r="DL91" s="39" t="e">
        <f t="shared" si="91"/>
        <v>#REF!</v>
      </c>
      <c r="DM91" s="93" t="e">
        <v>#REF!</v>
      </c>
      <c r="DN91" s="93" t="e">
        <v>#REF!</v>
      </c>
      <c r="DO91" s="93" t="e">
        <v>#REF!</v>
      </c>
      <c r="DP91" s="93" t="e">
        <v>#REF!</v>
      </c>
    </row>
    <row r="92" spans="1:120" x14ac:dyDescent="0.2">
      <c r="A92" s="90" t="str">
        <f>name!C9</f>
        <v>Non-marketed services</v>
      </c>
      <c r="B92" s="39" t="e">
        <f t="shared" si="68"/>
        <v>#REF!</v>
      </c>
      <c r="C92" s="93" t="e">
        <v>#REF!</v>
      </c>
      <c r="D92" s="93" t="e">
        <v>#REF!</v>
      </c>
      <c r="E92" s="93" t="e">
        <v>#REF!</v>
      </c>
      <c r="F92" s="93" t="e">
        <v>#REF!</v>
      </c>
      <c r="H92" s="39" t="e">
        <f t="shared" si="69"/>
        <v>#REF!</v>
      </c>
      <c r="I92" s="93" t="e">
        <v>#REF!</v>
      </c>
      <c r="J92" s="93" t="e">
        <v>#REF!</v>
      </c>
      <c r="K92" s="93" t="e">
        <v>#REF!</v>
      </c>
      <c r="L92" s="93" t="e">
        <v>#REF!</v>
      </c>
      <c r="N92" s="39" t="e">
        <f t="shared" si="70"/>
        <v>#REF!</v>
      </c>
      <c r="O92" s="93" t="e">
        <v>#REF!</v>
      </c>
      <c r="P92" s="93" t="e">
        <v>#REF!</v>
      </c>
      <c r="Q92" s="93" t="e">
        <v>#REF!</v>
      </c>
      <c r="R92" s="93" t="e">
        <v>#REF!</v>
      </c>
      <c r="S92" s="93"/>
      <c r="T92" s="39" t="e">
        <f t="shared" si="71"/>
        <v>#REF!</v>
      </c>
      <c r="U92" s="93" t="e">
        <v>#REF!</v>
      </c>
      <c r="V92" s="93" t="e">
        <v>#REF!</v>
      </c>
      <c r="W92" s="93" t="e">
        <v>#REF!</v>
      </c>
      <c r="X92" s="93" t="e">
        <v>#REF!</v>
      </c>
      <c r="Y92" s="90" t="str">
        <f t="shared" si="72"/>
        <v>Non-marketed services</v>
      </c>
      <c r="Z92" s="39" t="e">
        <f t="shared" si="73"/>
        <v>#REF!</v>
      </c>
      <c r="AA92" s="93" t="e">
        <v>#REF!</v>
      </c>
      <c r="AB92" s="93" t="e">
        <v>#REF!</v>
      </c>
      <c r="AC92" s="93" t="e">
        <v>#REF!</v>
      </c>
      <c r="AD92" s="93" t="e">
        <v>#REF!</v>
      </c>
      <c r="AF92" s="39" t="e">
        <f t="shared" si="74"/>
        <v>#REF!</v>
      </c>
      <c r="AG92" s="93" t="e">
        <v>#REF!</v>
      </c>
      <c r="AH92" s="93" t="e">
        <v>#REF!</v>
      </c>
      <c r="AI92" s="93" t="e">
        <v>#REF!</v>
      </c>
      <c r="AJ92" s="93" t="e">
        <v>#REF!</v>
      </c>
      <c r="AL92" s="39" t="e">
        <f t="shared" si="75"/>
        <v>#REF!</v>
      </c>
      <c r="AM92" s="93" t="e">
        <v>#REF!</v>
      </c>
      <c r="AN92" s="93" t="e">
        <v>#REF!</v>
      </c>
      <c r="AO92" s="93" t="e">
        <v>#REF!</v>
      </c>
      <c r="AP92" s="93" t="e">
        <v>#REF!</v>
      </c>
      <c r="AQ92" s="93"/>
      <c r="AR92" s="39" t="e">
        <f t="shared" si="76"/>
        <v>#REF!</v>
      </c>
      <c r="AS92" s="93" t="e">
        <v>#REF!</v>
      </c>
      <c r="AT92" s="93" t="e">
        <v>#REF!</v>
      </c>
      <c r="AU92" s="93" t="e">
        <v>#REF!</v>
      </c>
      <c r="AV92" s="93" t="e">
        <v>#REF!</v>
      </c>
      <c r="AW92" s="90" t="str">
        <f t="shared" si="77"/>
        <v>Non-marketed services</v>
      </c>
      <c r="AX92" s="39" t="e">
        <f t="shared" si="78"/>
        <v>#REF!</v>
      </c>
      <c r="AY92" s="93" t="e">
        <v>#REF!</v>
      </c>
      <c r="AZ92" s="93" t="e">
        <v>#REF!</v>
      </c>
      <c r="BA92" s="93" t="e">
        <v>#REF!</v>
      </c>
      <c r="BB92" s="93" t="e">
        <v>#REF!</v>
      </c>
      <c r="BD92" s="39" t="e">
        <f t="shared" si="79"/>
        <v>#REF!</v>
      </c>
      <c r="BE92" s="93" t="e">
        <v>#REF!</v>
      </c>
      <c r="BF92" s="93" t="e">
        <v>#REF!</v>
      </c>
      <c r="BG92" s="93" t="e">
        <v>#REF!</v>
      </c>
      <c r="BH92" s="93" t="e">
        <v>#REF!</v>
      </c>
      <c r="BJ92" s="39" t="e">
        <f t="shared" si="80"/>
        <v>#REF!</v>
      </c>
      <c r="BK92" s="93" t="e">
        <v>#REF!</v>
      </c>
      <c r="BL92" s="93" t="e">
        <v>#REF!</v>
      </c>
      <c r="BM92" s="93" t="e">
        <v>#REF!</v>
      </c>
      <c r="BN92" s="93" t="e">
        <v>#REF!</v>
      </c>
      <c r="BO92" s="93"/>
      <c r="BP92" s="39" t="e">
        <f t="shared" si="81"/>
        <v>#REF!</v>
      </c>
      <c r="BQ92" s="93" t="e">
        <v>#REF!</v>
      </c>
      <c r="BR92" s="93" t="e">
        <v>#REF!</v>
      </c>
      <c r="BS92" s="93" t="e">
        <v>#REF!</v>
      </c>
      <c r="BT92" s="93" t="e">
        <v>#REF!</v>
      </c>
      <c r="BU92" s="90" t="str">
        <f t="shared" si="82"/>
        <v>Non-marketed services</v>
      </c>
      <c r="BV92" s="39" t="e">
        <f t="shared" si="83"/>
        <v>#REF!</v>
      </c>
      <c r="BW92" s="93" t="e">
        <v>#REF!</v>
      </c>
      <c r="BX92" s="93" t="e">
        <v>#REF!</v>
      </c>
      <c r="BY92" s="93" t="e">
        <v>#REF!</v>
      </c>
      <c r="BZ92" s="93" t="e">
        <v>#REF!</v>
      </c>
      <c r="CB92" s="39" t="e">
        <f t="shared" si="84"/>
        <v>#REF!</v>
      </c>
      <c r="CC92" s="93" t="e">
        <v>#REF!</v>
      </c>
      <c r="CD92" s="93" t="e">
        <v>#REF!</v>
      </c>
      <c r="CE92" s="93" t="e">
        <v>#REF!</v>
      </c>
      <c r="CF92" s="93" t="e">
        <v>#REF!</v>
      </c>
      <c r="CH92" s="39" t="e">
        <f t="shared" si="85"/>
        <v>#REF!</v>
      </c>
      <c r="CI92" s="93" t="e">
        <v>#REF!</v>
      </c>
      <c r="CJ92" s="93" t="e">
        <v>#REF!</v>
      </c>
      <c r="CK92" s="93" t="e">
        <v>#REF!</v>
      </c>
      <c r="CL92" s="93" t="e">
        <v>#REF!</v>
      </c>
      <c r="CM92" s="93"/>
      <c r="CN92" s="39" t="e">
        <f t="shared" si="86"/>
        <v>#REF!</v>
      </c>
      <c r="CO92" s="93" t="e">
        <v>#REF!</v>
      </c>
      <c r="CP92" s="93" t="e">
        <v>#REF!</v>
      </c>
      <c r="CQ92" s="93" t="e">
        <v>#REF!</v>
      </c>
      <c r="CR92" s="93" t="e">
        <v>#REF!</v>
      </c>
      <c r="CS92" s="90" t="str">
        <f t="shared" si="87"/>
        <v>Non-marketed services</v>
      </c>
      <c r="CT92" s="39" t="e">
        <f t="shared" si="88"/>
        <v>#REF!</v>
      </c>
      <c r="CU92" s="93" t="e">
        <v>#REF!</v>
      </c>
      <c r="CV92" s="93" t="e">
        <v>#REF!</v>
      </c>
      <c r="CW92" s="93" t="e">
        <v>#REF!</v>
      </c>
      <c r="CX92" s="93" t="e">
        <v>#REF!</v>
      </c>
      <c r="CZ92" s="39" t="e">
        <f t="shared" si="89"/>
        <v>#REF!</v>
      </c>
      <c r="DA92" s="93" t="e">
        <v>#REF!</v>
      </c>
      <c r="DB92" s="93" t="e">
        <v>#REF!</v>
      </c>
      <c r="DC92" s="93" t="e">
        <v>#REF!</v>
      </c>
      <c r="DD92" s="93" t="e">
        <v>#REF!</v>
      </c>
      <c r="DF92" s="39" t="e">
        <f t="shared" si="90"/>
        <v>#REF!</v>
      </c>
      <c r="DG92" s="93" t="e">
        <v>#REF!</v>
      </c>
      <c r="DH92" s="93" t="e">
        <v>#REF!</v>
      </c>
      <c r="DI92" s="93" t="e">
        <v>#REF!</v>
      </c>
      <c r="DJ92" s="93" t="e">
        <v>#REF!</v>
      </c>
      <c r="DK92" s="93"/>
      <c r="DL92" s="39" t="e">
        <f t="shared" si="91"/>
        <v>#REF!</v>
      </c>
      <c r="DM92" s="93" t="e">
        <v>#REF!</v>
      </c>
      <c r="DN92" s="93" t="e">
        <v>#REF!</v>
      </c>
      <c r="DO92" s="93" t="e">
        <v>#REF!</v>
      </c>
      <c r="DP92" s="93" t="e">
        <v>#REF!</v>
      </c>
    </row>
    <row r="93" spans="1:120" x14ac:dyDescent="0.2">
      <c r="B93" s="39"/>
      <c r="C93" s="93"/>
      <c r="D93" s="93"/>
      <c r="E93" s="93"/>
      <c r="F93" s="93"/>
      <c r="H93" s="39"/>
      <c r="I93" s="93"/>
      <c r="J93" s="93"/>
      <c r="K93" s="93"/>
      <c r="L93" s="93"/>
      <c r="N93" s="39"/>
      <c r="O93" s="93"/>
      <c r="P93" s="93"/>
      <c r="Q93" s="93"/>
      <c r="R93" s="93"/>
      <c r="S93" s="93"/>
      <c r="T93" s="39"/>
      <c r="U93" s="93"/>
      <c r="V93" s="93"/>
      <c r="W93" s="93"/>
      <c r="X93" s="93"/>
      <c r="Z93" s="39"/>
      <c r="AA93" s="93"/>
      <c r="AB93" s="93"/>
      <c r="AC93" s="93"/>
      <c r="AD93" s="93"/>
      <c r="AF93" s="39"/>
      <c r="AG93" s="93"/>
      <c r="AH93" s="93"/>
      <c r="AI93" s="93"/>
      <c r="AJ93" s="93"/>
      <c r="AL93" s="39"/>
      <c r="AM93" s="93"/>
      <c r="AN93" s="93"/>
      <c r="AO93" s="93"/>
      <c r="AP93" s="93"/>
      <c r="AQ93" s="93"/>
      <c r="AR93" s="39"/>
      <c r="AS93" s="93"/>
      <c r="AT93" s="93"/>
      <c r="AU93" s="93"/>
      <c r="AV93" s="93"/>
      <c r="AX93" s="39"/>
      <c r="AY93" s="93"/>
      <c r="AZ93" s="93"/>
      <c r="BA93" s="93"/>
      <c r="BB93" s="93"/>
      <c r="BD93" s="39"/>
      <c r="BE93" s="93"/>
      <c r="BF93" s="93"/>
      <c r="BG93" s="93"/>
      <c r="BH93" s="93"/>
      <c r="BJ93" s="39"/>
      <c r="BK93" s="93"/>
      <c r="BL93" s="93"/>
      <c r="BM93" s="93"/>
      <c r="BN93" s="93"/>
      <c r="BO93" s="93"/>
      <c r="BP93" s="39"/>
      <c r="BQ93" s="93"/>
      <c r="BR93" s="93"/>
      <c r="BS93" s="93"/>
      <c r="BT93" s="93"/>
      <c r="BV93" s="39"/>
      <c r="BW93" s="93"/>
      <c r="BX93" s="93"/>
      <c r="BY93" s="93"/>
      <c r="BZ93" s="93"/>
      <c r="CB93" s="39"/>
      <c r="CC93" s="93"/>
      <c r="CD93" s="93"/>
      <c r="CE93" s="93"/>
      <c r="CF93" s="93"/>
      <c r="CH93" s="39"/>
      <c r="CI93" s="93"/>
      <c r="CJ93" s="93"/>
      <c r="CK93" s="93"/>
      <c r="CL93" s="93"/>
      <c r="CM93" s="93"/>
      <c r="CN93" s="39"/>
      <c r="CO93" s="93"/>
      <c r="CP93" s="93"/>
      <c r="CQ93" s="93"/>
      <c r="CR93" s="93"/>
      <c r="CT93" s="39"/>
      <c r="CU93" s="93"/>
      <c r="CV93" s="93"/>
      <c r="CW93" s="93"/>
      <c r="CX93" s="93"/>
      <c r="CZ93" s="39"/>
      <c r="DA93" s="93"/>
      <c r="DB93" s="93"/>
      <c r="DC93" s="93"/>
      <c r="DD93" s="93"/>
      <c r="DF93" s="39"/>
      <c r="DG93" s="93"/>
      <c r="DH93" s="93"/>
      <c r="DI93" s="93"/>
      <c r="DJ93" s="93"/>
      <c r="DK93" s="93"/>
      <c r="DL93" s="39"/>
      <c r="DM93" s="93"/>
      <c r="DN93" s="93"/>
      <c r="DO93" s="93"/>
      <c r="DP93" s="93"/>
    </row>
    <row r="94" spans="1:120" x14ac:dyDescent="0.2">
      <c r="A94" s="90" t="str">
        <f>name!C3</f>
        <v>All industries</v>
      </c>
      <c r="B94" s="39">
        <f t="shared" si="68"/>
        <v>2.7912372459239387</v>
      </c>
      <c r="C94" s="93">
        <f>C50</f>
        <v>4561.2992279926211</v>
      </c>
      <c r="D94" s="93">
        <f>D50</f>
        <v>431.97496524334053</v>
      </c>
      <c r="E94" s="93">
        <f>E50</f>
        <v>1445.5882710202891</v>
      </c>
      <c r="F94" s="93">
        <f>F50</f>
        <v>1877.5632362636297</v>
      </c>
      <c r="H94" s="39">
        <f t="shared" si="69"/>
        <v>2.6517730789267446</v>
      </c>
      <c r="I94" s="93">
        <f>I50</f>
        <v>774.77767553257945</v>
      </c>
      <c r="J94" s="93">
        <f>J50</f>
        <v>-90.9176985646708</v>
      </c>
      <c r="K94" s="93">
        <f>K50</f>
        <v>231.78692033646578</v>
      </c>
      <c r="L94" s="93">
        <f>L50</f>
        <v>140.86922177179497</v>
      </c>
      <c r="N94" s="39">
        <f t="shared" si="70"/>
        <v>2.6893242464146816</v>
      </c>
      <c r="O94" s="93">
        <f>O50</f>
        <v>1810.6123702397726</v>
      </c>
      <c r="P94" s="93">
        <f>P50</f>
        <v>208.84741372398935</v>
      </c>
      <c r="Q94" s="93">
        <f>Q50</f>
        <v>550.29225403969679</v>
      </c>
      <c r="R94" s="93">
        <f>R50</f>
        <v>759.13966776368613</v>
      </c>
      <c r="S94" s="93"/>
      <c r="T94" s="39">
        <f t="shared" si="71"/>
        <v>2.9376202991175049</v>
      </c>
      <c r="U94" s="93">
        <f>U50</f>
        <v>1975.9091822202711</v>
      </c>
      <c r="V94" s="93">
        <f>V50</f>
        <v>314.04525008402186</v>
      </c>
      <c r="W94" s="93">
        <f>W50</f>
        <v>663.50909664412427</v>
      </c>
      <c r="X94" s="93">
        <f>X50</f>
        <v>977.55434672814613</v>
      </c>
      <c r="Y94" s="91" t="str">
        <f>A94</f>
        <v>All industries</v>
      </c>
      <c r="Z94" s="39">
        <f>IF(AA94&gt;0,((1+(AC94/AA94))^(1/($A$101-$A$100))-1)*100,0)</f>
        <v>2.9771972098236787</v>
      </c>
      <c r="AA94" s="93">
        <f>AA50</f>
        <v>2141.7348734083043</v>
      </c>
      <c r="AB94" s="93">
        <f>AB50</f>
        <v>328.18012130131888</v>
      </c>
      <c r="AC94" s="93">
        <f>AC50</f>
        <v>730.21185757939747</v>
      </c>
      <c r="AD94" s="93">
        <f>AD50</f>
        <v>1058.3919788807164</v>
      </c>
      <c r="AF94" s="39">
        <f>IF(AG94&gt;0,((1+(AI94/AG94))^(1/($A$101-$A$100))-1)*100,0)</f>
        <v>3.0280155732974823</v>
      </c>
      <c r="AG94" s="93">
        <f>AG50</f>
        <v>114.36183531349347</v>
      </c>
      <c r="AH94" s="93">
        <f>AH50</f>
        <v>10.806009020856356</v>
      </c>
      <c r="AI94" s="93">
        <f>AI50</f>
        <v>39.749458273691218</v>
      </c>
      <c r="AJ94" s="93">
        <f>AJ50</f>
        <v>50.555467294547576</v>
      </c>
      <c r="AL94" s="39">
        <f>IF(AM94&gt;0,((1+(AO94/AM94))^(1/($A$101-$A$100))-1)*100,0)</f>
        <v>2.9663353480916088</v>
      </c>
      <c r="AM94" s="93">
        <f>AM50</f>
        <v>484.03376220781502</v>
      </c>
      <c r="AN94" s="93">
        <f>AN50</f>
        <v>80.752171418150368</v>
      </c>
      <c r="AO94" s="93">
        <f>AO50</f>
        <v>164.34415782441963</v>
      </c>
      <c r="AP94" s="93">
        <f>AP50</f>
        <v>245.09632924256999</v>
      </c>
      <c r="AQ94" s="93"/>
      <c r="AR94" s="39">
        <f>IF(AS94&gt;0,((1+(AU94/AS94))^(1/($A$101-$A$100))-1)*100,0)</f>
        <v>2.9768281396108875</v>
      </c>
      <c r="AS94" s="93">
        <f>AS50</f>
        <v>1543.3392758869961</v>
      </c>
      <c r="AT94" s="93">
        <f>AT50</f>
        <v>236.62194086231219</v>
      </c>
      <c r="AU94" s="93">
        <f>AU50</f>
        <v>526.11824148128676</v>
      </c>
      <c r="AV94" s="93">
        <f>AV50</f>
        <v>762.74018234359892</v>
      </c>
      <c r="AW94" s="91" t="str">
        <f>Y94</f>
        <v>All industries</v>
      </c>
      <c r="AX94" s="39">
        <f>IF(AY94&gt;0,((1+(BA94/AY94))^(1/($A$101-$A$100))-1)*100,0)</f>
        <v>2.5960689907792656</v>
      </c>
      <c r="AY94" s="93">
        <f>AY50</f>
        <v>1169.4910110900296</v>
      </c>
      <c r="AZ94" s="93">
        <f>AZ50</f>
        <v>61.012733866251224</v>
      </c>
      <c r="BA94" s="93">
        <f>BA50</f>
        <v>341.64688672572964</v>
      </c>
      <c r="BB94" s="93">
        <f>BB50</f>
        <v>402.65962059198085</v>
      </c>
      <c r="BD94" s="39">
        <f>IF(BE94&gt;0,((1+(BG94/BE94))^(1/($A$101-$A$100))-1)*100,0)</f>
        <v>2.5108134589674425</v>
      </c>
      <c r="BE94" s="93">
        <f>BE50</f>
        <v>196.77997170605971</v>
      </c>
      <c r="BF94" s="93">
        <f>BF50</f>
        <v>-19.19988351079143</v>
      </c>
      <c r="BG94" s="93">
        <f>BG50</f>
        <v>55.380896948664599</v>
      </c>
      <c r="BH94" s="93">
        <f>BH50</f>
        <v>36.181013437873169</v>
      </c>
      <c r="BJ94" s="39">
        <f>IF(BK94&gt;0,((1+(BM94/BK94))^(1/($A$101-$A$100))-1)*100,0)</f>
        <v>2.5531077119064882</v>
      </c>
      <c r="BK94" s="93">
        <f>BK50</f>
        <v>650.12175377402275</v>
      </c>
      <c r="BL94" s="93">
        <f>BL50</f>
        <v>42.192712487148434</v>
      </c>
      <c r="BM94" s="93">
        <f>BM50</f>
        <v>186.41100647521165</v>
      </c>
      <c r="BN94" s="93">
        <f>BN50</f>
        <v>228.60371896236009</v>
      </c>
      <c r="BO94" s="93"/>
      <c r="BP94" s="39">
        <f>IF(BQ94&gt;0,((1+(BS94/BQ94))^(1/($A$101-$A$100))-1)*100,0)</f>
        <v>2.7334678665663192</v>
      </c>
      <c r="BQ94" s="93">
        <f>BQ50</f>
        <v>322.58928560994713</v>
      </c>
      <c r="BR94" s="93">
        <f>BR50</f>
        <v>38.019904889894228</v>
      </c>
      <c r="BS94" s="93">
        <f>BS50</f>
        <v>99.854983301853494</v>
      </c>
      <c r="BT94" s="93">
        <f>BT50</f>
        <v>137.87488819174771</v>
      </c>
      <c r="BU94" s="91" t="str">
        <f>AW94</f>
        <v>All industries</v>
      </c>
      <c r="BV94" s="39">
        <f>IF(BW94&gt;0,((1+(BY94/BW94))^(1/($A$101-$A$100))-1)*100,0)</f>
        <v>2.5889208699682698</v>
      </c>
      <c r="BW94" s="93">
        <f>BW50</f>
        <v>786.26148565798121</v>
      </c>
      <c r="BX94" s="93">
        <f>BX50</f>
        <v>-16.768227409449015</v>
      </c>
      <c r="BY94" s="93">
        <f>BY50</f>
        <v>228.98528730973825</v>
      </c>
      <c r="BZ94" s="93">
        <f>BZ50</f>
        <v>212.21705990028923</v>
      </c>
      <c r="CB94" s="39">
        <f>IF(CC94&gt;0,((1+(CE94/CC94))^(1/($A$101-$A$100))-1)*100,0)</f>
        <v>2.5278948366694864</v>
      </c>
      <c r="CC94" s="93">
        <f>CC50</f>
        <v>257.91842111045776</v>
      </c>
      <c r="CD94" s="93">
        <f>CD50</f>
        <v>-52.179148361626908</v>
      </c>
      <c r="CE94" s="93">
        <f>CE50</f>
        <v>73.138570554183204</v>
      </c>
      <c r="CF94" s="93">
        <f>CF50</f>
        <v>20.959422192556296</v>
      </c>
      <c r="CH94" s="39">
        <f>IF(CI94&gt;0,((1+(CK94/CI94))^(1/($A$101-$A$100))-1)*100,0)</f>
        <v>2.5655949055339189</v>
      </c>
      <c r="CI94" s="93">
        <f>CI50</f>
        <v>462.50112579230256</v>
      </c>
      <c r="CJ94" s="93">
        <f>CJ50</f>
        <v>18.263082416840735</v>
      </c>
      <c r="CK94" s="93">
        <f>CK50</f>
        <v>133.33911166207648</v>
      </c>
      <c r="CL94" s="93">
        <f>CL50</f>
        <v>151.60219407891722</v>
      </c>
      <c r="CM94" s="93"/>
      <c r="CN94" s="39">
        <f>IF(CO94&gt;0,((1+(CQ94/CO94))^(1/($A$101-$A$100))-1)*100,0)</f>
        <v>2.9840981402702971</v>
      </c>
      <c r="CO94" s="93">
        <f>CO50</f>
        <v>65.841938755220539</v>
      </c>
      <c r="CP94" s="93">
        <f>CP50</f>
        <v>17.147838535337179</v>
      </c>
      <c r="CQ94" s="93">
        <f>CQ50</f>
        <v>22.507605093478684</v>
      </c>
      <c r="CR94" s="93">
        <f>CR50</f>
        <v>39.65544362881586</v>
      </c>
      <c r="CS94" s="91" t="str">
        <f>BU94</f>
        <v>All industries</v>
      </c>
      <c r="CT94" s="39">
        <f>IF(CU94&gt;0,((1+(CW94/CU94))^(1/($A$101-$A$100))-1)*100,0)</f>
        <v>2.7533233225370157</v>
      </c>
      <c r="CU94" s="93">
        <f>CU50</f>
        <v>463.81185783630696</v>
      </c>
      <c r="CV94" s="93">
        <f>CV50</f>
        <v>59.550337485219423</v>
      </c>
      <c r="CW94" s="93">
        <f>CW50</f>
        <v>144.74423940542175</v>
      </c>
      <c r="CX94" s="93">
        <f>CX50</f>
        <v>204.29457689064117</v>
      </c>
      <c r="CZ94" s="39">
        <f>IF(DA94&gt;0,((1+(DC94/DA94))^(1/($A$101-$A$100))-1)*100,0)</f>
        <v>2.7273559755584653</v>
      </c>
      <c r="DA94" s="93">
        <f>DA50</f>
        <v>205.71744740256855</v>
      </c>
      <c r="DB94" s="93">
        <f>DB50</f>
        <v>-30.344675713108767</v>
      </c>
      <c r="DC94" s="93">
        <f>DC50</f>
        <v>63.517994559926827</v>
      </c>
      <c r="DD94" s="93">
        <f>DD50</f>
        <v>33.173318846818063</v>
      </c>
      <c r="DF94" s="39">
        <f>IF(DG94&gt;0,((1+(DI94/DG94))^(1/($A$101-$A$100))-1)*100,0)</f>
        <v>2.7323553670193235</v>
      </c>
      <c r="DG94" s="93">
        <f>DG50</f>
        <v>213.95572846563186</v>
      </c>
      <c r="DH94" s="93">
        <f>DH50</f>
        <v>67.639447401849822</v>
      </c>
      <c r="DI94" s="93">
        <f>DI50</f>
        <v>66.197978077989319</v>
      </c>
      <c r="DJ94" s="93">
        <f>DJ50</f>
        <v>133.83742547983914</v>
      </c>
      <c r="DK94" s="93"/>
      <c r="DL94" s="39">
        <f>IF(DM94&gt;0,((1+(DO94/DM94))^(1/($A$101-$A$100))-1)*100,0)</f>
        <v>2.9736201868302725</v>
      </c>
      <c r="DM94" s="93">
        <f>DM50</f>
        <v>44.13868196810671</v>
      </c>
      <c r="DN94" s="93">
        <f>DN50</f>
        <v>22.25556579647839</v>
      </c>
      <c r="DO94" s="93">
        <f>DO50</f>
        <v>15.028266767505601</v>
      </c>
      <c r="DP94" s="93">
        <f>DP50</f>
        <v>37.283832563983992</v>
      </c>
    </row>
    <row r="95" spans="1:120" x14ac:dyDescent="0.2">
      <c r="A95" s="95"/>
      <c r="B95" s="111"/>
      <c r="C95" s="111"/>
      <c r="D95" s="111"/>
      <c r="E95" s="111"/>
      <c r="F95" s="111"/>
      <c r="G95" s="95"/>
      <c r="H95" s="111"/>
      <c r="I95" s="111"/>
      <c r="J95" s="111"/>
      <c r="K95" s="111"/>
      <c r="L95" s="111"/>
      <c r="M95" s="95"/>
      <c r="N95" s="95"/>
      <c r="O95" s="111"/>
      <c r="P95" s="111"/>
      <c r="Q95" s="111"/>
      <c r="R95" s="111"/>
      <c r="S95" s="111"/>
      <c r="T95" s="95"/>
      <c r="U95" s="111"/>
      <c r="V95" s="111"/>
      <c r="W95" s="111"/>
      <c r="X95" s="111"/>
      <c r="Y95" s="95"/>
      <c r="Z95" s="111"/>
      <c r="AA95" s="111"/>
      <c r="AB95" s="111"/>
      <c r="AC95" s="111"/>
      <c r="AD95" s="111"/>
      <c r="AE95" s="95"/>
      <c r="AF95" s="111"/>
      <c r="AG95" s="111"/>
      <c r="AH95" s="111"/>
      <c r="AI95" s="111"/>
      <c r="AJ95" s="111"/>
      <c r="AK95" s="95"/>
      <c r="AL95" s="95"/>
      <c r="AM95" s="111"/>
      <c r="AN95" s="111"/>
      <c r="AO95" s="111"/>
      <c r="AP95" s="111"/>
      <c r="AQ95" s="111"/>
      <c r="AR95" s="95"/>
      <c r="AS95" s="111"/>
      <c r="AT95" s="111"/>
      <c r="AU95" s="111"/>
      <c r="AV95" s="111"/>
      <c r="AW95" s="95"/>
      <c r="AX95" s="111"/>
      <c r="AY95" s="111"/>
      <c r="AZ95" s="111"/>
      <c r="BA95" s="111"/>
      <c r="BB95" s="111"/>
      <c r="BC95" s="95"/>
      <c r="BD95" s="111"/>
      <c r="BE95" s="111"/>
      <c r="BF95" s="111"/>
      <c r="BG95" s="111"/>
      <c r="BH95" s="111"/>
      <c r="BI95" s="95"/>
      <c r="BJ95" s="95"/>
      <c r="BK95" s="111"/>
      <c r="BL95" s="111"/>
      <c r="BM95" s="111"/>
      <c r="BN95" s="111"/>
      <c r="BO95" s="111"/>
      <c r="BP95" s="95"/>
      <c r="BQ95" s="111"/>
      <c r="BR95" s="111"/>
      <c r="BS95" s="111"/>
      <c r="BT95" s="111"/>
      <c r="BU95" s="95"/>
      <c r="BV95" s="111"/>
      <c r="BW95" s="111"/>
      <c r="BX95" s="111"/>
      <c r="BY95" s="111"/>
      <c r="BZ95" s="111"/>
      <c r="CA95" s="95"/>
      <c r="CB95" s="111"/>
      <c r="CC95" s="111"/>
      <c r="CD95" s="111"/>
      <c r="CE95" s="111"/>
      <c r="CF95" s="111"/>
      <c r="CG95" s="95"/>
      <c r="CH95" s="95"/>
      <c r="CI95" s="111"/>
      <c r="CJ95" s="111"/>
      <c r="CK95" s="111"/>
      <c r="CL95" s="111"/>
      <c r="CM95" s="111"/>
      <c r="CN95" s="95"/>
      <c r="CO95" s="111"/>
      <c r="CP95" s="111"/>
      <c r="CQ95" s="111"/>
      <c r="CR95" s="111"/>
      <c r="CS95" s="95"/>
      <c r="CT95" s="111"/>
      <c r="CU95" s="111"/>
      <c r="CV95" s="111"/>
      <c r="CW95" s="111"/>
      <c r="CX95" s="111"/>
      <c r="CY95" s="95"/>
      <c r="CZ95" s="111"/>
      <c r="DA95" s="111"/>
      <c r="DB95" s="111"/>
      <c r="DC95" s="111"/>
      <c r="DD95" s="111"/>
      <c r="DE95" s="95"/>
      <c r="DF95" s="95"/>
      <c r="DG95" s="111"/>
      <c r="DH95" s="111"/>
      <c r="DI95" s="111"/>
      <c r="DJ95" s="111"/>
      <c r="DK95" s="111"/>
      <c r="DL95" s="95"/>
      <c r="DM95" s="111"/>
      <c r="DN95" s="111"/>
      <c r="DO95" s="111"/>
      <c r="DP95" s="111"/>
    </row>
    <row r="96" spans="1:120" x14ac:dyDescent="0.2">
      <c r="A96" s="90" t="str">
        <f ca="1">CELL("filename")</f>
        <v>M:\IE\Projects\Nuffield via NFER AI and automation\Data\Results\Workbooks\LO\[LO_MainTables.Main.xlsm]Manager</v>
      </c>
      <c r="Y96" s="90" t="str">
        <f ca="1">CELL("filename")</f>
        <v>M:\IE\Projects\Nuffield via NFER AI and automation\Data\Results\Workbooks\LO\[LO_MainTables.Main.xlsm]Manager</v>
      </c>
      <c r="AW96" s="90" t="str">
        <f ca="1">CELL("filename")</f>
        <v>M:\IE\Projects\Nuffield via NFER AI and automation\Data\Results\Workbooks\LO\[LO_MainTables.Main.xlsm]Manager</v>
      </c>
      <c r="BU96" s="90" t="str">
        <f ca="1">CELL("filename")</f>
        <v>M:\IE\Projects\Nuffield via NFER AI and automation\Data\Results\Workbooks\LO\[LO_MainTables.Main.xlsm]Manager</v>
      </c>
      <c r="CS96" s="90" t="str">
        <f ca="1">CELL("filename")</f>
        <v>M:\IE\Projects\Nuffield via NFER AI and automation\Data\Results\Workbooks\LO\[LO_MainTables.Main.xlsm]Manager</v>
      </c>
    </row>
    <row r="99" spans="1:1" x14ac:dyDescent="0.2">
      <c r="A99" s="90" t="s">
        <v>45</v>
      </c>
    </row>
    <row r="100" spans="1:1" x14ac:dyDescent="0.2">
      <c r="A100" s="90">
        <v>2015</v>
      </c>
    </row>
    <row r="101" spans="1:1" x14ac:dyDescent="0.2">
      <c r="A101" s="90">
        <v>2025</v>
      </c>
    </row>
  </sheetData>
  <mergeCells count="60"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29" customWidth="1"/>
    <col min="2" max="2" width="13" style="129" customWidth="1"/>
    <col min="3" max="3" width="9.7109375" style="129" customWidth="1"/>
    <col min="4" max="4" width="10.140625" style="129" customWidth="1"/>
    <col min="5" max="5" width="13" style="129" customWidth="1"/>
    <col min="6" max="6" width="9.7109375" style="129" customWidth="1"/>
    <col min="7" max="7" width="3.7109375" style="129" customWidth="1"/>
    <col min="8" max="9" width="10.140625" style="129" customWidth="1"/>
    <col min="10" max="10" width="3.7109375" style="129" customWidth="1"/>
    <col min="11" max="12" width="10.140625" style="129" customWidth="1"/>
    <col min="13" max="13" width="3.7109375" style="129" customWidth="1"/>
    <col min="14" max="14" width="11.42578125" style="129" customWidth="1"/>
    <col min="15" max="15" width="10.140625" style="129" customWidth="1"/>
    <col min="16" max="16" width="3.7109375" style="129" customWidth="1"/>
    <col min="17" max="18" width="10.140625" style="129" customWidth="1"/>
    <col min="19" max="19" width="2.42578125" style="129" customWidth="1"/>
    <col min="20" max="22" width="13" style="129" customWidth="1"/>
    <col min="23" max="23" width="23.28515625" style="129" customWidth="1"/>
    <col min="24" max="24" width="9.140625" style="129"/>
    <col min="25" max="25" width="12.28515625" style="129" customWidth="1"/>
    <col min="26" max="26" width="10.85546875" style="129" customWidth="1"/>
    <col min="27" max="27" width="8.140625" style="129" customWidth="1"/>
    <col min="28" max="28" width="8" style="129" customWidth="1"/>
    <col min="29" max="16384" width="9.140625" style="129"/>
  </cols>
  <sheetData>
    <row r="1" spans="1:32" ht="12.75" customHeight="1" x14ac:dyDescent="0.2">
      <c r="A1" s="127" t="e">
        <f>CONCATENATE("Table 4.6  Shift-share by industry, ",I3)</f>
        <v>#REF!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</row>
    <row r="2" spans="1:32" ht="12.75" customHeight="1" x14ac:dyDescent="0.2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384" t="s">
        <v>53</v>
      </c>
      <c r="L2" s="384"/>
      <c r="M2" s="384"/>
      <c r="N2" s="384"/>
      <c r="O2" s="384"/>
      <c r="P2" s="384"/>
      <c r="Q2" s="384"/>
      <c r="R2" s="384"/>
      <c r="S2" s="191"/>
      <c r="T2" s="191"/>
      <c r="U2" s="128"/>
    </row>
    <row r="3" spans="1:32" ht="12.75" customHeight="1" x14ac:dyDescent="0.2">
      <c r="A3" s="128"/>
      <c r="B3" s="130" t="s">
        <v>54</v>
      </c>
      <c r="C3" s="131" t="e">
        <f>#REF!</f>
        <v>#REF!</v>
      </c>
      <c r="D3" s="127"/>
      <c r="E3" s="130" t="s">
        <v>55</v>
      </c>
      <c r="F3" s="131" t="e">
        <f>#REF!</f>
        <v>#REF!</v>
      </c>
      <c r="G3" s="127"/>
      <c r="H3" s="130" t="s">
        <v>18</v>
      </c>
      <c r="I3" s="130" t="e">
        <f>CONCATENATE(C3,"-",F3)</f>
        <v>#REF!</v>
      </c>
      <c r="J3" s="127"/>
      <c r="K3" s="385" t="s">
        <v>56</v>
      </c>
      <c r="L3" s="385"/>
      <c r="M3" s="127"/>
      <c r="N3" s="386" t="s">
        <v>69</v>
      </c>
      <c r="O3" s="386"/>
      <c r="P3" s="127"/>
      <c r="Q3" s="386" t="s">
        <v>68</v>
      </c>
      <c r="R3" s="386"/>
      <c r="S3" s="191"/>
      <c r="T3" s="192" t="s">
        <v>72</v>
      </c>
      <c r="U3" s="152" t="s">
        <v>71</v>
      </c>
      <c r="V3" s="159"/>
      <c r="AA3" s="159"/>
      <c r="AD3" s="159"/>
    </row>
    <row r="4" spans="1:32" ht="12.75" customHeight="1" x14ac:dyDescent="0.2">
      <c r="A4" s="132" t="s">
        <v>59</v>
      </c>
      <c r="B4" s="133" t="s">
        <v>60</v>
      </c>
      <c r="C4" s="133" t="s">
        <v>61</v>
      </c>
      <c r="D4" s="127"/>
      <c r="E4" s="133" t="str">
        <f>B4</f>
        <v>000s</v>
      </c>
      <c r="F4" s="133" t="str">
        <f>C4</f>
        <v>% share</v>
      </c>
      <c r="G4" s="127"/>
      <c r="H4" s="133" t="str">
        <f>E4</f>
        <v>000s</v>
      </c>
      <c r="I4" s="133" t="s">
        <v>62</v>
      </c>
      <c r="J4" s="127"/>
      <c r="K4" s="133" t="str">
        <f>H4</f>
        <v>000s</v>
      </c>
      <c r="L4" s="133" t="str">
        <f>I4</f>
        <v xml:space="preserve">%   </v>
      </c>
      <c r="M4" s="127"/>
      <c r="N4" s="133" t="str">
        <f>K4</f>
        <v>000s</v>
      </c>
      <c r="O4" s="133" t="str">
        <f>L4</f>
        <v xml:space="preserve">%   </v>
      </c>
      <c r="P4" s="127"/>
      <c r="Q4" s="133" t="str">
        <f>N4</f>
        <v>000s</v>
      </c>
      <c r="R4" s="133" t="str">
        <f>O4</f>
        <v xml:space="preserve">%   </v>
      </c>
      <c r="S4" s="153"/>
      <c r="T4" s="133"/>
      <c r="U4" s="165"/>
      <c r="V4" s="159"/>
      <c r="W4" s="167"/>
      <c r="Y4" s="160"/>
      <c r="Z4" s="160"/>
      <c r="AA4" s="159"/>
      <c r="AB4" s="160"/>
      <c r="AC4" s="159"/>
    </row>
    <row r="5" spans="1:32" ht="12.75" customHeight="1" x14ac:dyDescent="0.2">
      <c r="A5" s="132"/>
      <c r="B5" s="130"/>
      <c r="C5" s="158"/>
      <c r="D5" s="127" t="s">
        <v>70</v>
      </c>
      <c r="E5" s="130"/>
      <c r="F5" s="158"/>
      <c r="G5" s="127"/>
      <c r="H5" s="130"/>
      <c r="I5" s="130"/>
      <c r="J5" s="127"/>
      <c r="K5" s="130"/>
      <c r="L5" s="130"/>
      <c r="M5" s="127"/>
      <c r="N5" s="130"/>
      <c r="O5" s="130"/>
      <c r="P5" s="127"/>
      <c r="Q5" s="158"/>
      <c r="R5" s="158"/>
      <c r="S5" s="133"/>
      <c r="T5" s="133"/>
      <c r="U5" s="154"/>
      <c r="V5" s="159"/>
      <c r="W5" s="135"/>
    </row>
    <row r="6" spans="1:32" x14ac:dyDescent="0.2">
      <c r="A6" s="35" t="str">
        <f>name!A4</f>
        <v>Agriculture, etc</v>
      </c>
      <c r="B6" s="149">
        <v>290.31999999994002</v>
      </c>
      <c r="C6" s="140">
        <v>0.93859557238401636</v>
      </c>
      <c r="D6" s="163">
        <v>100</v>
      </c>
      <c r="E6" s="149">
        <v>302.0150000000844</v>
      </c>
      <c r="F6" s="140">
        <v>0.90967729595909619</v>
      </c>
      <c r="G6" s="145"/>
      <c r="H6" s="149">
        <v>11.695000000144354</v>
      </c>
      <c r="I6" s="141">
        <v>4.0283135850601992</v>
      </c>
      <c r="J6" s="145"/>
      <c r="K6" s="149">
        <v>21.295935731168065</v>
      </c>
      <c r="L6" s="141">
        <v>7.3353319547990026</v>
      </c>
      <c r="M6" s="145"/>
      <c r="N6" s="149">
        <v>-0.65613111154677028</v>
      </c>
      <c r="O6" s="141">
        <v>-0.22600272511260189</v>
      </c>
      <c r="P6" s="145"/>
      <c r="Q6" s="150">
        <v>-8.9448046194769404</v>
      </c>
      <c r="R6" s="140">
        <v>-3.0810156446262016</v>
      </c>
      <c r="S6" s="140"/>
      <c r="T6" s="161">
        <v>290.31999999994002</v>
      </c>
      <c r="U6" s="162">
        <v>302.0150000000844</v>
      </c>
      <c r="V6" s="168"/>
      <c r="Y6" s="134"/>
      <c r="Z6" s="150"/>
      <c r="AA6" s="150"/>
      <c r="AB6" s="134"/>
      <c r="AC6" s="150"/>
      <c r="AE6" s="134"/>
      <c r="AF6" s="150"/>
    </row>
    <row r="7" spans="1:32" x14ac:dyDescent="0.2">
      <c r="A7" t="str">
        <f>name!A5</f>
        <v>Coal, oil &amp; gas; Mining &amp; related</v>
      </c>
      <c r="B7" s="150">
        <v>12.074999999997509</v>
      </c>
      <c r="C7" s="140">
        <v>3.9038101186749101E-2</v>
      </c>
      <c r="D7" s="164">
        <v>100</v>
      </c>
      <c r="E7" s="150">
        <v>12.334000000003453</v>
      </c>
      <c r="F7" s="140">
        <v>3.715033944790655E-2</v>
      </c>
      <c r="H7" s="150">
        <v>0.25900000000594448</v>
      </c>
      <c r="I7" s="140">
        <v>2.1449275362815561</v>
      </c>
      <c r="K7" s="150">
        <v>0.88574133354179663</v>
      </c>
      <c r="L7" s="140">
        <v>7.3353319547990017</v>
      </c>
      <c r="N7" s="150">
        <v>-4.283170925688029E-2</v>
      </c>
      <c r="O7" s="140">
        <v>-0.35471394829721842</v>
      </c>
      <c r="Q7" s="150">
        <v>-0.58390962427897186</v>
      </c>
      <c r="R7" s="140">
        <v>-4.8356904702202259</v>
      </c>
      <c r="S7" s="140"/>
      <c r="T7" s="161">
        <v>12.074999999997509</v>
      </c>
      <c r="U7" s="162">
        <v>12.334000000003453</v>
      </c>
      <c r="V7" s="168"/>
      <c r="W7" s="135"/>
      <c r="Y7" s="134"/>
      <c r="Z7" s="150"/>
      <c r="AA7" s="150"/>
      <c r="AB7" s="134"/>
      <c r="AC7" s="150"/>
      <c r="AE7" s="134"/>
      <c r="AF7" s="150"/>
    </row>
    <row r="8" spans="1:32" x14ac:dyDescent="0.2">
      <c r="A8" t="str">
        <f>name!A6</f>
        <v>Food products</v>
      </c>
      <c r="B8" s="150">
        <v>10.050999999997924</v>
      </c>
      <c r="C8" s="140">
        <v>3.2494571844970191E-2</v>
      </c>
      <c r="D8" s="164">
        <v>100</v>
      </c>
      <c r="E8" s="150">
        <v>9.1810000000025642</v>
      </c>
      <c r="F8" s="140">
        <v>2.7653418718277107E-2</v>
      </c>
      <c r="H8" s="150">
        <v>-0.86999999999535793</v>
      </c>
      <c r="I8" s="140">
        <v>-8.6558551387477642</v>
      </c>
      <c r="K8" s="150">
        <v>0.7372742147766953</v>
      </c>
      <c r="L8" s="140">
        <v>7.3353319547990017</v>
      </c>
      <c r="N8" s="150">
        <v>-0.1098416494645672</v>
      </c>
      <c r="O8" s="140">
        <v>-1.0928429953695145</v>
      </c>
      <c r="Q8" s="150">
        <v>-1.497432565307486</v>
      </c>
      <c r="R8" s="140">
        <v>-14.898344098177249</v>
      </c>
      <c r="S8" s="140"/>
      <c r="T8" s="161">
        <v>10.050999999997924</v>
      </c>
      <c r="U8" s="162">
        <v>9.1810000000025642</v>
      </c>
      <c r="V8" s="168"/>
      <c r="Y8" s="134"/>
      <c r="Z8" s="150"/>
      <c r="AA8" s="150"/>
      <c r="AB8" s="134"/>
      <c r="AC8" s="150"/>
      <c r="AE8" s="134"/>
      <c r="AF8" s="150"/>
    </row>
    <row r="9" spans="1:32" x14ac:dyDescent="0.2">
      <c r="A9" t="str">
        <f>name!A7</f>
        <v>Beverages and tobacco</v>
      </c>
      <c r="B9" s="150">
        <v>2.1699999999991144</v>
      </c>
      <c r="C9" s="140">
        <v>7.0155428219650902E-3</v>
      </c>
      <c r="D9" s="164">
        <v>100</v>
      </c>
      <c r="E9" s="150">
        <v>1.1269999999995304</v>
      </c>
      <c r="F9" s="140">
        <v>3.3945542855327972E-3</v>
      </c>
      <c r="H9" s="150">
        <v>-1.042999999999584</v>
      </c>
      <c r="I9" s="140">
        <v>-48.064516129032704</v>
      </c>
      <c r="K9" s="150">
        <v>0.15917670341907339</v>
      </c>
      <c r="L9" s="140">
        <v>7.3353319547990026</v>
      </c>
      <c r="N9" s="150">
        <v>-8.2157152051436144E-2</v>
      </c>
      <c r="O9" s="140">
        <v>-3.786043873339616</v>
      </c>
      <c r="Q9" s="150">
        <v>-1.1200195513672213</v>
      </c>
      <c r="R9" s="140">
        <v>-51.613804210492084</v>
      </c>
      <c r="S9" s="140"/>
      <c r="T9" s="161">
        <v>2.1699999999991144</v>
      </c>
      <c r="U9" s="162">
        <v>1.1269999999995304</v>
      </c>
      <c r="V9" s="168"/>
      <c r="W9" s="135"/>
      <c r="Y9" s="134"/>
      <c r="Z9" s="150"/>
      <c r="AA9" s="150"/>
      <c r="AB9" s="134"/>
      <c r="AC9" s="150"/>
      <c r="AE9" s="134"/>
      <c r="AF9" s="150"/>
    </row>
    <row r="10" spans="1:32" x14ac:dyDescent="0.2">
      <c r="A10" t="str">
        <f>name!A8</f>
        <v>Textiles</v>
      </c>
      <c r="B10" s="150">
        <v>11.083999999995481</v>
      </c>
      <c r="C10" s="140">
        <v>3.5834228865742432E-2</v>
      </c>
      <c r="D10" s="164">
        <v>100</v>
      </c>
      <c r="E10" s="150">
        <v>7.2319999999969857</v>
      </c>
      <c r="F10" s="140">
        <v>2.1782978343365737E-2</v>
      </c>
      <c r="H10" s="150">
        <v>-3.851999999998494</v>
      </c>
      <c r="I10" s="140">
        <v>-34.75279682425176</v>
      </c>
      <c r="K10" s="150">
        <v>0.81304819386958971</v>
      </c>
      <c r="L10" s="140">
        <v>7.3353319547989999</v>
      </c>
      <c r="N10" s="150">
        <v>-0.31881093078995182</v>
      </c>
      <c r="O10" s="140">
        <v>-2.8763165895893343</v>
      </c>
      <c r="Q10" s="150">
        <v>-4.3462372630781321</v>
      </c>
      <c r="R10" s="140">
        <v>-39.211812189461426</v>
      </c>
      <c r="S10" s="140"/>
      <c r="T10" s="161">
        <v>11.083999999995481</v>
      </c>
      <c r="U10" s="162">
        <v>7.2319999999969857</v>
      </c>
      <c r="V10" s="168"/>
      <c r="Y10" s="134"/>
      <c r="Z10" s="150"/>
      <c r="AA10" s="150"/>
      <c r="AB10" s="134"/>
      <c r="AC10" s="150"/>
      <c r="AE10" s="134"/>
      <c r="AF10" s="150"/>
    </row>
    <row r="11" spans="1:32" x14ac:dyDescent="0.2">
      <c r="A11" t="str">
        <f>name!A9</f>
        <v>Wearing apparel; Leather, etc</v>
      </c>
      <c r="B11" s="150">
        <v>37.589999999984677</v>
      </c>
      <c r="C11" s="140">
        <v>0.12152730630307274</v>
      </c>
      <c r="D11" s="164">
        <v>100</v>
      </c>
      <c r="E11" s="150">
        <v>29.919999999987525</v>
      </c>
      <c r="F11" s="140">
        <v>9.0119844031181243E-2</v>
      </c>
      <c r="H11" s="150">
        <v>-7.6699999999971515</v>
      </c>
      <c r="I11" s="140">
        <v>-20.404362862464161</v>
      </c>
      <c r="K11" s="150">
        <v>2.7573512818078205</v>
      </c>
      <c r="L11" s="140">
        <v>7.3353319547990017</v>
      </c>
      <c r="N11" s="150">
        <v>-0.7126086226066608</v>
      </c>
      <c r="O11" s="140">
        <v>-1.8957398845622542</v>
      </c>
      <c r="Q11" s="150">
        <v>-9.7147426591983113</v>
      </c>
      <c r="R11" s="140">
        <v>-25.843954932700907</v>
      </c>
      <c r="S11" s="140"/>
      <c r="T11" s="161">
        <v>37.589999999984677</v>
      </c>
      <c r="U11" s="162">
        <v>29.919999999987525</v>
      </c>
      <c r="V11" s="168"/>
      <c r="W11" s="135"/>
      <c r="Y11" s="134"/>
      <c r="Z11" s="150"/>
      <c r="AA11" s="150"/>
      <c r="AB11" s="134"/>
      <c r="AC11" s="150"/>
      <c r="AE11" s="134"/>
      <c r="AF11" s="150"/>
    </row>
    <row r="12" spans="1:32" x14ac:dyDescent="0.2">
      <c r="A12" t="str">
        <f>name!A10</f>
        <v xml:space="preserve">Wood and cork </v>
      </c>
      <c r="B12" s="150">
        <v>395.97300000001809</v>
      </c>
      <c r="C12" s="140">
        <v>1.2801684506190061</v>
      </c>
      <c r="D12" s="164">
        <v>100</v>
      </c>
      <c r="E12" s="150">
        <v>368.47099999980418</v>
      </c>
      <c r="F12" s="140">
        <v>1.1098445538104806</v>
      </c>
      <c r="H12" s="150">
        <v>-27.502000000213915</v>
      </c>
      <c r="I12" s="140">
        <v>-6.945423046574553</v>
      </c>
      <c r="K12" s="150">
        <v>29.045934001377578</v>
      </c>
      <c r="L12" s="140">
        <v>7.3353319547990017</v>
      </c>
      <c r="N12" s="150">
        <v>-3.864504443275159</v>
      </c>
      <c r="O12" s="140">
        <v>-0.97595150257087782</v>
      </c>
      <c r="Q12" s="150">
        <v>-52.683429558316334</v>
      </c>
      <c r="R12" s="140">
        <v>-13.304803498802679</v>
      </c>
      <c r="S12" s="140"/>
      <c r="T12" s="161">
        <v>395.97300000001809</v>
      </c>
      <c r="U12" s="162">
        <v>368.47099999980418</v>
      </c>
      <c r="V12" s="168"/>
      <c r="Y12" s="134"/>
      <c r="Z12" s="150"/>
      <c r="AA12" s="150"/>
      <c r="AB12" s="134"/>
      <c r="AC12" s="150"/>
      <c r="AE12" s="134"/>
      <c r="AF12" s="150"/>
    </row>
    <row r="13" spans="1:32" x14ac:dyDescent="0.2">
      <c r="A13" t="str">
        <f>name!A11</f>
        <v>Paper, etc</v>
      </c>
      <c r="B13" s="150">
        <v>75.845999999976854</v>
      </c>
      <c r="C13" s="140">
        <v>0.24520776998839583</v>
      </c>
      <c r="D13" s="164">
        <v>100</v>
      </c>
      <c r="E13" s="150">
        <v>49.305999999976621</v>
      </c>
      <c r="F13" s="140">
        <v>0.14851099698533315</v>
      </c>
      <c r="H13" s="150">
        <v>-26.540000000000227</v>
      </c>
      <c r="I13" s="140">
        <v>-34.991957387348478</v>
      </c>
      <c r="K13" s="150">
        <v>5.5635558744351528</v>
      </c>
      <c r="L13" s="140">
        <v>7.3353319547990017</v>
      </c>
      <c r="N13" s="150">
        <v>-2.1939675871835931</v>
      </c>
      <c r="O13" s="140">
        <v>-2.8926609012792532</v>
      </c>
      <c r="Q13" s="150">
        <v>-29.909588287251786</v>
      </c>
      <c r="R13" s="140">
        <v>-39.434628440868224</v>
      </c>
      <c r="S13" s="140"/>
      <c r="T13" s="161">
        <v>75.845999999976854</v>
      </c>
      <c r="U13" s="162">
        <v>49.305999999976621</v>
      </c>
      <c r="V13" s="168"/>
      <c r="Y13" s="134"/>
      <c r="Z13" s="150"/>
      <c r="AA13" s="150"/>
      <c r="AB13" s="134"/>
      <c r="AC13" s="150"/>
      <c r="AE13" s="134"/>
      <c r="AF13" s="150"/>
    </row>
    <row r="14" spans="1:32" x14ac:dyDescent="0.2">
      <c r="A14" t="str">
        <f>name!A12</f>
        <v>Printing and recording</v>
      </c>
      <c r="B14" s="150">
        <v>73.1450000000373</v>
      </c>
      <c r="C14" s="140">
        <v>0.2364755206051187</v>
      </c>
      <c r="D14" s="164">
        <v>100</v>
      </c>
      <c r="E14" s="150">
        <v>122.94699999997626</v>
      </c>
      <c r="F14" s="140">
        <v>0.37031966791791843</v>
      </c>
      <c r="H14" s="150">
        <v>49.801999999938957</v>
      </c>
      <c r="I14" s="140">
        <v>68.086677148012257</v>
      </c>
      <c r="K14" s="150">
        <v>5.3654285583404651</v>
      </c>
      <c r="L14" s="140">
        <v>7.3353319547989999</v>
      </c>
      <c r="N14" s="150">
        <v>3.0368099350038165</v>
      </c>
      <c r="O14" s="140">
        <v>4.1517669492135729</v>
      </c>
      <c r="Q14" s="150">
        <v>41.399761506594672</v>
      </c>
      <c r="R14" s="140">
        <v>56.599578243999673</v>
      </c>
      <c r="S14" s="140"/>
      <c r="T14" s="161">
        <v>73.1450000000373</v>
      </c>
      <c r="U14" s="162">
        <v>122.94699999997626</v>
      </c>
      <c r="V14" s="168"/>
      <c r="Y14" s="134"/>
      <c r="Z14" s="150"/>
      <c r="AA14" s="150"/>
      <c r="AB14" s="134"/>
      <c r="AC14" s="150"/>
      <c r="AE14" s="134"/>
      <c r="AF14" s="150"/>
    </row>
    <row r="15" spans="1:32" x14ac:dyDescent="0.2">
      <c r="A15" t="str">
        <f>name!A13</f>
        <v>Coke and petroleum; Chemicals, etc</v>
      </c>
      <c r="B15" s="150">
        <v>80.073000000040807</v>
      </c>
      <c r="C15" s="140">
        <v>0.25887353013074937</v>
      </c>
      <c r="D15" s="164">
        <v>100</v>
      </c>
      <c r="E15" s="150">
        <v>72.98899999998595</v>
      </c>
      <c r="F15" s="140">
        <v>0.2198448294115429</v>
      </c>
      <c r="H15" s="150">
        <v>-7.0840000000548606</v>
      </c>
      <c r="I15" s="140">
        <v>-8.846927179013214</v>
      </c>
      <c r="K15" s="150">
        <v>5.873620356169198</v>
      </c>
      <c r="L15" s="140">
        <v>7.3353319547990017</v>
      </c>
      <c r="N15" s="150">
        <v>-0.88552804492364956</v>
      </c>
      <c r="O15" s="140">
        <v>-1.1059009215630717</v>
      </c>
      <c r="Q15" s="150">
        <v>-12.072092311300409</v>
      </c>
      <c r="R15" s="140">
        <v>-15.076358212249144</v>
      </c>
      <c r="S15" s="140"/>
      <c r="T15" s="161">
        <v>80.073000000040807</v>
      </c>
      <c r="U15" s="162">
        <v>72.98899999998595</v>
      </c>
      <c r="V15" s="168"/>
      <c r="Y15" s="134"/>
      <c r="Z15" s="150"/>
      <c r="AA15" s="150"/>
      <c r="AB15" s="134"/>
      <c r="AC15" s="150"/>
      <c r="AE15" s="134"/>
      <c r="AF15" s="150"/>
    </row>
    <row r="16" spans="1:32" x14ac:dyDescent="0.2">
      <c r="A16" t="str">
        <f>name!A14</f>
        <v>Pharmaceuticals</v>
      </c>
      <c r="B16" s="150">
        <v>104.71500000005337</v>
      </c>
      <c r="C16" s="140">
        <v>0.33854035327315601</v>
      </c>
      <c r="D16" s="164">
        <v>100</v>
      </c>
      <c r="E16" s="150">
        <v>86.702999999983263</v>
      </c>
      <c r="F16" s="140">
        <v>0.26115176594375861</v>
      </c>
      <c r="H16" s="150">
        <v>-18.012000000070095</v>
      </c>
      <c r="I16" s="140">
        <v>-17.200974072540628</v>
      </c>
      <c r="K16" s="150">
        <v>7.6811928564716885</v>
      </c>
      <c r="L16" s="140">
        <v>7.3353319547990017</v>
      </c>
      <c r="N16" s="150">
        <v>-1.7558812662057193</v>
      </c>
      <c r="O16" s="140">
        <v>-1.6768192390821033</v>
      </c>
      <c r="Q16" s="150">
        <v>-23.937311590336066</v>
      </c>
      <c r="R16" s="140">
        <v>-22.859486788257524</v>
      </c>
      <c r="S16" s="140"/>
      <c r="T16" s="161">
        <v>104.71500000005337</v>
      </c>
      <c r="U16" s="162">
        <v>86.702999999983263</v>
      </c>
      <c r="V16" s="168"/>
      <c r="Y16" s="134"/>
      <c r="Z16" s="150"/>
      <c r="AA16" s="150"/>
      <c r="AB16" s="134"/>
      <c r="AC16" s="150"/>
      <c r="AE16" s="134"/>
      <c r="AF16" s="150"/>
    </row>
    <row r="17" spans="1:32" x14ac:dyDescent="0.2">
      <c r="A17" t="str">
        <f>name!A15</f>
        <v>Rubber and plastic</v>
      </c>
      <c r="B17" s="150">
        <v>11.055999999985691</v>
      </c>
      <c r="C17" s="140">
        <v>3.5743705732524098E-2</v>
      </c>
      <c r="D17" s="164">
        <v>100</v>
      </c>
      <c r="E17" s="150">
        <v>18.25699999999954</v>
      </c>
      <c r="F17" s="140">
        <v>5.4990574614903753E-2</v>
      </c>
      <c r="H17" s="150">
        <v>7.2010000000138481</v>
      </c>
      <c r="I17" s="140">
        <v>65.132054992973664</v>
      </c>
      <c r="K17" s="150">
        <v>0.81099430092152791</v>
      </c>
      <c r="L17" s="140">
        <v>7.3353319547990017</v>
      </c>
      <c r="N17" s="150">
        <v>0.43669509510288052</v>
      </c>
      <c r="O17" s="140">
        <v>3.9498470975347839</v>
      </c>
      <c r="Q17" s="150">
        <v>5.9533106039894399</v>
      </c>
      <c r="R17" s="140">
        <v>53.846875940639883</v>
      </c>
      <c r="S17" s="140"/>
      <c r="T17" s="161">
        <v>11.055999999985691</v>
      </c>
      <c r="U17" s="162">
        <v>18.25699999999954</v>
      </c>
      <c r="V17" s="168"/>
      <c r="Y17" s="134"/>
      <c r="Z17" s="150"/>
      <c r="AA17" s="150"/>
      <c r="AB17" s="134"/>
      <c r="AC17" s="150"/>
      <c r="AE17" s="134"/>
      <c r="AF17" s="150"/>
    </row>
    <row r="18" spans="1:32" x14ac:dyDescent="0.2">
      <c r="A18" t="str">
        <f>name!A16</f>
        <v>Other non-metallic</v>
      </c>
      <c r="B18" s="150">
        <v>93.389000000008025</v>
      </c>
      <c r="C18" s="140">
        <v>0.30192374589899607</v>
      </c>
      <c r="D18" s="164">
        <v>100</v>
      </c>
      <c r="E18" s="150">
        <v>88.958999999932729</v>
      </c>
      <c r="F18" s="140">
        <v>0.26794689856842019</v>
      </c>
      <c r="H18" s="150">
        <v>-4.4300000000752915</v>
      </c>
      <c r="I18" s="140">
        <v>-4.7435993533231011</v>
      </c>
      <c r="K18" s="150">
        <v>6.8503931592678278</v>
      </c>
      <c r="L18" s="140">
        <v>7.3353319547990017</v>
      </c>
      <c r="N18" s="150">
        <v>-0.77090578561093448</v>
      </c>
      <c r="O18" s="140">
        <v>-0.82547814583180912</v>
      </c>
      <c r="Q18" s="150">
        <v>-10.509487373732185</v>
      </c>
      <c r="R18" s="140">
        <v>-11.253453162290294</v>
      </c>
      <c r="S18" s="140"/>
      <c r="T18" s="161">
        <v>93.389000000008025</v>
      </c>
      <c r="U18" s="162">
        <v>88.958999999932729</v>
      </c>
      <c r="V18" s="168"/>
      <c r="Y18" s="134"/>
      <c r="Z18" s="150"/>
      <c r="AA18" s="150"/>
      <c r="AB18" s="134"/>
      <c r="AC18" s="150"/>
      <c r="AE18" s="134"/>
      <c r="AF18" s="150"/>
    </row>
    <row r="19" spans="1:32" x14ac:dyDescent="0.2">
      <c r="A19" t="str">
        <f>name!A17</f>
        <v>Basic metals</v>
      </c>
      <c r="B19" s="150">
        <v>27.854999999989587</v>
      </c>
      <c r="C19" s="140">
        <v>9.0054352675504282E-2</v>
      </c>
      <c r="D19" s="164">
        <v>100</v>
      </c>
      <c r="E19" s="150">
        <v>33.922000000006818</v>
      </c>
      <c r="F19" s="140">
        <v>0.1021739755757894</v>
      </c>
      <c r="H19" s="150">
        <v>6.0670000000172291</v>
      </c>
      <c r="I19" s="140">
        <v>21.78064979364386</v>
      </c>
      <c r="K19" s="150">
        <v>2.0432567160084982</v>
      </c>
      <c r="L19" s="140">
        <v>7.3353319547990017</v>
      </c>
      <c r="N19" s="150">
        <v>0.27498394192814857</v>
      </c>
      <c r="O19" s="140">
        <v>0.98719778111021839</v>
      </c>
      <c r="Q19" s="150">
        <v>3.7487593420805823</v>
      </c>
      <c r="R19" s="140">
        <v>13.458120057734638</v>
      </c>
      <c r="S19" s="140"/>
      <c r="T19" s="161">
        <v>27.854999999989587</v>
      </c>
      <c r="U19" s="162">
        <v>33.922000000006818</v>
      </c>
      <c r="V19" s="168"/>
      <c r="Y19" s="134"/>
      <c r="Z19" s="150"/>
      <c r="AA19" s="150"/>
      <c r="AB19" s="134"/>
      <c r="AC19" s="150"/>
      <c r="AE19" s="134"/>
      <c r="AF19" s="150"/>
    </row>
    <row r="20" spans="1:32" x14ac:dyDescent="0.2">
      <c r="A20" t="str">
        <f>name!A18</f>
        <v>Metal products</v>
      </c>
      <c r="B20" s="150">
        <v>171.25499999999897</v>
      </c>
      <c r="C20" s="140">
        <v>0.55366211335304816</v>
      </c>
      <c r="D20" s="164">
        <v>100</v>
      </c>
      <c r="E20" s="150">
        <v>174.72100000005108</v>
      </c>
      <c r="F20" s="140">
        <v>0.52626434722537385</v>
      </c>
      <c r="H20" s="150">
        <v>3.4660000000520959</v>
      </c>
      <c r="I20" s="140">
        <v>2.0238825144095745</v>
      </c>
      <c r="K20" s="150">
        <v>12.562122739190956</v>
      </c>
      <c r="L20" s="140">
        <v>7.3353319547990026</v>
      </c>
      <c r="N20" s="150">
        <v>-0.62163202533603767</v>
      </c>
      <c r="O20" s="140">
        <v>-0.36298620497856493</v>
      </c>
      <c r="Q20" s="150">
        <v>-8.4744907138028225</v>
      </c>
      <c r="R20" s="140">
        <v>-4.9484632354108635</v>
      </c>
      <c r="S20" s="140"/>
      <c r="T20" s="161">
        <v>171.25499999999897</v>
      </c>
      <c r="U20" s="162">
        <v>174.72100000005108</v>
      </c>
      <c r="V20" s="168"/>
      <c r="Y20" s="134"/>
      <c r="Z20" s="150"/>
      <c r="AA20" s="150"/>
      <c r="AB20" s="134"/>
      <c r="AC20" s="150"/>
      <c r="AE20" s="134"/>
      <c r="AF20" s="150"/>
    </row>
    <row r="21" spans="1:32" x14ac:dyDescent="0.2">
      <c r="A21" t="str">
        <f>name!A19</f>
        <v>Computer, etc</v>
      </c>
      <c r="B21" s="150">
        <v>80.063999999999524</v>
      </c>
      <c r="C21" s="140">
        <v>0.25884443340923446</v>
      </c>
      <c r="D21" s="164">
        <v>100</v>
      </c>
      <c r="E21" s="150">
        <v>93.491000000027313</v>
      </c>
      <c r="F21" s="140">
        <v>0.28159740435578678</v>
      </c>
      <c r="H21" s="150">
        <v>13.427000000027794</v>
      </c>
      <c r="I21" s="140">
        <v>16.770333733048403</v>
      </c>
      <c r="K21" s="150">
        <v>5.8729601762902375</v>
      </c>
      <c r="L21" s="140">
        <v>7.3353319547990017</v>
      </c>
      <c r="N21" s="150">
        <v>0.51624557075223443</v>
      </c>
      <c r="O21" s="140">
        <v>0.64479113053586812</v>
      </c>
      <c r="Q21" s="150">
        <v>7.0377942529853215</v>
      </c>
      <c r="R21" s="140">
        <v>8.7902106477135344</v>
      </c>
      <c r="S21" s="140"/>
      <c r="T21" s="161">
        <v>80.063999999999524</v>
      </c>
      <c r="U21" s="162">
        <v>93.491000000027313</v>
      </c>
      <c r="V21" s="168"/>
      <c r="Y21" s="134"/>
      <c r="Z21" s="150"/>
      <c r="AA21" s="150"/>
      <c r="AB21" s="134"/>
      <c r="AC21" s="150"/>
      <c r="AE21" s="134"/>
      <c r="AF21" s="150"/>
    </row>
    <row r="22" spans="1:32" x14ac:dyDescent="0.2">
      <c r="A22" t="str">
        <f>name!A20</f>
        <v>Electrical equipment</v>
      </c>
      <c r="B22" s="150">
        <v>66.058000000045865</v>
      </c>
      <c r="C22" s="140">
        <v>0.21356346900178841</v>
      </c>
      <c r="D22" s="164">
        <v>100</v>
      </c>
      <c r="E22" s="150">
        <v>69.29699999994429</v>
      </c>
      <c r="F22" s="140">
        <v>0.20872442619740475</v>
      </c>
      <c r="H22" s="150">
        <v>3.2389999998984278</v>
      </c>
      <c r="I22" s="140">
        <v>4.9032668259653311</v>
      </c>
      <c r="K22" s="150">
        <v>4.845573582704489</v>
      </c>
      <c r="L22" s="140">
        <v>7.3353319547990017</v>
      </c>
      <c r="N22" s="150">
        <v>-0.10979376804513397</v>
      </c>
      <c r="O22" s="140">
        <v>-0.16620813231562828</v>
      </c>
      <c r="Q22" s="150">
        <v>-1.4967798147609273</v>
      </c>
      <c r="R22" s="140">
        <v>-2.2658569965180417</v>
      </c>
      <c r="S22" s="140"/>
      <c r="T22" s="161">
        <v>66.058000000045865</v>
      </c>
      <c r="U22" s="162">
        <v>69.29699999994429</v>
      </c>
      <c r="V22" s="168"/>
      <c r="Y22" s="134"/>
      <c r="Z22" s="150"/>
      <c r="AA22" s="150"/>
      <c r="AB22" s="134"/>
      <c r="AC22" s="150"/>
      <c r="AE22" s="134"/>
      <c r="AF22" s="150"/>
    </row>
    <row r="23" spans="1:32" x14ac:dyDescent="0.2">
      <c r="A23" t="str">
        <f>name!A21</f>
        <v>Machinery n.e.c.</v>
      </c>
      <c r="B23" s="150">
        <v>320.67900000022286</v>
      </c>
      <c r="C23" s="140">
        <v>1.036745279542592</v>
      </c>
      <c r="D23" s="164">
        <v>100</v>
      </c>
      <c r="E23" s="150">
        <v>294.9469999997628</v>
      </c>
      <c r="F23" s="140">
        <v>0.88838829002187569</v>
      </c>
      <c r="H23" s="150">
        <v>-25.732000000460072</v>
      </c>
      <c r="I23" s="140">
        <v>-8.0242236006854792</v>
      </c>
      <c r="K23" s="150">
        <v>23.522869159346239</v>
      </c>
      <c r="L23" s="140">
        <v>7.3353319547990017</v>
      </c>
      <c r="N23" s="150">
        <v>-3.366093988785714</v>
      </c>
      <c r="O23" s="140">
        <v>-1.0496770879238662</v>
      </c>
      <c r="Q23" s="150">
        <v>-45.888775171020598</v>
      </c>
      <c r="R23" s="140">
        <v>-14.309878467560615</v>
      </c>
      <c r="S23" s="140"/>
      <c r="T23" s="161">
        <v>320.67900000022286</v>
      </c>
      <c r="U23" s="162">
        <v>294.9469999997628</v>
      </c>
      <c r="V23" s="168"/>
      <c r="Y23" s="134"/>
      <c r="Z23" s="150"/>
      <c r="AA23" s="150"/>
      <c r="AB23" s="134"/>
      <c r="AC23" s="150"/>
      <c r="AE23" s="134"/>
      <c r="AF23" s="150"/>
    </row>
    <row r="24" spans="1:32" x14ac:dyDescent="0.2">
      <c r="A24" t="str">
        <f>name!A22</f>
        <v>Motor vehicles, etc</v>
      </c>
      <c r="B24" s="150">
        <v>140.47299999999331</v>
      </c>
      <c r="C24" s="140">
        <v>0.45414486029044115</v>
      </c>
      <c r="D24" s="164">
        <v>100</v>
      </c>
      <c r="E24" s="150">
        <v>162.91900000005276</v>
      </c>
      <c r="F24" s="140">
        <v>0.49071640607375983</v>
      </c>
      <c r="H24" s="150">
        <v>22.44600000005946</v>
      </c>
      <c r="I24" s="140">
        <v>15.97887138457962</v>
      </c>
      <c r="K24" s="150">
        <v>10.304160856864311</v>
      </c>
      <c r="L24" s="140">
        <v>7.3353319547990017</v>
      </c>
      <c r="N24" s="150">
        <v>0.82977728801001405</v>
      </c>
      <c r="O24" s="140">
        <v>0.59070233283980089</v>
      </c>
      <c r="Q24" s="150">
        <v>11.312061855185135</v>
      </c>
      <c r="R24" s="140">
        <v>8.0528370969408165</v>
      </c>
      <c r="S24" s="140"/>
      <c r="T24" s="161">
        <v>140.47299999999331</v>
      </c>
      <c r="U24" s="162">
        <v>162.91900000005276</v>
      </c>
      <c r="V24" s="168"/>
      <c r="Y24" s="134"/>
      <c r="Z24" s="150"/>
      <c r="AA24" s="150"/>
      <c r="AB24" s="134"/>
      <c r="AC24" s="150"/>
      <c r="AE24" s="134"/>
      <c r="AF24" s="150"/>
    </row>
    <row r="25" spans="1:32" x14ac:dyDescent="0.2">
      <c r="A25" t="str">
        <f>name!A23</f>
        <v>Other transport equipment</v>
      </c>
      <c r="B25" s="150">
        <v>67.744000000034035</v>
      </c>
      <c r="C25" s="140">
        <v>0.21901425480720543</v>
      </c>
      <c r="D25" s="164">
        <v>100</v>
      </c>
      <c r="E25" s="150">
        <v>77.434000000005142</v>
      </c>
      <c r="F25" s="140">
        <v>0.23323328886075737</v>
      </c>
      <c r="H25" s="150">
        <v>9.6899999999711</v>
      </c>
      <c r="I25" s="140">
        <v>14.303849787385202</v>
      </c>
      <c r="K25" s="150">
        <v>4.9692472794615323</v>
      </c>
      <c r="L25" s="140">
        <v>7.3353319547990017</v>
      </c>
      <c r="N25" s="150">
        <v>0.32261779649633304</v>
      </c>
      <c r="O25" s="140">
        <v>0.4762308049364829</v>
      </c>
      <c r="Q25" s="150">
        <v>4.3981349240132346</v>
      </c>
      <c r="R25" s="140">
        <v>6.4922870276497182</v>
      </c>
      <c r="S25" s="140"/>
      <c r="T25" s="161">
        <v>67.744000000034035</v>
      </c>
      <c r="U25" s="162">
        <v>77.434000000005142</v>
      </c>
      <c r="V25" s="168"/>
      <c r="Y25" s="134"/>
      <c r="Z25" s="150"/>
      <c r="AA25" s="150"/>
      <c r="AB25" s="134"/>
      <c r="AC25" s="150"/>
      <c r="AE25" s="134"/>
      <c r="AF25" s="150"/>
    </row>
    <row r="26" spans="1:32" x14ac:dyDescent="0.2">
      <c r="A26" t="str">
        <f>name!A24</f>
        <v>Furniture</v>
      </c>
      <c r="B26" s="150">
        <v>182.40299999999939</v>
      </c>
      <c r="C26" s="140">
        <v>0.58970325223751896</v>
      </c>
      <c r="D26" s="164">
        <v>100</v>
      </c>
      <c r="E26" s="150">
        <v>185.13999999993501</v>
      </c>
      <c r="F26" s="140">
        <v>0.55764665521169765</v>
      </c>
      <c r="H26" s="150">
        <v>2.7369999999356223</v>
      </c>
      <c r="I26" s="140">
        <v>1.5005235659148322</v>
      </c>
      <c r="K26" s="150">
        <v>13.379865545511977</v>
      </c>
      <c r="L26" s="140">
        <v>7.3353319547990017</v>
      </c>
      <c r="N26" s="150">
        <v>-0.727336938408782</v>
      </c>
      <c r="O26" s="140">
        <v>-0.39875272797529882</v>
      </c>
      <c r="Q26" s="150">
        <v>-9.9155286071675732</v>
      </c>
      <c r="R26" s="140">
        <v>-5.4360556609088704</v>
      </c>
      <c r="S26" s="140"/>
      <c r="T26" s="161">
        <v>182.40299999999939</v>
      </c>
      <c r="U26" s="162">
        <v>185.13999999993501</v>
      </c>
      <c r="V26" s="168"/>
      <c r="Y26" s="134"/>
      <c r="Z26" s="150"/>
      <c r="AA26" s="150"/>
      <c r="AB26" s="134"/>
      <c r="AC26" s="150"/>
      <c r="AE26" s="134"/>
      <c r="AF26" s="150"/>
    </row>
    <row r="27" spans="1:32" x14ac:dyDescent="0.2">
      <c r="A27" t="str">
        <f>name!A25</f>
        <v>Other manufacturing</v>
      </c>
      <c r="B27" s="150">
        <v>90.135000000064551</v>
      </c>
      <c r="C27" s="140">
        <v>0.29140366463526929</v>
      </c>
      <c r="D27" s="164">
        <v>100</v>
      </c>
      <c r="E27" s="150">
        <v>65.68600000003066</v>
      </c>
      <c r="F27" s="140">
        <v>0.19784799716034099</v>
      </c>
      <c r="H27" s="150">
        <v>-24.449000000033891</v>
      </c>
      <c r="I27" s="140">
        <v>-27.124868253193966</v>
      </c>
      <c r="K27" s="150">
        <v>6.6117014574628152</v>
      </c>
      <c r="L27" s="140">
        <v>7.3353319547990017</v>
      </c>
      <c r="N27" s="150">
        <v>-2.1226985726898846</v>
      </c>
      <c r="O27" s="140">
        <v>-2.3550214374974918</v>
      </c>
      <c r="Q27" s="150">
        <v>-28.938002884806821</v>
      </c>
      <c r="R27" s="140">
        <v>-32.105178770495471</v>
      </c>
      <c r="S27" s="140"/>
      <c r="T27" s="161">
        <v>90.135000000064551</v>
      </c>
      <c r="U27" s="162">
        <v>65.68600000003066</v>
      </c>
      <c r="V27" s="168"/>
      <c r="Y27" s="134"/>
      <c r="Z27" s="150"/>
      <c r="AA27" s="150"/>
      <c r="AB27" s="134"/>
      <c r="AC27" s="150"/>
      <c r="AE27" s="134"/>
      <c r="AF27" s="150"/>
    </row>
    <row r="28" spans="1:32" x14ac:dyDescent="0.2">
      <c r="A28" t="str">
        <f>name!A26</f>
        <v>Repair and installation</v>
      </c>
      <c r="B28" s="150">
        <v>65.316000000028879</v>
      </c>
      <c r="C28" s="140">
        <v>0.2111646059722864</v>
      </c>
      <c r="D28" s="164">
        <v>100</v>
      </c>
      <c r="E28" s="150">
        <v>58.65599999997378</v>
      </c>
      <c r="F28" s="140">
        <v>0.17667344824508047</v>
      </c>
      <c r="H28" s="150">
        <v>-6.6600000000551081</v>
      </c>
      <c r="I28" s="140">
        <v>-10.196582766936375</v>
      </c>
      <c r="K28" s="150">
        <v>4.7911454195986343</v>
      </c>
      <c r="L28" s="140">
        <v>7.3353319547990017</v>
      </c>
      <c r="N28" s="150">
        <v>-0.78257505134664118</v>
      </c>
      <c r="O28" s="140">
        <v>-1.1981368291786012</v>
      </c>
      <c r="Q28" s="150">
        <v>-10.668570368307101</v>
      </c>
      <c r="R28" s="140">
        <v>-16.333777892556778</v>
      </c>
      <c r="S28" s="140"/>
      <c r="T28" s="161">
        <v>65.316000000028879</v>
      </c>
      <c r="U28" s="162">
        <v>58.65599999997378</v>
      </c>
      <c r="V28" s="168"/>
      <c r="Y28" s="134"/>
      <c r="Z28" s="150"/>
      <c r="AA28" s="150"/>
      <c r="AB28" s="134"/>
      <c r="AC28" s="150"/>
      <c r="AE28" s="134"/>
      <c r="AF28" s="150"/>
    </row>
    <row r="29" spans="1:32" x14ac:dyDescent="0.2">
      <c r="A29" t="str">
        <f>name!A27</f>
        <v>Electricity, gas, etc</v>
      </c>
      <c r="B29" s="150">
        <v>217.60999999992853</v>
      </c>
      <c r="C29" s="140">
        <v>0.70352639331241695</v>
      </c>
      <c r="D29" s="164">
        <v>100</v>
      </c>
      <c r="E29" s="150">
        <v>203.759000000095</v>
      </c>
      <c r="F29" s="140">
        <v>0.61372758355500256</v>
      </c>
      <c r="H29" s="150">
        <v>-13.850999999833526</v>
      </c>
      <c r="I29" s="140">
        <v>-6.3650567528321655</v>
      </c>
      <c r="K29" s="150">
        <v>15.962415866832863</v>
      </c>
      <c r="L29" s="140">
        <v>7.3353319547990017</v>
      </c>
      <c r="N29" s="150">
        <v>-2.03745866440849</v>
      </c>
      <c r="O29" s="140">
        <v>-0.93628907881492551</v>
      </c>
      <c r="Q29" s="150">
        <v>-27.775957202257899</v>
      </c>
      <c r="R29" s="140">
        <v>-12.764099628816242</v>
      </c>
      <c r="S29" s="140"/>
      <c r="T29" s="161">
        <v>217.60999999992853</v>
      </c>
      <c r="U29" s="162">
        <v>203.759000000095</v>
      </c>
      <c r="V29" s="168"/>
      <c r="W29" s="139"/>
      <c r="Y29" s="134"/>
      <c r="Z29" s="150"/>
      <c r="AA29" s="150"/>
      <c r="AB29" s="134"/>
      <c r="AC29" s="150"/>
      <c r="AE29" s="134"/>
      <c r="AF29" s="150"/>
    </row>
    <row r="30" spans="1:32" x14ac:dyDescent="0.2">
      <c r="A30" t="str">
        <f>name!A28</f>
        <v>Water</v>
      </c>
      <c r="B30" s="150">
        <v>76.56499999997483</v>
      </c>
      <c r="C30" s="140">
        <v>0.24753227472986161</v>
      </c>
      <c r="D30" s="164">
        <v>100</v>
      </c>
      <c r="E30" s="150">
        <v>91.782000000042814</v>
      </c>
      <c r="F30" s="140">
        <v>0.27644985043038717</v>
      </c>
      <c r="H30" s="150">
        <v>15.217000000067987</v>
      </c>
      <c r="I30" s="140">
        <v>19.874616339153647</v>
      </c>
      <c r="K30" s="150">
        <v>5.616296911190009</v>
      </c>
      <c r="L30" s="140">
        <v>7.3353319547990017</v>
      </c>
      <c r="N30" s="150">
        <v>0.65611521270592732</v>
      </c>
      <c r="O30" s="140">
        <v>0.85693882675653765</v>
      </c>
      <c r="Q30" s="150">
        <v>8.9445878761720508</v>
      </c>
      <c r="R30" s="140">
        <v>11.682345557598108</v>
      </c>
      <c r="S30" s="140"/>
      <c r="T30" s="161">
        <v>76.56499999997483</v>
      </c>
      <c r="U30" s="162">
        <v>91.782000000042814</v>
      </c>
      <c r="V30" s="168"/>
      <c r="Y30" s="134"/>
      <c r="Z30" s="150"/>
      <c r="AA30" s="150"/>
      <c r="AB30" s="134"/>
      <c r="AC30" s="150"/>
      <c r="AE30" s="134"/>
      <c r="AF30" s="150"/>
    </row>
    <row r="31" spans="1:32" x14ac:dyDescent="0.2">
      <c r="A31" t="str">
        <f>name!A29</f>
        <v>Sewerage</v>
      </c>
      <c r="B31" s="150">
        <v>82.465999999925302</v>
      </c>
      <c r="C31" s="140">
        <v>0.266610025048795</v>
      </c>
      <c r="D31" s="164">
        <v>100</v>
      </c>
      <c r="E31" s="150">
        <v>87.377999999966974</v>
      </c>
      <c r="F31" s="140">
        <v>0.26318488408278279</v>
      </c>
      <c r="H31" s="150">
        <v>4.9120000000416617</v>
      </c>
      <c r="I31" s="140">
        <v>5.9563941503724092</v>
      </c>
      <c r="K31" s="150">
        <v>6.0491548498390655</v>
      </c>
      <c r="L31" s="140">
        <v>7.3353319547990017</v>
      </c>
      <c r="N31" s="150">
        <v>-7.7713537149029399E-2</v>
      </c>
      <c r="O31" s="140">
        <v>-9.4237063940411564E-2</v>
      </c>
      <c r="Q31" s="150">
        <v>-1.0594413126483744</v>
      </c>
      <c r="R31" s="140">
        <v>-1.284700740486181</v>
      </c>
      <c r="S31" s="140"/>
      <c r="T31" s="161">
        <v>82.465999999925302</v>
      </c>
      <c r="U31" s="162">
        <v>87.377999999966974</v>
      </c>
      <c r="V31" s="168"/>
      <c r="Y31" s="134"/>
      <c r="Z31" s="150"/>
      <c r="AA31" s="150"/>
      <c r="AB31" s="134"/>
      <c r="AC31" s="150"/>
      <c r="AE31" s="134"/>
      <c r="AF31" s="150"/>
    </row>
    <row r="32" spans="1:32" x14ac:dyDescent="0.2">
      <c r="A32" t="str">
        <f>name!A30</f>
        <v>Waste management</v>
      </c>
      <c r="B32" s="150">
        <v>32.932999999964288</v>
      </c>
      <c r="C32" s="140">
        <v>0.10647136947263597</v>
      </c>
      <c r="D32" s="164">
        <v>100</v>
      </c>
      <c r="E32" s="150">
        <v>34.895000000015962</v>
      </c>
      <c r="F32" s="140">
        <v>0.10510467772295519</v>
      </c>
      <c r="H32" s="150">
        <v>1.9620000000516737</v>
      </c>
      <c r="I32" s="140">
        <v>5.957550177796743</v>
      </c>
      <c r="K32" s="150">
        <v>2.4157448726713358</v>
      </c>
      <c r="L32" s="140">
        <v>7.3353319547990017</v>
      </c>
      <c r="N32" s="150">
        <v>-3.1009074112286816E-2</v>
      </c>
      <c r="O32" s="140">
        <v>-9.4158060645311514E-2</v>
      </c>
      <c r="Q32" s="150">
        <v>-0.42273579850737519</v>
      </c>
      <c r="R32" s="140">
        <v>-1.2836237163569477</v>
      </c>
      <c r="S32" s="140"/>
      <c r="T32" s="161">
        <v>32.932999999964288</v>
      </c>
      <c r="U32" s="162">
        <v>34.895000000015962</v>
      </c>
      <c r="V32" s="168"/>
      <c r="Y32" s="134"/>
      <c r="Z32" s="150"/>
      <c r="AA32" s="150"/>
      <c r="AB32" s="134"/>
      <c r="AC32" s="150"/>
      <c r="AE32" s="134"/>
      <c r="AF32" s="150"/>
    </row>
    <row r="33" spans="1:32" x14ac:dyDescent="0.2">
      <c r="A33" t="str">
        <f>name!A31</f>
        <v>Construction</v>
      </c>
      <c r="B33" s="150">
        <v>35.430000000000284</v>
      </c>
      <c r="C33" s="140">
        <v>0.11454409317157906</v>
      </c>
      <c r="D33" s="164">
        <v>100</v>
      </c>
      <c r="E33" s="150">
        <v>35.217999999995349</v>
      </c>
      <c r="F33" s="140">
        <v>0.10607756240277558</v>
      </c>
      <c r="H33" s="150">
        <v>-0.2120000000049331</v>
      </c>
      <c r="I33" s="140">
        <v>-0.59836296924903021</v>
      </c>
      <c r="K33" s="150">
        <v>2.598908111585307</v>
      </c>
      <c r="L33" s="140">
        <v>7.3353319547990017</v>
      </c>
      <c r="N33" s="150">
        <v>-0.19209838659309805</v>
      </c>
      <c r="O33" s="140">
        <v>-0.54219132541094139</v>
      </c>
      <c r="Q33" s="150">
        <v>-2.618809724997142</v>
      </c>
      <c r="R33" s="140">
        <v>-7.3915035986370903</v>
      </c>
      <c r="S33" s="140"/>
      <c r="T33" s="161">
        <v>35.430000000000284</v>
      </c>
      <c r="U33" s="162">
        <v>35.217999999995349</v>
      </c>
      <c r="V33" s="168"/>
      <c r="Y33" s="134"/>
      <c r="Z33" s="150"/>
      <c r="AA33" s="150"/>
      <c r="AB33" s="134"/>
      <c r="AC33" s="150"/>
      <c r="AE33" s="134"/>
      <c r="AF33" s="150"/>
    </row>
    <row r="34" spans="1:32" x14ac:dyDescent="0.2">
      <c r="A34" t="str">
        <f>name!A32</f>
        <v>Civil engineering</v>
      </c>
      <c r="B34" s="150">
        <v>145.50300000000124</v>
      </c>
      <c r="C34" s="140">
        <v>0.47040669457364592</v>
      </c>
      <c r="D34" s="164">
        <v>100</v>
      </c>
      <c r="E34" s="150">
        <v>144.62799999998086</v>
      </c>
      <c r="F34" s="140">
        <v>0.43562342254496622</v>
      </c>
      <c r="H34" s="150">
        <v>-0.8750000000203727</v>
      </c>
      <c r="I34" s="140">
        <v>-0.60136217124070657</v>
      </c>
      <c r="K34" s="150">
        <v>10.673128054191281</v>
      </c>
      <c r="L34" s="140">
        <v>7.3353319547990017</v>
      </c>
      <c r="N34" s="150">
        <v>-0.78920287654993049</v>
      </c>
      <c r="O34" s="140">
        <v>-0.54239629186334559</v>
      </c>
      <c r="Q34" s="150">
        <v>-10.758925177661723</v>
      </c>
      <c r="R34" s="140">
        <v>-7.3942978341763625</v>
      </c>
      <c r="S34" s="140"/>
      <c r="T34" s="161">
        <v>145.50300000000124</v>
      </c>
      <c r="U34" s="162">
        <v>144.62799999998086</v>
      </c>
      <c r="V34" s="168"/>
      <c r="Y34" s="134"/>
      <c r="Z34" s="150"/>
      <c r="AA34" s="150"/>
      <c r="AB34" s="134"/>
      <c r="AC34" s="150"/>
      <c r="AE34" s="134"/>
      <c r="AF34" s="150"/>
    </row>
    <row r="35" spans="1:32" x14ac:dyDescent="0.2">
      <c r="A35" t="str">
        <f>name!A33</f>
        <v>Specialised construction</v>
      </c>
      <c r="B35" s="150">
        <v>1697.6410000011963</v>
      </c>
      <c r="C35" s="140">
        <v>5.4884207980815161</v>
      </c>
      <c r="D35" s="164">
        <v>100</v>
      </c>
      <c r="E35" s="150">
        <v>1865.8430000002486</v>
      </c>
      <c r="F35" s="140">
        <v>5.619969256242106</v>
      </c>
      <c r="H35" s="150">
        <v>168.20199999905239</v>
      </c>
      <c r="I35" s="140">
        <v>9.9079840790210572</v>
      </c>
      <c r="K35" s="150">
        <v>124.52760275085707</v>
      </c>
      <c r="L35" s="140">
        <v>7.3353319547990017</v>
      </c>
      <c r="N35" s="150">
        <v>2.9847226994760661</v>
      </c>
      <c r="O35" s="140">
        <v>0.17581589390654223</v>
      </c>
      <c r="Q35" s="150">
        <v>40.689674548719267</v>
      </c>
      <c r="R35" s="140">
        <v>2.3968362303155142</v>
      </c>
      <c r="S35" s="140"/>
      <c r="T35" s="161">
        <v>1697.6410000011963</v>
      </c>
      <c r="U35" s="162">
        <v>1865.8430000002486</v>
      </c>
      <c r="V35" s="168"/>
      <c r="Y35" s="134"/>
      <c r="Z35" s="150"/>
      <c r="AA35" s="150"/>
      <c r="AB35" s="134"/>
      <c r="AC35" s="150"/>
      <c r="AE35" s="134"/>
      <c r="AF35" s="150"/>
    </row>
    <row r="36" spans="1:32" x14ac:dyDescent="0.2">
      <c r="A36" t="str">
        <f>name!A34</f>
        <v>Motor vehicle trade</v>
      </c>
      <c r="B36" s="150">
        <v>569.9599999994731</v>
      </c>
      <c r="C36" s="140">
        <v>1.842663035394082</v>
      </c>
      <c r="D36" s="164">
        <v>100</v>
      </c>
      <c r="E36" s="150">
        <v>641.79699999991612</v>
      </c>
      <c r="F36" s="140">
        <v>1.9331098108187363</v>
      </c>
      <c r="H36" s="150">
        <v>71.837000000443084</v>
      </c>
      <c r="I36" s="140">
        <v>12.603866938120129</v>
      </c>
      <c r="K36" s="150">
        <v>41.808458009533737</v>
      </c>
      <c r="L36" s="140">
        <v>7.3353319547990017</v>
      </c>
      <c r="N36" s="150">
        <v>2.0521604546274403</v>
      </c>
      <c r="O36" s="140">
        <v>0.36005341684141651</v>
      </c>
      <c r="Q36" s="150">
        <v>27.976381536281906</v>
      </c>
      <c r="R36" s="140">
        <v>4.9084815664797121</v>
      </c>
      <c r="S36" s="140"/>
      <c r="T36" s="161">
        <v>569.9599999994731</v>
      </c>
      <c r="U36" s="162">
        <v>641.79699999991612</v>
      </c>
      <c r="V36" s="168"/>
      <c r="Y36" s="134"/>
      <c r="Z36" s="150"/>
      <c r="AA36" s="150"/>
      <c r="AB36" s="134"/>
      <c r="AC36" s="150"/>
      <c r="AE36" s="134"/>
      <c r="AF36" s="150"/>
    </row>
    <row r="37" spans="1:32" x14ac:dyDescent="0.2">
      <c r="A37" t="str">
        <f>name!A35</f>
        <v>Wholesale trade</v>
      </c>
      <c r="B37" s="150">
        <v>1164.0059999989242</v>
      </c>
      <c r="C37" s="140">
        <v>3.7631953631428945</v>
      </c>
      <c r="D37" s="164">
        <v>100</v>
      </c>
      <c r="E37" s="150">
        <v>1232.8599999998389</v>
      </c>
      <c r="F37" s="140">
        <v>3.7134074502778711</v>
      </c>
      <c r="H37" s="150">
        <v>68.854000000914795</v>
      </c>
      <c r="I37" s="140">
        <v>5.9152616052647868</v>
      </c>
      <c r="K37" s="150">
        <v>85.383704073698738</v>
      </c>
      <c r="L37" s="140">
        <v>7.3353319547989999</v>
      </c>
      <c r="N37" s="150">
        <v>-1.1296454231819553</v>
      </c>
      <c r="O37" s="140">
        <v>-9.7048075627015618E-2</v>
      </c>
      <c r="Q37" s="150">
        <v>-15.400058649601988</v>
      </c>
      <c r="R37" s="140">
        <v>-1.3230222739071982</v>
      </c>
      <c r="S37" s="140"/>
      <c r="T37" s="161">
        <v>1164.0059999989242</v>
      </c>
      <c r="U37" s="162">
        <v>1232.8599999998389</v>
      </c>
      <c r="V37" s="168"/>
      <c r="Y37" s="134"/>
      <c r="Z37" s="150"/>
      <c r="AA37" s="150"/>
      <c r="AB37" s="134"/>
      <c r="AC37" s="150"/>
      <c r="AE37" s="134"/>
      <c r="AF37" s="150"/>
    </row>
    <row r="38" spans="1:32" x14ac:dyDescent="0.2">
      <c r="A38" t="str">
        <f>name!A36</f>
        <v>Retail trade</v>
      </c>
      <c r="B38" s="150">
        <v>3028.8189999972019</v>
      </c>
      <c r="C38" s="140">
        <v>9.7920780619679828</v>
      </c>
      <c r="D38" s="164">
        <v>100</v>
      </c>
      <c r="E38" s="150">
        <v>3261.3079999995739</v>
      </c>
      <c r="F38" s="140">
        <v>9.8231473361540029</v>
      </c>
      <c r="H38" s="150">
        <v>232.48900000237208</v>
      </c>
      <c r="I38" s="140">
        <v>7.675896116690593</v>
      </c>
      <c r="K38" s="150">
        <v>222.17392795981831</v>
      </c>
      <c r="L38" s="140">
        <v>7.3353319547990017</v>
      </c>
      <c r="N38" s="150">
        <v>0.70493542239819362</v>
      </c>
      <c r="O38" s="140">
        <v>2.3274267045962298E-2</v>
      </c>
      <c r="Q38" s="150">
        <v>9.610136620155572</v>
      </c>
      <c r="R38" s="140">
        <v>0.31728989484562958</v>
      </c>
      <c r="S38" s="140"/>
      <c r="T38" s="161">
        <v>3028.8189999972019</v>
      </c>
      <c r="U38" s="162">
        <v>3261.3079999995739</v>
      </c>
      <c r="V38" s="168"/>
      <c r="Y38" s="134"/>
      <c r="Z38" s="150"/>
      <c r="AA38" s="150"/>
      <c r="AB38" s="134"/>
      <c r="AC38" s="150"/>
      <c r="AE38" s="134"/>
      <c r="AF38" s="150"/>
    </row>
    <row r="39" spans="1:32" x14ac:dyDescent="0.2">
      <c r="A39" t="str">
        <f>name!A37</f>
        <v>Land transport, etc</v>
      </c>
      <c r="B39" s="150">
        <v>716.96500000073365</v>
      </c>
      <c r="C39" s="140">
        <v>2.3179256494734561</v>
      </c>
      <c r="D39" s="164">
        <v>100</v>
      </c>
      <c r="E39" s="150">
        <v>704.04699999997217</v>
      </c>
      <c r="F39" s="140">
        <v>2.1206084836445522</v>
      </c>
      <c r="H39" s="150">
        <v>-12.918000000761472</v>
      </c>
      <c r="I39" s="140">
        <v>-1.8017615923717691</v>
      </c>
      <c r="K39" s="150">
        <v>52.591762749778475</v>
      </c>
      <c r="L39" s="140">
        <v>7.3353319547990017</v>
      </c>
      <c r="N39" s="150">
        <v>-4.476958773069212</v>
      </c>
      <c r="O39" s="140">
        <v>-0.62443198385759846</v>
      </c>
      <c r="Q39" s="150">
        <v>-61.032803977470735</v>
      </c>
      <c r="R39" s="140">
        <v>-8.5126615633131717</v>
      </c>
      <c r="S39" s="140"/>
      <c r="T39" s="161">
        <v>716.96500000073365</v>
      </c>
      <c r="U39" s="162">
        <v>704.04699999997217</v>
      </c>
      <c r="V39" s="168"/>
      <c r="Y39" s="134"/>
      <c r="Z39" s="150"/>
      <c r="AA39" s="150"/>
      <c r="AB39" s="134"/>
      <c r="AC39" s="150"/>
      <c r="AE39" s="134"/>
      <c r="AF39" s="150"/>
    </row>
    <row r="40" spans="1:32" x14ac:dyDescent="0.2">
      <c r="A40" t="str">
        <f>name!A38</f>
        <v>Water transport</v>
      </c>
      <c r="B40" s="150">
        <v>18.247000000011084</v>
      </c>
      <c r="C40" s="140">
        <v>5.8991986116371888E-2</v>
      </c>
      <c r="D40" s="164">
        <v>100</v>
      </c>
      <c r="E40" s="150">
        <v>17.84799999999214</v>
      </c>
      <c r="F40" s="140">
        <v>5.3758655623946702E-2</v>
      </c>
      <c r="H40" s="150">
        <v>-0.39900000001894298</v>
      </c>
      <c r="I40" s="140">
        <v>-2.1866608210593554</v>
      </c>
      <c r="K40" s="150">
        <v>1.338478021792987</v>
      </c>
      <c r="L40" s="140">
        <v>7.3353319547990026</v>
      </c>
      <c r="N40" s="150">
        <v>-0.11873982054226906</v>
      </c>
      <c r="O40" s="140">
        <v>-0.65073612397762337</v>
      </c>
      <c r="Q40" s="150">
        <v>-1.6187382012696609</v>
      </c>
      <c r="R40" s="140">
        <v>-8.871256651880735</v>
      </c>
      <c r="S40" s="140"/>
      <c r="T40" s="161">
        <v>18.247000000011084</v>
      </c>
      <c r="U40" s="162">
        <v>17.84799999999214</v>
      </c>
      <c r="V40" s="168"/>
      <c r="Y40" s="134"/>
      <c r="Z40" s="150"/>
      <c r="AA40" s="150"/>
      <c r="AB40" s="134"/>
      <c r="AC40" s="150"/>
      <c r="AE40" s="134"/>
      <c r="AF40" s="150"/>
    </row>
    <row r="41" spans="1:32" x14ac:dyDescent="0.2">
      <c r="A41" t="str">
        <f>name!A39</f>
        <v>Air transport</v>
      </c>
      <c r="B41" s="150">
        <v>83.957000000060233</v>
      </c>
      <c r="C41" s="140">
        <v>0.2714303818914221</v>
      </c>
      <c r="D41" s="164">
        <v>100</v>
      </c>
      <c r="E41" s="150">
        <v>115.2650000001187</v>
      </c>
      <c r="F41" s="140">
        <v>0.34718127748225713</v>
      </c>
      <c r="H41" s="150">
        <v>31.30800000005847</v>
      </c>
      <c r="I41" s="140">
        <v>37.290517765089284</v>
      </c>
      <c r="K41" s="150">
        <v>6.1585246492950159</v>
      </c>
      <c r="L41" s="140">
        <v>7.3353319547990017</v>
      </c>
      <c r="N41" s="150">
        <v>1.7187234326956968</v>
      </c>
      <c r="O41" s="140">
        <v>2.0471472690716244</v>
      </c>
      <c r="Q41" s="150">
        <v>23.430751918067756</v>
      </c>
      <c r="R41" s="140">
        <v>27.908038541218655</v>
      </c>
      <c r="S41" s="140"/>
      <c r="T41" s="161">
        <v>83.957000000060233</v>
      </c>
      <c r="U41" s="162">
        <v>115.2650000001187</v>
      </c>
      <c r="V41" s="168"/>
      <c r="Y41" s="134"/>
      <c r="Z41" s="150"/>
      <c r="AA41" s="150"/>
      <c r="AB41" s="134"/>
      <c r="AC41" s="150"/>
      <c r="AE41" s="134"/>
      <c r="AF41" s="150"/>
    </row>
    <row r="42" spans="1:32" x14ac:dyDescent="0.2">
      <c r="A42" t="str">
        <f>name!A40</f>
        <v>Warehousing, etc</v>
      </c>
      <c r="B42" s="150">
        <v>340.75900000006266</v>
      </c>
      <c r="C42" s="140">
        <v>1.1016632979130954</v>
      </c>
      <c r="D42" s="164">
        <v>100</v>
      </c>
      <c r="E42" s="150">
        <v>336.28300000019055</v>
      </c>
      <c r="F42" s="140">
        <v>1.0128934328331394</v>
      </c>
      <c r="H42" s="150">
        <v>-4.4759999998720597</v>
      </c>
      <c r="I42" s="140">
        <v>-1.3135383070942328</v>
      </c>
      <c r="K42" s="150">
        <v>24.995803815858125</v>
      </c>
      <c r="L42" s="140">
        <v>7.3353319547990017</v>
      </c>
      <c r="N42" s="150">
        <v>-2.01411278427996</v>
      </c>
      <c r="O42" s="140">
        <v>-0.59106664366299633</v>
      </c>
      <c r="Q42" s="150">
        <v>-27.457691031450224</v>
      </c>
      <c r="R42" s="140">
        <v>-8.0578036182302366</v>
      </c>
      <c r="S42" s="140"/>
      <c r="T42" s="161">
        <v>340.75900000006266</v>
      </c>
      <c r="U42" s="162">
        <v>336.28300000019055</v>
      </c>
      <c r="V42" s="168"/>
      <c r="Y42" s="134"/>
      <c r="Z42" s="150"/>
      <c r="AA42" s="150"/>
      <c r="AB42" s="134"/>
      <c r="AC42" s="150"/>
      <c r="AE42" s="134"/>
      <c r="AF42" s="150"/>
    </row>
    <row r="43" spans="1:32" x14ac:dyDescent="0.2">
      <c r="A43" t="str">
        <f>name!A41</f>
        <v>Postal and courier</v>
      </c>
      <c r="B43" s="150">
        <v>325.27900000005985</v>
      </c>
      <c r="C43" s="140">
        <v>1.0516169371370201</v>
      </c>
      <c r="D43" s="164">
        <v>100</v>
      </c>
      <c r="E43" s="150">
        <v>535.52800000030322</v>
      </c>
      <c r="F43" s="140">
        <v>1.6130247270848221</v>
      </c>
      <c r="H43" s="150">
        <v>210.24900000024343</v>
      </c>
      <c r="I43" s="140">
        <v>64.63651204049593</v>
      </c>
      <c r="K43" s="150">
        <v>23.860294429255035</v>
      </c>
      <c r="L43" s="140">
        <v>7.3353319547990017</v>
      </c>
      <c r="N43" s="150">
        <v>12.737865557301006</v>
      </c>
      <c r="O43" s="140">
        <v>3.9159815288717268</v>
      </c>
      <c r="Q43" s="150">
        <v>173.6508400136874</v>
      </c>
      <c r="R43" s="140">
        <v>53.385198556825195</v>
      </c>
      <c r="S43" s="140"/>
      <c r="T43" s="161">
        <v>325.27900000005985</v>
      </c>
      <c r="U43" s="162">
        <v>535.52800000030322</v>
      </c>
      <c r="V43" s="168"/>
      <c r="Y43" s="134"/>
      <c r="Z43" s="150"/>
      <c r="AA43" s="150"/>
      <c r="AB43" s="134"/>
      <c r="AC43" s="150"/>
      <c r="AE43" s="134"/>
      <c r="AF43" s="150"/>
    </row>
    <row r="44" spans="1:32" x14ac:dyDescent="0.2">
      <c r="A44" t="str">
        <f>name!A42</f>
        <v>Accommodation</v>
      </c>
      <c r="B44" s="150">
        <v>2144.1589999988464</v>
      </c>
      <c r="C44" s="140">
        <v>6.9319996689400423</v>
      </c>
      <c r="D44" s="164">
        <v>100</v>
      </c>
      <c r="E44" s="150">
        <v>2258.3650000006869</v>
      </c>
      <c r="F44" s="140">
        <v>6.8022560683698323</v>
      </c>
      <c r="H44" s="150">
        <v>114.20600000184029</v>
      </c>
      <c r="I44" s="140">
        <v>5.3263773816168358</v>
      </c>
      <c r="K44" s="150">
        <v>157.28118028861411</v>
      </c>
      <c r="L44" s="140">
        <v>7.3353319547990017</v>
      </c>
      <c r="N44" s="150">
        <v>-2.9437720148788173</v>
      </c>
      <c r="O44" s="140">
        <v>-0.13729261751952168</v>
      </c>
      <c r="Q44" s="150">
        <v>-40.131408271894998</v>
      </c>
      <c r="R44" s="140">
        <v>-1.8716619556626439</v>
      </c>
      <c r="S44" s="140"/>
      <c r="T44" s="161">
        <v>2144.1589999988464</v>
      </c>
      <c r="U44" s="162">
        <v>2258.3650000006869</v>
      </c>
      <c r="V44" s="168"/>
      <c r="Y44" s="134"/>
      <c r="Z44" s="150"/>
      <c r="AA44" s="150"/>
      <c r="AB44" s="134"/>
      <c r="AC44" s="150"/>
      <c r="AE44" s="134"/>
      <c r="AF44" s="150"/>
    </row>
    <row r="45" spans="1:32" x14ac:dyDescent="0.2">
      <c r="A45" t="str">
        <f>name!A43</f>
        <v>Food and beverage services</v>
      </c>
      <c r="B45" s="150">
        <v>197.47100000001379</v>
      </c>
      <c r="C45" s="140">
        <v>0.63841762976817074</v>
      </c>
      <c r="D45" s="164">
        <v>100</v>
      </c>
      <c r="E45" s="150">
        <v>286.78200000015835</v>
      </c>
      <c r="F45" s="140">
        <v>0.86379509060746196</v>
      </c>
      <c r="H45" s="150">
        <v>89.311000000144531</v>
      </c>
      <c r="I45" s="140">
        <v>45.227400479127716</v>
      </c>
      <c r="K45" s="150">
        <v>14.485153364462148</v>
      </c>
      <c r="L45" s="140">
        <v>7.3353319547990017</v>
      </c>
      <c r="N45" s="150">
        <v>5.1136230156045031</v>
      </c>
      <c r="O45" s="140">
        <v>2.5895564491009546</v>
      </c>
      <c r="Q45" s="150">
        <v>69.712223620077879</v>
      </c>
      <c r="R45" s="140">
        <v>35.30251207522776</v>
      </c>
      <c r="S45" s="140"/>
      <c r="T45" s="161">
        <v>197.47100000001379</v>
      </c>
      <c r="U45" s="162">
        <v>286.78200000015835</v>
      </c>
      <c r="V45" s="168"/>
      <c r="Y45" s="134"/>
      <c r="Z45" s="150"/>
      <c r="AA45" s="150"/>
      <c r="AB45" s="134"/>
      <c r="AC45" s="150"/>
      <c r="AE45" s="134"/>
      <c r="AF45" s="150"/>
    </row>
    <row r="46" spans="1:32" x14ac:dyDescent="0.2">
      <c r="A46" t="str">
        <f>name!A44</f>
        <v>Publishing activities</v>
      </c>
      <c r="B46" s="150">
        <v>187.13600000001301</v>
      </c>
      <c r="C46" s="140">
        <v>0.60500489471515484</v>
      </c>
      <c r="D46" s="164">
        <v>100</v>
      </c>
      <c r="E46" s="150">
        <v>179.50800000009909</v>
      </c>
      <c r="F46" s="140">
        <v>0.54068291986513894</v>
      </c>
      <c r="H46" s="150">
        <v>-7.6279999999139108</v>
      </c>
      <c r="I46" s="140">
        <v>-4.076179890514589</v>
      </c>
      <c r="K46" s="150">
        <v>13.727046806933613</v>
      </c>
      <c r="L46" s="140">
        <v>7.3353319547990017</v>
      </c>
      <c r="N46" s="150">
        <v>-1.4594109356690108</v>
      </c>
      <c r="O46" s="140">
        <v>-0.77986647981623491</v>
      </c>
      <c r="Q46" s="150">
        <v>-19.895635871178513</v>
      </c>
      <c r="R46" s="140">
        <v>-10.631645365497354</v>
      </c>
      <c r="S46" s="140"/>
      <c r="T46" s="161">
        <v>187.13600000001301</v>
      </c>
      <c r="U46" s="161">
        <v>179.50800000009909</v>
      </c>
      <c r="V46" s="168"/>
      <c r="Y46" s="134"/>
      <c r="Z46" s="150"/>
      <c r="AA46" s="150"/>
      <c r="AB46" s="134"/>
      <c r="AC46" s="150"/>
      <c r="AE46" s="134"/>
      <c r="AF46" s="150"/>
    </row>
    <row r="47" spans="1:32" x14ac:dyDescent="0.2">
      <c r="A47" t="str">
        <f>name!A45</f>
        <v>Film and music</v>
      </c>
      <c r="B47" s="150">
        <v>199.87700000026544</v>
      </c>
      <c r="C47" s="140">
        <v>0.64619615328495417</v>
      </c>
      <c r="D47" s="164">
        <v>100</v>
      </c>
      <c r="E47" s="150">
        <v>198.79299999997147</v>
      </c>
      <c r="F47" s="140">
        <v>0.59876985810479655</v>
      </c>
      <c r="H47" s="150">
        <v>-1.0840000002939487</v>
      </c>
      <c r="I47" s="140">
        <v>-0.54233353527044592</v>
      </c>
      <c r="K47" s="150">
        <v>14.66164145131307</v>
      </c>
      <c r="L47" s="140">
        <v>7.3353319547990017</v>
      </c>
      <c r="N47" s="150">
        <v>-1.0760623252874428</v>
      </c>
      <c r="O47" s="140">
        <v>-0.53836225543009641</v>
      </c>
      <c r="Q47" s="150">
        <v>-14.669579126319576</v>
      </c>
      <c r="R47" s="140">
        <v>-7.3393032346393507</v>
      </c>
      <c r="S47" s="140"/>
      <c r="T47" s="161">
        <v>199.87700000026544</v>
      </c>
      <c r="U47" s="161">
        <v>198.79299999997147</v>
      </c>
      <c r="V47" s="168"/>
      <c r="Y47" s="134"/>
      <c r="Z47" s="134"/>
      <c r="AA47" s="134"/>
      <c r="AB47" s="134"/>
      <c r="AC47" s="134"/>
      <c r="AE47" s="134"/>
      <c r="AF47" s="150"/>
    </row>
    <row r="48" spans="1:32" x14ac:dyDescent="0.2">
      <c r="A48" t="str">
        <f>name!A46</f>
        <v>Broadcasting</v>
      </c>
      <c r="B48" s="150">
        <v>438.62000000015314</v>
      </c>
      <c r="C48" s="140">
        <v>1.4180448813698885</v>
      </c>
      <c r="D48" s="164">
        <v>100</v>
      </c>
      <c r="E48" s="150">
        <v>414.383999999926</v>
      </c>
      <c r="F48" s="140">
        <v>1.2481357436171761</v>
      </c>
      <c r="H48" s="150">
        <v>-24.236000000227126</v>
      </c>
      <c r="I48" s="140">
        <v>-5.525511832615627</v>
      </c>
      <c r="K48" s="150">
        <v>32.174233020150616</v>
      </c>
      <c r="L48" s="140">
        <v>7.3353319547990017</v>
      </c>
      <c r="N48" s="150">
        <v>-3.8550939128439801</v>
      </c>
      <c r="O48" s="140">
        <v>-0.87891430232151613</v>
      </c>
      <c r="Q48" s="150">
        <v>-52.555139107533762</v>
      </c>
      <c r="R48" s="140">
        <v>-11.981929485093113</v>
      </c>
      <c r="S48" s="140"/>
      <c r="T48" s="161">
        <v>438.62000000015314</v>
      </c>
      <c r="U48" s="161">
        <v>414.383999999926</v>
      </c>
      <c r="Y48" s="134"/>
      <c r="Z48" s="134"/>
      <c r="AA48" s="134"/>
      <c r="AB48" s="134"/>
      <c r="AC48" s="134"/>
      <c r="AE48" s="134"/>
    </row>
    <row r="49" spans="1:21" x14ac:dyDescent="0.2">
      <c r="A49" t="str">
        <f>name!A47</f>
        <v>Telecommunications</v>
      </c>
      <c r="B49" s="150">
        <v>613.98799999968332</v>
      </c>
      <c r="C49" s="140">
        <v>1.9850041963927363</v>
      </c>
      <c r="D49" s="164">
        <v>100</v>
      </c>
      <c r="E49" s="150">
        <v>538.85800000020777</v>
      </c>
      <c r="F49" s="140">
        <v>1.6230547765706296</v>
      </c>
      <c r="H49" s="150">
        <v>-75.129999999475544</v>
      </c>
      <c r="I49" s="140">
        <v>-12.236395499507205</v>
      </c>
      <c r="K49" s="150">
        <v>45.038057962608065</v>
      </c>
      <c r="L49" s="140">
        <v>7.3353319547990017</v>
      </c>
      <c r="N49" s="150">
        <v>-8.2123246787610498</v>
      </c>
      <c r="O49" s="140">
        <v>-1.3375383034791049</v>
      </c>
      <c r="Q49" s="150">
        <v>-111.95573328332256</v>
      </c>
      <c r="R49" s="140">
        <v>-18.234189150827103</v>
      </c>
      <c r="S49" s="140"/>
      <c r="T49" s="161">
        <v>613.98799999968332</v>
      </c>
      <c r="U49" s="161">
        <v>538.85800000020777</v>
      </c>
    </row>
    <row r="50" spans="1:21" x14ac:dyDescent="0.2">
      <c r="A50" t="str">
        <f>name!A48</f>
        <v>Computing services</v>
      </c>
      <c r="B50" s="150">
        <v>132.72299999993143</v>
      </c>
      <c r="C50" s="140">
        <v>0.42908935021178413</v>
      </c>
      <c r="D50" s="164">
        <v>100</v>
      </c>
      <c r="E50" s="150">
        <v>135.03200000005205</v>
      </c>
      <c r="F50" s="140">
        <v>0.40672001267474028</v>
      </c>
      <c r="H50" s="150">
        <v>2.3090000001206064</v>
      </c>
      <c r="I50" s="140">
        <v>1.7397135388152762</v>
      </c>
      <c r="K50" s="150">
        <v>9.7356726303628491</v>
      </c>
      <c r="L50" s="140">
        <v>7.3353319547990017</v>
      </c>
      <c r="N50" s="150">
        <v>-0.50754125477889156</v>
      </c>
      <c r="O50" s="140">
        <v>-0.38240640640970575</v>
      </c>
      <c r="Q50" s="150">
        <v>-6.9191313754633512</v>
      </c>
      <c r="R50" s="140">
        <v>-5.2132120095740202</v>
      </c>
      <c r="S50" s="140"/>
      <c r="T50" s="161">
        <v>132.72299999993143</v>
      </c>
      <c r="U50" s="161">
        <v>135.03200000005205</v>
      </c>
    </row>
    <row r="51" spans="1:21" x14ac:dyDescent="0.2">
      <c r="A51" t="str">
        <f>name!A49</f>
        <v>Information services</v>
      </c>
      <c r="B51" s="150">
        <v>312.76299999983866</v>
      </c>
      <c r="C51" s="140">
        <v>1.0111530966018576</v>
      </c>
      <c r="D51" s="164">
        <v>100</v>
      </c>
      <c r="E51" s="150">
        <v>502.44200000019339</v>
      </c>
      <c r="F51" s="140">
        <v>1.5133688059743005</v>
      </c>
      <c r="H51" s="150">
        <v>189.6790000003547</v>
      </c>
      <c r="I51" s="140">
        <v>60.646240124456078</v>
      </c>
      <c r="K51" s="150">
        <v>22.942204281776167</v>
      </c>
      <c r="L51" s="140">
        <v>7.3353319547990017</v>
      </c>
      <c r="N51" s="150">
        <v>11.394847562313828</v>
      </c>
      <c r="O51" s="140">
        <v>3.6432850312599978</v>
      </c>
      <c r="Q51" s="150">
        <v>155.34194815626472</v>
      </c>
      <c r="R51" s="140">
        <v>49.667623138397076</v>
      </c>
      <c r="S51" s="140"/>
      <c r="T51" s="161">
        <v>312.76299999983866</v>
      </c>
      <c r="U51" s="161">
        <v>502.44200000019339</v>
      </c>
    </row>
    <row r="52" spans="1:21" x14ac:dyDescent="0.2">
      <c r="A52" t="str">
        <f>name!A50</f>
        <v>Financial services</v>
      </c>
      <c r="B52" s="150">
        <v>548.61799999979723</v>
      </c>
      <c r="C52" s="140">
        <v>1.7736650100926228</v>
      </c>
      <c r="D52" s="164">
        <v>100</v>
      </c>
      <c r="E52" s="150">
        <v>580.38300000007268</v>
      </c>
      <c r="F52" s="140">
        <v>1.7481291924591382</v>
      </c>
      <c r="H52" s="150">
        <v>31.765000000275439</v>
      </c>
      <c r="I52" s="140">
        <v>5.7900032445685667</v>
      </c>
      <c r="K52" s="150">
        <v>40.242951463764314</v>
      </c>
      <c r="L52" s="140">
        <v>7.3353319547990017</v>
      </c>
      <c r="N52" s="150">
        <v>-0.57938599665903823</v>
      </c>
      <c r="O52" s="140">
        <v>-0.10560827327197655</v>
      </c>
      <c r="Q52" s="150">
        <v>-7.8985654668298366</v>
      </c>
      <c r="R52" s="140">
        <v>-1.4397204369584586</v>
      </c>
      <c r="S52" s="140"/>
      <c r="T52" s="161">
        <v>548.61799999979723</v>
      </c>
      <c r="U52" s="161">
        <v>580.38300000007268</v>
      </c>
    </row>
    <row r="53" spans="1:21" x14ac:dyDescent="0.2">
      <c r="A53" t="str">
        <f>name!A51</f>
        <v>Insurance and pensions</v>
      </c>
      <c r="B53" s="150">
        <v>1501.1650000006377</v>
      </c>
      <c r="C53" s="140">
        <v>4.8532199725087537</v>
      </c>
      <c r="D53" s="164">
        <v>100</v>
      </c>
      <c r="E53" s="150">
        <v>1898.5639999980804</v>
      </c>
      <c r="F53" s="140">
        <v>5.7185257875372297</v>
      </c>
      <c r="H53" s="150">
        <v>397.39899999744262</v>
      </c>
      <c r="I53" s="140">
        <v>26.472706198004467</v>
      </c>
      <c r="K53" s="150">
        <v>110.11543593930521</v>
      </c>
      <c r="L53" s="140">
        <v>7.3353319547990017</v>
      </c>
      <c r="N53" s="150">
        <v>19.633053433064049</v>
      </c>
      <c r="O53" s="140">
        <v>1.3078544619049677</v>
      </c>
      <c r="Q53" s="150">
        <v>267.65051062507337</v>
      </c>
      <c r="R53" s="140">
        <v>17.829519781300501</v>
      </c>
      <c r="S53" s="140"/>
      <c r="T53" s="161">
        <v>1501.1650000006377</v>
      </c>
      <c r="U53" s="161">
        <v>1898.5639999980804</v>
      </c>
    </row>
    <row r="54" spans="1:21" x14ac:dyDescent="0.2">
      <c r="A54" t="str">
        <f>name!A52</f>
        <v>Auxiliary financial services</v>
      </c>
      <c r="B54" s="150">
        <v>471.13500000027409</v>
      </c>
      <c r="C54" s="140">
        <v>1.5231648697833153</v>
      </c>
      <c r="D54" s="164">
        <v>100</v>
      </c>
      <c r="E54" s="150">
        <v>502.06400000003481</v>
      </c>
      <c r="F54" s="140">
        <v>1.5122302598159418</v>
      </c>
      <c r="H54" s="150">
        <v>30.928999999760709</v>
      </c>
      <c r="I54" s="140">
        <v>6.5647850403265977</v>
      </c>
      <c r="K54" s="150">
        <v>34.559316205262384</v>
      </c>
      <c r="L54" s="140">
        <v>7.3353319547990017</v>
      </c>
      <c r="N54" s="150">
        <v>-0.24809700574137494</v>
      </c>
      <c r="O54" s="140">
        <v>-5.2659430044728284E-2</v>
      </c>
      <c r="Q54" s="150">
        <v>-3.3822191997602999</v>
      </c>
      <c r="R54" s="140">
        <v>-0.71788748442767625</v>
      </c>
      <c r="S54" s="140"/>
      <c r="T54" s="161">
        <v>471.13500000027409</v>
      </c>
      <c r="U54" s="161">
        <v>502.06400000003481</v>
      </c>
    </row>
    <row r="55" spans="1:21" x14ac:dyDescent="0.2">
      <c r="A55" t="str">
        <f>name!A53</f>
        <v>Real estate</v>
      </c>
      <c r="B55" s="150">
        <v>106.49900000005229</v>
      </c>
      <c r="C55" s="140">
        <v>0.34430797004476121</v>
      </c>
      <c r="D55" s="164">
        <v>100</v>
      </c>
      <c r="E55" s="150">
        <v>125.1209999999075</v>
      </c>
      <c r="F55" s="140">
        <v>0.37686781433896366</v>
      </c>
      <c r="H55" s="150">
        <v>18.621999999855209</v>
      </c>
      <c r="I55" s="140">
        <v>17.485610193378402</v>
      </c>
      <c r="K55" s="150">
        <v>7.8120551785452239</v>
      </c>
      <c r="L55" s="140">
        <v>7.3353319547990017</v>
      </c>
      <c r="N55" s="150">
        <v>0.73875519116819888</v>
      </c>
      <c r="O55" s="140">
        <v>0.6936733595318606</v>
      </c>
      <c r="Q55" s="150">
        <v>10.071189630141788</v>
      </c>
      <c r="R55" s="140">
        <v>9.4566048790475428</v>
      </c>
      <c r="S55" s="140"/>
      <c r="T55" s="161">
        <v>106.49900000005229</v>
      </c>
      <c r="U55" s="161">
        <v>125.1209999999075</v>
      </c>
    </row>
    <row r="56" spans="1:21" x14ac:dyDescent="0.2">
      <c r="A56" t="str">
        <f>name!A54</f>
        <v>Legal and accounting</v>
      </c>
      <c r="B56" s="150">
        <v>216.71200000001988</v>
      </c>
      <c r="C56" s="140">
        <v>0.7006231871126537</v>
      </c>
      <c r="D56" s="164">
        <v>100</v>
      </c>
      <c r="E56" s="150">
        <v>307.62700000008448</v>
      </c>
      <c r="F56" s="140">
        <v>0.92658079076869526</v>
      </c>
      <c r="H56" s="150">
        <v>90.91500000006458</v>
      </c>
      <c r="I56" s="140">
        <v>41.951991583325444</v>
      </c>
      <c r="K56" s="150">
        <v>15.89654458588547</v>
      </c>
      <c r="L56" s="140">
        <v>7.3353319547990017</v>
      </c>
      <c r="N56" s="150">
        <v>5.1267859629951857</v>
      </c>
      <c r="O56" s="140">
        <v>2.3657139258530746</v>
      </c>
      <c r="Q56" s="150">
        <v>69.89166945118393</v>
      </c>
      <c r="R56" s="140">
        <v>32.25094570267337</v>
      </c>
      <c r="S56" s="140"/>
      <c r="T56" s="161">
        <v>216.71200000001988</v>
      </c>
      <c r="U56" s="161">
        <v>307.62700000008448</v>
      </c>
    </row>
    <row r="57" spans="1:21" ht="12.75" customHeight="1" x14ac:dyDescent="0.2">
      <c r="A57" t="str">
        <f>name!A55</f>
        <v>Head offices, etc</v>
      </c>
      <c r="B57" s="150">
        <v>488.51200000004457</v>
      </c>
      <c r="C57" s="140">
        <v>1.5793441728320374</v>
      </c>
      <c r="D57" s="164">
        <v>100</v>
      </c>
      <c r="E57" s="150">
        <v>554.93600000015249</v>
      </c>
      <c r="F57" s="140">
        <v>1.6714821446297523</v>
      </c>
      <c r="H57" s="150">
        <v>66.424000000107924</v>
      </c>
      <c r="I57" s="140">
        <v>13.597209485151206</v>
      </c>
      <c r="K57" s="150">
        <v>35.833976839030967</v>
      </c>
      <c r="L57" s="140">
        <v>7.3353319547990017</v>
      </c>
      <c r="N57" s="150">
        <v>2.0905322628152163</v>
      </c>
      <c r="O57" s="140">
        <v>0.42793877383053552</v>
      </c>
      <c r="Q57" s="150">
        <v>28.49949089826174</v>
      </c>
      <c r="R57" s="140">
        <v>5.83393875652167</v>
      </c>
      <c r="S57" s="140"/>
      <c r="T57" s="161">
        <v>488.51200000004457</v>
      </c>
      <c r="U57" s="161">
        <v>554.93600000015249</v>
      </c>
    </row>
    <row r="58" spans="1:21" x14ac:dyDescent="0.2">
      <c r="A58" t="str">
        <f>name!A56</f>
        <v>Architectural and related</v>
      </c>
      <c r="B58" s="150">
        <v>154.33900000012474</v>
      </c>
      <c r="C58" s="140">
        <v>0.49897320903252856</v>
      </c>
      <c r="D58" s="164">
        <v>100</v>
      </c>
      <c r="E58" s="150">
        <v>141.48199999997618</v>
      </c>
      <c r="F58" s="140">
        <v>0.42614758600343433</v>
      </c>
      <c r="H58" s="150">
        <v>-12.857000000148545</v>
      </c>
      <c r="I58" s="140">
        <v>-8.3303636800407901</v>
      </c>
      <c r="K58" s="150">
        <v>11.321277985726381</v>
      </c>
      <c r="L58" s="140">
        <v>7.3353319547990017</v>
      </c>
      <c r="N58" s="150">
        <v>-1.6523514847514473</v>
      </c>
      <c r="O58" s="140">
        <v>-1.0705988018259234</v>
      </c>
      <c r="Q58" s="150">
        <v>-22.525926501123479</v>
      </c>
      <c r="R58" s="140">
        <v>-14.595096833013868</v>
      </c>
      <c r="S58" s="140"/>
      <c r="T58" s="161">
        <v>154.33900000012474</v>
      </c>
      <c r="U58" s="161">
        <v>141.48199999997618</v>
      </c>
    </row>
    <row r="59" spans="1:21" x14ac:dyDescent="0.2">
      <c r="A59" t="str">
        <f>name!A57</f>
        <v>Scientific research and development</v>
      </c>
      <c r="B59" s="150">
        <v>945.30400000076372</v>
      </c>
      <c r="C59" s="140">
        <v>3.0561385676419133</v>
      </c>
      <c r="D59" s="164">
        <v>100</v>
      </c>
      <c r="E59" s="150">
        <v>1147.9249999998067</v>
      </c>
      <c r="F59" s="140">
        <v>3.4575809478449013</v>
      </c>
      <c r="H59" s="150">
        <v>202.62099999904308</v>
      </c>
      <c r="I59" s="140">
        <v>21.434480336365802</v>
      </c>
      <c r="K59" s="150">
        <v>69.341186382049173</v>
      </c>
      <c r="L59" s="140">
        <v>7.3353319547990017</v>
      </c>
      <c r="N59" s="150">
        <v>9.1083863807875787</v>
      </c>
      <c r="O59" s="140">
        <v>0.96354044633051583</v>
      </c>
      <c r="Q59" s="150">
        <v>124.17142723620634</v>
      </c>
      <c r="R59" s="140">
        <v>13.135607935236285</v>
      </c>
      <c r="S59" s="140"/>
      <c r="T59" s="161">
        <v>945.30400000076372</v>
      </c>
      <c r="U59" s="161">
        <v>1147.9249999998067</v>
      </c>
    </row>
    <row r="60" spans="1:21" x14ac:dyDescent="0.2">
      <c r="A60" t="str">
        <f>name!A58</f>
        <v>Advertising, etc</v>
      </c>
      <c r="B60" s="150">
        <v>116.95000000009452</v>
      </c>
      <c r="C60" s="140">
        <v>0.37809572950682724</v>
      </c>
      <c r="D60" s="164">
        <v>100</v>
      </c>
      <c r="E60" s="150">
        <v>118.9089999999799</v>
      </c>
      <c r="F60" s="140">
        <v>0.35815710340596213</v>
      </c>
      <c r="H60" s="150">
        <v>1.9589999998853891</v>
      </c>
      <c r="I60" s="140">
        <v>1.6750748181990645</v>
      </c>
      <c r="K60" s="150">
        <v>8.5786707211443645</v>
      </c>
      <c r="L60" s="140">
        <v>7.3353319547989999</v>
      </c>
      <c r="N60" s="150">
        <v>-0.45239047839668522</v>
      </c>
      <c r="O60" s="140">
        <v>-0.38682383787628871</v>
      </c>
      <c r="Q60" s="150">
        <v>-6.1672802428622902</v>
      </c>
      <c r="R60" s="140">
        <v>-5.2734332987236474</v>
      </c>
      <c r="S60" s="140"/>
      <c r="T60" s="161">
        <v>116.95000000009452</v>
      </c>
      <c r="U60" s="161">
        <v>118.9089999999799</v>
      </c>
    </row>
    <row r="61" spans="1:21" ht="12.75" customHeight="1" x14ac:dyDescent="0.2">
      <c r="A61" t="str">
        <f>name!A59</f>
        <v>Other professional</v>
      </c>
      <c r="B61" s="150">
        <v>1329.574000001074</v>
      </c>
      <c r="C61" s="140">
        <v>4.2984715815588732</v>
      </c>
      <c r="D61" s="164">
        <v>100</v>
      </c>
      <c r="E61" s="150">
        <v>1355.4139999997719</v>
      </c>
      <c r="F61" s="140">
        <v>4.0825433916346876</v>
      </c>
      <c r="H61" s="150">
        <v>25.839999998697778</v>
      </c>
      <c r="I61" s="140">
        <v>1.9434796407478565</v>
      </c>
      <c r="K61" s="150">
        <v>97.528666484778057</v>
      </c>
      <c r="L61" s="140">
        <v>7.3353319547990017</v>
      </c>
      <c r="N61" s="150">
        <v>-4.899227090420851</v>
      </c>
      <c r="O61" s="140">
        <v>-0.36848096385886708</v>
      </c>
      <c r="Q61" s="150">
        <v>-66.789439395659429</v>
      </c>
      <c r="R61" s="140">
        <v>-5.0233713501922779</v>
      </c>
      <c r="S61" s="140"/>
      <c r="T61" s="161">
        <v>1329.574000001074</v>
      </c>
      <c r="U61" s="161">
        <v>1355.4139999997719</v>
      </c>
    </row>
    <row r="62" spans="1:21" ht="12.75" customHeight="1" x14ac:dyDescent="0.2">
      <c r="A62" t="str">
        <f>name!A60</f>
        <v>Veterinary</v>
      </c>
      <c r="B62" s="150">
        <v>1373.6089999998901</v>
      </c>
      <c r="C62" s="140">
        <v>4.4408353733363164</v>
      </c>
      <c r="D62" s="164">
        <v>100</v>
      </c>
      <c r="E62" s="150">
        <v>1410.480000000412</v>
      </c>
      <c r="F62" s="140">
        <v>4.2484036634087783</v>
      </c>
      <c r="H62" s="150">
        <v>36.87100000052201</v>
      </c>
      <c r="I62" s="140">
        <v>2.6842427503405233</v>
      </c>
      <c r="K62" s="150">
        <v>100.75877991098696</v>
      </c>
      <c r="L62" s="140">
        <v>7.3353319547990017</v>
      </c>
      <c r="N62" s="150">
        <v>-4.366111931304566</v>
      </c>
      <c r="O62" s="140">
        <v>-0.31785696885393994</v>
      </c>
      <c r="Q62" s="150">
        <v>-59.521667979160384</v>
      </c>
      <c r="R62" s="140">
        <v>-4.3332322356045383</v>
      </c>
      <c r="S62" s="140"/>
      <c r="T62" s="161">
        <v>1373.6089999998901</v>
      </c>
      <c r="U62" s="161">
        <v>1410.480000000412</v>
      </c>
    </row>
    <row r="63" spans="1:21" x14ac:dyDescent="0.2">
      <c r="A63" t="str">
        <f>name!A61</f>
        <v>Rental and leasing</v>
      </c>
      <c r="B63" s="150">
        <v>2644.983000000736</v>
      </c>
      <c r="C63" s="140">
        <v>8.5511481566278444</v>
      </c>
      <c r="D63" s="164">
        <v>100</v>
      </c>
      <c r="E63" s="150">
        <v>2641.450000001309</v>
      </c>
      <c r="F63" s="140">
        <v>7.9561183829004314</v>
      </c>
      <c r="H63" s="150">
        <v>-3.5329999994267709</v>
      </c>
      <c r="I63" s="140">
        <v>-0.13357363731357774</v>
      </c>
      <c r="K63" s="150">
        <v>194.01828319805523</v>
      </c>
      <c r="L63" s="140">
        <v>7.3353319547989999</v>
      </c>
      <c r="N63" s="150">
        <v>-13.500719790574287</v>
      </c>
      <c r="O63" s="140">
        <v>-0.51042746930965266</v>
      </c>
      <c r="Q63" s="150">
        <v>-184.05056340690771</v>
      </c>
      <c r="R63" s="140">
        <v>-6.9584781228029264</v>
      </c>
      <c r="S63" s="140"/>
      <c r="T63" s="161">
        <v>2644.983000000736</v>
      </c>
      <c r="U63" s="161">
        <v>2641.450000001309</v>
      </c>
    </row>
    <row r="64" spans="1:21" x14ac:dyDescent="0.2">
      <c r="A64" t="str">
        <f>name!A62</f>
        <v>Employment activities</v>
      </c>
      <c r="B64" s="150">
        <v>2374.4340000002467</v>
      </c>
      <c r="C64" s="140">
        <v>7.6764716151789791</v>
      </c>
      <c r="D64" s="164">
        <v>100</v>
      </c>
      <c r="E64" s="150">
        <v>2612.1830000006412</v>
      </c>
      <c r="F64" s="140">
        <v>7.8679653924150754</v>
      </c>
      <c r="H64" s="150">
        <v>237.7490000003944</v>
      </c>
      <c r="I64" s="140">
        <v>10.012870435664656</v>
      </c>
      <c r="K64" s="150">
        <v>174.17261594763022</v>
      </c>
      <c r="L64" s="140">
        <v>7.3353319547990017</v>
      </c>
      <c r="N64" s="150">
        <v>4.3448310357788387</v>
      </c>
      <c r="O64" s="140">
        <v>0.18298386208159026</v>
      </c>
      <c r="Q64" s="150">
        <v>59.231553016985345</v>
      </c>
      <c r="R64" s="140">
        <v>2.4945546187840635</v>
      </c>
      <c r="S64" s="140"/>
      <c r="T64" s="161">
        <v>2374.4340000002467</v>
      </c>
      <c r="U64" s="161">
        <v>2612.1830000006412</v>
      </c>
    </row>
    <row r="65" spans="1:21" x14ac:dyDescent="0.2">
      <c r="A65" t="str">
        <f>name!A63</f>
        <v>Travel, etc</v>
      </c>
      <c r="B65" s="150">
        <v>1674.2150000001743</v>
      </c>
      <c r="C65" s="140">
        <v>5.4126852652913824</v>
      </c>
      <c r="D65" s="164">
        <v>100</v>
      </c>
      <c r="E65" s="150">
        <v>1674.3130000004107</v>
      </c>
      <c r="F65" s="140">
        <v>5.0430757493141405</v>
      </c>
      <c r="H65" s="150">
        <v>9.8000000236323159E-2</v>
      </c>
      <c r="I65" s="140">
        <v>5.8534895599617097E-3</v>
      </c>
      <c r="K65" s="150">
        <v>122.80922788705089</v>
      </c>
      <c r="L65" s="140">
        <v>7.3353319547990017</v>
      </c>
      <c r="N65" s="150">
        <v>-8.3861257494394739</v>
      </c>
      <c r="O65" s="140">
        <v>-0.50089897351526547</v>
      </c>
      <c r="Q65" s="150">
        <v>-114.3251021373751</v>
      </c>
      <c r="R65" s="140">
        <v>-6.8285794917237741</v>
      </c>
      <c r="S65" s="140"/>
      <c r="T65" s="161">
        <v>1674.2150000001743</v>
      </c>
      <c r="U65" s="161">
        <v>1674.3130000004107</v>
      </c>
    </row>
    <row r="66" spans="1:21" x14ac:dyDescent="0.2">
      <c r="A66" t="str">
        <f>name!A64</f>
        <v>Security, etc</v>
      </c>
      <c r="B66" s="150">
        <v>413.60599999980559</v>
      </c>
      <c r="C66" s="140">
        <v>1.3371753937426327</v>
      </c>
      <c r="D66" s="164">
        <v>100</v>
      </c>
      <c r="E66" s="150">
        <v>428.36800000013642</v>
      </c>
      <c r="F66" s="140">
        <v>1.2902559274056631</v>
      </c>
      <c r="H66" s="150">
        <v>14.762000000330852</v>
      </c>
      <c r="I66" s="140">
        <v>3.5690971601808945</v>
      </c>
      <c r="K66" s="150">
        <v>30.339373084951696</v>
      </c>
      <c r="L66" s="140">
        <v>7.3353319547990017</v>
      </c>
      <c r="N66" s="150">
        <v>-1.064562809640007</v>
      </c>
      <c r="O66" s="140">
        <v>-0.25738572690930678</v>
      </c>
      <c r="Q66" s="150">
        <v>-14.512810274980836</v>
      </c>
      <c r="R66" s="140">
        <v>-3.5088490677087996</v>
      </c>
      <c r="S66" s="140"/>
      <c r="T66" s="161">
        <v>413.60599999980559</v>
      </c>
      <c r="U66" s="161">
        <v>428.36800000013642</v>
      </c>
    </row>
    <row r="67" spans="1:21" x14ac:dyDescent="0.2">
      <c r="A67" t="str">
        <f>name!A65</f>
        <v>Services to buildings</v>
      </c>
      <c r="B67" s="150">
        <v>435.47399999979547</v>
      </c>
      <c r="C67" s="140">
        <v>1.4078739607613997</v>
      </c>
      <c r="D67" s="164">
        <v>100</v>
      </c>
      <c r="E67" s="150">
        <v>454.83400000014473</v>
      </c>
      <c r="F67" s="140">
        <v>1.3699722306185969</v>
      </c>
      <c r="H67" s="150">
        <v>19.360000000349245</v>
      </c>
      <c r="I67" s="140">
        <v>4.4457303996009729</v>
      </c>
      <c r="K67" s="150">
        <v>31.943463476826398</v>
      </c>
      <c r="L67" s="140">
        <v>7.3353319547990017</v>
      </c>
      <c r="N67" s="150">
        <v>-0.85995804046995161</v>
      </c>
      <c r="O67" s="140">
        <v>-0.19747632246020552</v>
      </c>
      <c r="Q67" s="150">
        <v>-11.723505436007201</v>
      </c>
      <c r="R67" s="140">
        <v>-2.6921252327378231</v>
      </c>
      <c r="S67" s="140"/>
      <c r="T67" s="161">
        <v>435.47399999979547</v>
      </c>
      <c r="U67" s="161">
        <v>454.83400000014473</v>
      </c>
    </row>
    <row r="68" spans="1:21" x14ac:dyDescent="0.2">
      <c r="A68" t="str">
        <f>name!A66</f>
        <v>Office administrative</v>
      </c>
      <c r="B68" s="150">
        <v>242.30100000016066</v>
      </c>
      <c r="C68" s="140">
        <v>0.78335163193861013</v>
      </c>
      <c r="D68" s="164">
        <v>100</v>
      </c>
      <c r="E68" s="150">
        <v>263.26700000002035</v>
      </c>
      <c r="F68" s="140">
        <v>0.79296727869547856</v>
      </c>
      <c r="H68" s="150">
        <v>20.965999999859719</v>
      </c>
      <c r="I68" s="140">
        <v>8.6528739047077057</v>
      </c>
      <c r="K68" s="150">
        <v>17.773582679809312</v>
      </c>
      <c r="L68" s="140">
        <v>7.3353319547990017</v>
      </c>
      <c r="N68" s="150">
        <v>0.2181708516137455</v>
      </c>
      <c r="O68" s="140">
        <v>9.0041251011593354E-2</v>
      </c>
      <c r="Q68" s="150">
        <v>2.974246468436661</v>
      </c>
      <c r="R68" s="140">
        <v>1.2275006988971109</v>
      </c>
      <c r="S68" s="140"/>
      <c r="T68" s="161">
        <v>242.30100000016066</v>
      </c>
      <c r="U68" s="161">
        <v>263.26700000002035</v>
      </c>
    </row>
    <row r="69" spans="1:21" x14ac:dyDescent="0.2">
      <c r="A69" t="str">
        <f>name!A67</f>
        <v>Public administration and defence</v>
      </c>
      <c r="B69" s="150">
        <v>90.647000000060117</v>
      </c>
      <c r="C69" s="140">
        <v>0.29305894478495426</v>
      </c>
      <c r="D69" s="164">
        <v>100</v>
      </c>
      <c r="E69" s="150">
        <v>97.768000000007532</v>
      </c>
      <c r="F69" s="140">
        <v>0.29447984329027005</v>
      </c>
      <c r="H69" s="150">
        <v>7.1209999999474238</v>
      </c>
      <c r="I69" s="140">
        <v>7.8557481217720406</v>
      </c>
      <c r="K69" s="150">
        <v>6.6492583570710604</v>
      </c>
      <c r="L69" s="140">
        <v>7.3353319547990017</v>
      </c>
      <c r="N69" s="150">
        <v>3.2238979321913774E-2</v>
      </c>
      <c r="O69" s="140">
        <v>3.5565412337851661E-2</v>
      </c>
      <c r="Q69" s="150">
        <v>0.43950266355444967</v>
      </c>
      <c r="R69" s="140">
        <v>0.48485075463518729</v>
      </c>
      <c r="S69" s="140"/>
      <c r="T69" s="161">
        <v>90.647000000060117</v>
      </c>
      <c r="U69" s="161">
        <v>97.768000000007532</v>
      </c>
    </row>
    <row r="70" spans="1:21" x14ac:dyDescent="0.2">
      <c r="A70" t="str">
        <f>name!A68</f>
        <v xml:space="preserve">Education </v>
      </c>
      <c r="B70" s="150">
        <v>541.20600000035859</v>
      </c>
      <c r="C70" s="140">
        <v>1.7497022435523057</v>
      </c>
      <c r="D70" s="164">
        <v>100</v>
      </c>
      <c r="E70" s="150">
        <v>583.72000000004539</v>
      </c>
      <c r="F70" s="140">
        <v>1.75818032613326</v>
      </c>
      <c r="H70" s="150">
        <v>42.513999999686845</v>
      </c>
      <c r="I70" s="140">
        <v>7.8554191933678998</v>
      </c>
      <c r="K70" s="150">
        <v>39.699256659315786</v>
      </c>
      <c r="L70" s="140">
        <v>7.3353319547990017</v>
      </c>
      <c r="N70" s="150">
        <v>0.19236048739177392</v>
      </c>
      <c r="O70" s="140">
        <v>3.5542933262315363E-2</v>
      </c>
      <c r="Q70" s="150">
        <v>2.6223828529792854</v>
      </c>
      <c r="R70" s="140">
        <v>0.48454430530658343</v>
      </c>
      <c r="S70" s="140"/>
      <c r="T70" s="161">
        <v>541.20600000035859</v>
      </c>
      <c r="U70" s="161">
        <v>583.72000000004539</v>
      </c>
    </row>
    <row r="71" spans="1:21" x14ac:dyDescent="0.2">
      <c r="A71" t="str">
        <f>name!A69</f>
        <v>Health</v>
      </c>
      <c r="B71" s="150">
        <v>89.69100000005939</v>
      </c>
      <c r="C71" s="140">
        <v>0.28996822638043518</v>
      </c>
      <c r="D71" s="164">
        <v>100</v>
      </c>
      <c r="E71" s="150">
        <v>93.170000000007207</v>
      </c>
      <c r="F71" s="140">
        <v>0.28063054372958912</v>
      </c>
      <c r="H71" s="150">
        <v>3.4789999999478169</v>
      </c>
      <c r="I71" s="140">
        <v>3.8788730195287302</v>
      </c>
      <c r="K71" s="150">
        <v>6.5791325835831289</v>
      </c>
      <c r="L71" s="140">
        <v>7.3353319547990017</v>
      </c>
      <c r="N71" s="150">
        <v>-0.21186408231755838</v>
      </c>
      <c r="O71" s="140">
        <v>-0.23621554260451783</v>
      </c>
      <c r="Q71" s="150">
        <v>-2.8882685013177536</v>
      </c>
      <c r="R71" s="140">
        <v>-3.2202433926657537</v>
      </c>
      <c r="S71" s="140"/>
      <c r="T71" s="161">
        <v>89.69100000005939</v>
      </c>
      <c r="U71" s="161">
        <v>93.170000000007207</v>
      </c>
    </row>
    <row r="72" spans="1:21" x14ac:dyDescent="0.2">
      <c r="A72" s="23" t="str">
        <f>name!A3</f>
        <v>All industries</v>
      </c>
      <c r="B72" s="151">
        <v>30931.320000000887</v>
      </c>
      <c r="C72" s="146">
        <v>100</v>
      </c>
      <c r="D72" s="197">
        <v>100</v>
      </c>
      <c r="E72" s="151">
        <v>33200.235000002089</v>
      </c>
      <c r="F72" s="146">
        <v>100</v>
      </c>
      <c r="G72" s="144"/>
      <c r="H72" s="151">
        <v>2268.9150000011996</v>
      </c>
      <c r="I72" s="146">
        <v>7.3353319547990017</v>
      </c>
      <c r="J72" s="144"/>
      <c r="K72" s="151">
        <v>2268.9150000011996</v>
      </c>
      <c r="L72" s="146">
        <v>7.3353319547990017</v>
      </c>
      <c r="M72" s="144"/>
      <c r="N72" s="151">
        <v>-2.5920599000528455E-11</v>
      </c>
      <c r="O72" s="146">
        <v>-8.3800494128694509E-14</v>
      </c>
      <c r="P72" s="144"/>
      <c r="Q72" s="151">
        <v>2.5963231564674061E-11</v>
      </c>
      <c r="R72" s="146">
        <v>2.7161651386449669E-13</v>
      </c>
      <c r="S72" s="146"/>
      <c r="T72" s="166">
        <v>30931.320000000887</v>
      </c>
      <c r="U72" s="166">
        <v>33200.235000002089</v>
      </c>
    </row>
    <row r="75" spans="1:21" x14ac:dyDescent="0.2">
      <c r="A75" s="169" t="s">
        <v>73</v>
      </c>
      <c r="B75" s="170"/>
      <c r="C75" s="170"/>
      <c r="D75" s="170"/>
      <c r="E75" s="170"/>
    </row>
    <row r="76" spans="1:21" x14ac:dyDescent="0.2">
      <c r="A76" s="383" t="s">
        <v>74</v>
      </c>
      <c r="B76" s="383"/>
      <c r="C76" s="383"/>
      <c r="D76" s="383"/>
      <c r="E76" s="383"/>
      <c r="F76" s="383"/>
      <c r="G76" s="383"/>
      <c r="H76" s="383"/>
      <c r="I76" s="383"/>
      <c r="J76" s="383"/>
      <c r="K76" s="383"/>
      <c r="L76" s="383"/>
      <c r="M76" s="383"/>
      <c r="N76" s="383"/>
      <c r="O76" s="383"/>
      <c r="P76" s="383"/>
      <c r="Q76" s="383"/>
      <c r="R76" s="383"/>
    </row>
    <row r="77" spans="1:21" x14ac:dyDescent="0.2">
      <c r="A77" s="383" t="s">
        <v>75</v>
      </c>
      <c r="B77" s="383"/>
      <c r="C77" s="383"/>
      <c r="D77" s="383"/>
      <c r="E77" s="383"/>
      <c r="F77" s="383"/>
      <c r="G77" s="383"/>
      <c r="H77" s="383"/>
      <c r="I77" s="383"/>
      <c r="J77" s="383"/>
      <c r="K77" s="383"/>
      <c r="L77" s="383"/>
      <c r="M77" s="383"/>
      <c r="N77" s="383"/>
      <c r="O77" s="383"/>
      <c r="P77" s="383"/>
      <c r="Q77" s="383"/>
      <c r="R77" s="383"/>
    </row>
    <row r="78" spans="1:21" x14ac:dyDescent="0.2">
      <c r="A78" s="383" t="s">
        <v>76</v>
      </c>
      <c r="B78" s="383"/>
      <c r="C78" s="383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</row>
    <row r="79" spans="1:21" x14ac:dyDescent="0.2">
      <c r="A79" s="383" t="s">
        <v>77</v>
      </c>
      <c r="B79" s="383"/>
      <c r="C79" s="383"/>
      <c r="D79" s="383"/>
      <c r="E79" s="383"/>
      <c r="F79" s="383"/>
      <c r="G79" s="383"/>
      <c r="H79" s="383"/>
      <c r="I79" s="383"/>
      <c r="J79" s="383"/>
      <c r="K79" s="383"/>
      <c r="L79" s="383"/>
      <c r="M79" s="383"/>
      <c r="N79" s="383"/>
      <c r="O79" s="383"/>
      <c r="P79" s="383"/>
      <c r="Q79" s="383"/>
      <c r="R79" s="383"/>
    </row>
    <row r="80" spans="1:21" x14ac:dyDescent="0.2">
      <c r="A80" s="383" t="s">
        <v>78</v>
      </c>
      <c r="B80" s="383"/>
      <c r="C80" s="383"/>
      <c r="D80" s="383"/>
      <c r="E80" s="383"/>
      <c r="F80" s="383"/>
      <c r="G80" s="383"/>
      <c r="H80" s="383"/>
      <c r="I80" s="383"/>
      <c r="J80" s="383"/>
      <c r="K80" s="383"/>
      <c r="L80" s="383"/>
      <c r="M80" s="383"/>
      <c r="N80" s="383"/>
      <c r="O80" s="383"/>
      <c r="P80" s="383"/>
      <c r="Q80" s="383"/>
      <c r="R80" s="383"/>
    </row>
    <row r="81" spans="1:18" x14ac:dyDescent="0.2">
      <c r="A81" s="383" t="s">
        <v>79</v>
      </c>
      <c r="B81" s="383"/>
      <c r="C81" s="383"/>
      <c r="D81" s="383"/>
      <c r="E81" s="383"/>
      <c r="F81" s="383"/>
      <c r="G81" s="383"/>
      <c r="H81" s="383"/>
      <c r="I81" s="383"/>
      <c r="J81" s="383"/>
      <c r="K81" s="383"/>
      <c r="L81" s="383"/>
      <c r="M81" s="383"/>
      <c r="N81" s="383"/>
      <c r="O81" s="383"/>
      <c r="P81" s="383"/>
      <c r="Q81" s="383"/>
      <c r="R81" s="383"/>
    </row>
  </sheetData>
  <mergeCells count="10">
    <mergeCell ref="K2:R2"/>
    <mergeCell ref="K3:L3"/>
    <mergeCell ref="N3:O3"/>
    <mergeCell ref="Q3:R3"/>
    <mergeCell ref="A76:R76"/>
    <mergeCell ref="A77:R77"/>
    <mergeCell ref="A78:R78"/>
    <mergeCell ref="A79:R79"/>
    <mergeCell ref="A80:R80"/>
    <mergeCell ref="A81:R81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0" customWidth="1"/>
    <col min="2" max="6" width="7.7109375" style="90" customWidth="1"/>
    <col min="7" max="7" width="3.5703125" style="90" customWidth="1"/>
    <col min="8" max="12" width="7.7109375" style="90" customWidth="1"/>
    <col min="13" max="13" width="3.5703125" style="90" customWidth="1"/>
    <col min="14" max="18" width="7.7109375" style="90" customWidth="1"/>
    <col min="19" max="19" width="3.5703125" style="90" customWidth="1"/>
    <col min="20" max="24" width="7.7109375" style="90" customWidth="1"/>
    <col min="25" max="16384" width="9.140625" style="90"/>
  </cols>
  <sheetData>
    <row r="1" spans="1:60" ht="15.75" x14ac:dyDescent="0.25">
      <c r="A1" s="18" t="str">
        <f>CONCATENATE("Basic Table 2a  Population by Gender, Age Group and ISCED Qualification, ",Info!B8,", ",$B$5,"-",$F$5)</f>
        <v>Basic Table 2a  Population by Gender, Age Group and ISCED Qualification, , 2008-2025</v>
      </c>
      <c r="P1" s="180" t="s">
        <v>105</v>
      </c>
      <c r="Y1" s="18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8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1" t="s">
        <v>13</v>
      </c>
      <c r="X2" s="381"/>
      <c r="AP2" s="120" t="s">
        <v>13</v>
      </c>
      <c r="BH2" s="120" t="s">
        <v>13</v>
      </c>
    </row>
    <row r="3" spans="1:60" x14ac:dyDescent="0.2">
      <c r="A3" s="117" t="s">
        <v>101</v>
      </c>
      <c r="B3" s="183" t="s">
        <v>118</v>
      </c>
      <c r="C3" s="183"/>
      <c r="D3" s="184"/>
      <c r="E3" s="183"/>
      <c r="F3" s="183"/>
      <c r="G3" s="117"/>
      <c r="H3" s="183" t="s">
        <v>46</v>
      </c>
      <c r="I3" s="183"/>
      <c r="J3" s="183"/>
      <c r="K3" s="183"/>
      <c r="L3" s="183"/>
      <c r="M3" s="117"/>
      <c r="N3" s="183" t="s">
        <v>47</v>
      </c>
      <c r="O3" s="183"/>
      <c r="P3" s="183"/>
      <c r="Q3" s="183"/>
      <c r="R3" s="183"/>
      <c r="S3" s="117"/>
      <c r="T3" s="387" t="s">
        <v>48</v>
      </c>
      <c r="U3" s="387"/>
      <c r="V3" s="387"/>
      <c r="W3" s="387"/>
      <c r="X3" s="387"/>
      <c r="Y3" s="117" t="s">
        <v>101</v>
      </c>
      <c r="Z3" s="387" t="s">
        <v>119</v>
      </c>
      <c r="AA3" s="387"/>
      <c r="AB3" s="387"/>
      <c r="AC3" s="387"/>
      <c r="AD3" s="387"/>
      <c r="AE3" s="117"/>
      <c r="AF3" s="183" t="s">
        <v>49</v>
      </c>
      <c r="AG3" s="183"/>
      <c r="AH3" s="183"/>
      <c r="AI3" s="183"/>
      <c r="AJ3" s="183"/>
      <c r="AK3" s="117"/>
      <c r="AL3" s="387" t="s">
        <v>50</v>
      </c>
      <c r="AM3" s="387"/>
      <c r="AN3" s="387"/>
      <c r="AO3" s="387"/>
      <c r="AP3" s="387"/>
      <c r="AQ3" s="117" t="s">
        <v>101</v>
      </c>
      <c r="AR3" s="387" t="s">
        <v>120</v>
      </c>
      <c r="AS3" s="387"/>
      <c r="AT3" s="387"/>
      <c r="AU3" s="387"/>
      <c r="AV3" s="387"/>
      <c r="AW3" s="117"/>
      <c r="AX3" s="183" t="s">
        <v>51</v>
      </c>
      <c r="AY3" s="183"/>
      <c r="AZ3" s="183"/>
      <c r="BA3" s="183"/>
      <c r="BB3" s="183"/>
      <c r="BC3" s="117"/>
      <c r="BD3" s="387" t="s">
        <v>52</v>
      </c>
      <c r="BE3" s="387"/>
      <c r="BF3" s="387"/>
      <c r="BG3" s="387"/>
      <c r="BH3" s="387"/>
    </row>
    <row r="4" spans="1:60" x14ac:dyDescent="0.2">
      <c r="A4" s="179" t="s">
        <v>104</v>
      </c>
      <c r="B4" s="185"/>
      <c r="C4" s="185"/>
      <c r="D4" s="185"/>
      <c r="E4" s="185"/>
      <c r="F4" s="185"/>
      <c r="G4" s="91"/>
      <c r="H4" s="185"/>
      <c r="I4" s="185"/>
      <c r="J4" s="185"/>
      <c r="K4" s="185"/>
      <c r="L4" s="185"/>
      <c r="M4" s="91"/>
      <c r="N4" s="185"/>
      <c r="O4" s="185"/>
      <c r="P4" s="185"/>
      <c r="Q4" s="185"/>
      <c r="R4" s="185"/>
      <c r="S4" s="91"/>
      <c r="T4" s="185"/>
      <c r="U4" s="185"/>
      <c r="V4" s="185"/>
      <c r="W4" s="185"/>
      <c r="X4" s="185"/>
      <c r="Y4" s="179" t="s">
        <v>104</v>
      </c>
      <c r="Z4" s="185"/>
      <c r="AA4" s="185"/>
      <c r="AB4" s="185"/>
      <c r="AC4" s="185"/>
      <c r="AD4" s="185"/>
      <c r="AE4" s="91"/>
      <c r="AF4" s="185"/>
      <c r="AG4" s="185"/>
      <c r="AH4" s="185"/>
      <c r="AI4" s="185"/>
      <c r="AJ4" s="185"/>
      <c r="AK4" s="91"/>
      <c r="AL4" s="185"/>
      <c r="AM4" s="185"/>
      <c r="AN4" s="185"/>
      <c r="AO4" s="185"/>
      <c r="AP4" s="185"/>
      <c r="AQ4" s="179" t="s">
        <v>104</v>
      </c>
      <c r="AR4" s="185"/>
      <c r="AS4" s="185"/>
      <c r="AT4" s="185"/>
      <c r="AU4" s="185"/>
      <c r="AV4" s="185"/>
      <c r="AW4" s="91"/>
      <c r="AX4" s="185"/>
      <c r="AY4" s="185"/>
      <c r="AZ4" s="185"/>
      <c r="BA4" s="185"/>
      <c r="BB4" s="185"/>
      <c r="BC4" s="91"/>
      <c r="BD4" s="185"/>
      <c r="BE4" s="185"/>
      <c r="BF4" s="185"/>
      <c r="BG4" s="185"/>
      <c r="BH4" s="185"/>
    </row>
    <row r="5" spans="1:60" x14ac:dyDescent="0.2">
      <c r="A5" s="178"/>
      <c r="B5" s="186">
        <v>2008</v>
      </c>
      <c r="C5" s="186">
        <v>2010</v>
      </c>
      <c r="D5" s="186">
        <v>2015</v>
      </c>
      <c r="E5" s="186">
        <v>2020</v>
      </c>
      <c r="F5" s="119">
        <v>2025</v>
      </c>
      <c r="G5" s="119"/>
      <c r="H5" s="119">
        <f>B5</f>
        <v>2008</v>
      </c>
      <c r="I5" s="119">
        <f>C5</f>
        <v>2010</v>
      </c>
      <c r="J5" s="119">
        <f>D5</f>
        <v>2015</v>
      </c>
      <c r="K5" s="119">
        <f>E5</f>
        <v>2020</v>
      </c>
      <c r="L5" s="119">
        <f>F5</f>
        <v>2025</v>
      </c>
      <c r="M5" s="119"/>
      <c r="N5" s="119">
        <f>B5</f>
        <v>2008</v>
      </c>
      <c r="O5" s="119">
        <f>C5</f>
        <v>2010</v>
      </c>
      <c r="P5" s="119">
        <f>D5</f>
        <v>2015</v>
      </c>
      <c r="Q5" s="119">
        <f>E5</f>
        <v>2020</v>
      </c>
      <c r="R5" s="119">
        <f>F5</f>
        <v>2025</v>
      </c>
      <c r="S5" s="119"/>
      <c r="T5" s="119">
        <f>B5</f>
        <v>2008</v>
      </c>
      <c r="U5" s="119">
        <f>C5</f>
        <v>2010</v>
      </c>
      <c r="V5" s="119">
        <f>D5</f>
        <v>2015</v>
      </c>
      <c r="W5" s="119">
        <f>E5</f>
        <v>2020</v>
      </c>
      <c r="X5" s="119">
        <f>F5</f>
        <v>2025</v>
      </c>
      <c r="Y5" s="178"/>
      <c r="Z5" s="186">
        <v>2008</v>
      </c>
      <c r="AA5" s="186">
        <v>2010</v>
      </c>
      <c r="AB5" s="186">
        <v>2012</v>
      </c>
      <c r="AC5" s="186">
        <v>2015</v>
      </c>
      <c r="AD5" s="179">
        <v>2020</v>
      </c>
      <c r="AE5" s="119"/>
      <c r="AF5" s="119">
        <f>Z5</f>
        <v>2008</v>
      </c>
      <c r="AG5" s="119">
        <f>AA5</f>
        <v>2010</v>
      </c>
      <c r="AH5" s="119">
        <f>AB5</f>
        <v>2012</v>
      </c>
      <c r="AI5" s="119">
        <f>AC5</f>
        <v>2015</v>
      </c>
      <c r="AJ5" s="119">
        <f>AD5</f>
        <v>2020</v>
      </c>
      <c r="AK5" s="119"/>
      <c r="AL5" s="119">
        <f>Z5</f>
        <v>2008</v>
      </c>
      <c r="AM5" s="119">
        <f>AA5</f>
        <v>2010</v>
      </c>
      <c r="AN5" s="119">
        <f>AB5</f>
        <v>2012</v>
      </c>
      <c r="AO5" s="119">
        <f>AC5</f>
        <v>2015</v>
      </c>
      <c r="AP5" s="119">
        <f>AD5</f>
        <v>2020</v>
      </c>
      <c r="AQ5" s="178"/>
      <c r="AR5" s="186">
        <v>2008</v>
      </c>
      <c r="AS5" s="186">
        <v>2010</v>
      </c>
      <c r="AT5" s="186">
        <v>2012</v>
      </c>
      <c r="AU5" s="186">
        <v>2015</v>
      </c>
      <c r="AV5" s="179">
        <v>2020</v>
      </c>
      <c r="AW5" s="119"/>
      <c r="AX5" s="119">
        <f>AR5</f>
        <v>2008</v>
      </c>
      <c r="AY5" s="119">
        <f>AS5</f>
        <v>2010</v>
      </c>
      <c r="AZ5" s="119">
        <f>AT5</f>
        <v>2012</v>
      </c>
      <c r="BA5" s="119">
        <f>AU5</f>
        <v>2015</v>
      </c>
      <c r="BB5" s="119">
        <f>AV5</f>
        <v>2020</v>
      </c>
      <c r="BC5" s="119"/>
      <c r="BD5" s="119">
        <f>AR5</f>
        <v>2008</v>
      </c>
      <c r="BE5" s="119">
        <f>AS5</f>
        <v>2010</v>
      </c>
      <c r="BF5" s="119">
        <f>AT5</f>
        <v>2012</v>
      </c>
      <c r="BG5" s="119">
        <f>AU5</f>
        <v>2015</v>
      </c>
      <c r="BH5" s="119">
        <f>AV5</f>
        <v>2020</v>
      </c>
    </row>
    <row r="6" spans="1:60" x14ac:dyDescent="0.2">
      <c r="A6" s="113" t="s">
        <v>100</v>
      </c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Y6" s="113" t="str">
        <f>A6</f>
        <v>Males and females</v>
      </c>
      <c r="AD6" s="187"/>
      <c r="AE6" s="187"/>
      <c r="AF6" s="187"/>
      <c r="AG6" s="187"/>
      <c r="AH6" s="187"/>
      <c r="AI6" s="187"/>
      <c r="AJ6" s="187"/>
      <c r="AK6" s="187"/>
      <c r="AL6" s="187"/>
      <c r="AM6" s="187"/>
      <c r="AN6" s="187"/>
      <c r="AO6" s="187"/>
      <c r="AP6" s="187"/>
      <c r="AQ6" s="113" t="str">
        <f>A6</f>
        <v>Males and females</v>
      </c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</row>
    <row r="7" spans="1:60" x14ac:dyDescent="0.2">
      <c r="A7" s="90" t="s">
        <v>117</v>
      </c>
      <c r="B7" s="188">
        <f>SUM(B21,B35)</f>
        <v>3459.4640427147242</v>
      </c>
      <c r="C7" s="188">
        <f t="shared" ref="C7:F7" si="0">SUM(C21,C35)</f>
        <v>3400.2899538632541</v>
      </c>
      <c r="D7" s="188">
        <f t="shared" si="0"/>
        <v>3045.4402650537522</v>
      </c>
      <c r="E7" s="188">
        <f t="shared" si="0"/>
        <v>2678.9714989136332</v>
      </c>
      <c r="F7" s="188">
        <f t="shared" si="0"/>
        <v>2317.0105072138758</v>
      </c>
      <c r="G7" s="187"/>
      <c r="H7" s="188">
        <f>SUM(H21,H35)</f>
        <v>1679.4259754428681</v>
      </c>
      <c r="I7" s="188">
        <f t="shared" ref="I7:L7" si="1">SUM(I21,I35)</f>
        <v>1648.317888485841</v>
      </c>
      <c r="J7" s="188">
        <f t="shared" si="1"/>
        <v>1477.7490935463652</v>
      </c>
      <c r="K7" s="188">
        <f t="shared" si="1"/>
        <v>1288.2296891194944</v>
      </c>
      <c r="L7" s="188">
        <f t="shared" si="1"/>
        <v>1088.2685344941576</v>
      </c>
      <c r="M7" s="187"/>
      <c r="N7" s="188">
        <f>SUM(N21,N35)</f>
        <v>1780.0380672718561</v>
      </c>
      <c r="O7" s="188">
        <f t="shared" ref="O7:R7" si="2">SUM(O21,O35)</f>
        <v>1751.9720653774136</v>
      </c>
      <c r="P7" s="188">
        <f t="shared" si="2"/>
        <v>1567.6911715073866</v>
      </c>
      <c r="Q7" s="188">
        <f t="shared" si="2"/>
        <v>1390.7418097941386</v>
      </c>
      <c r="R7" s="188">
        <f t="shared" si="2"/>
        <v>1228.7419727197182</v>
      </c>
      <c r="S7" s="187"/>
      <c r="T7" s="188">
        <f>SUM(T21,T35)</f>
        <v>0</v>
      </c>
      <c r="U7" s="188">
        <f t="shared" ref="U7:X7" si="3">SUM(U21,U35)</f>
        <v>0</v>
      </c>
      <c r="V7" s="188">
        <f t="shared" si="3"/>
        <v>0</v>
      </c>
      <c r="W7" s="188">
        <f t="shared" si="3"/>
        <v>0</v>
      </c>
      <c r="X7" s="188">
        <f t="shared" si="3"/>
        <v>0</v>
      </c>
      <c r="Y7" s="90" t="str">
        <f>A7</f>
        <v>15+</v>
      </c>
      <c r="Z7" s="188">
        <f>SUM(Z21,Z35)</f>
        <v>3091.791884793171</v>
      </c>
      <c r="AA7" s="188">
        <f t="shared" ref="AA7:AD7" si="4">SUM(AA21,AA35)</f>
        <v>3065.8806069644388</v>
      </c>
      <c r="AB7" s="188">
        <f t="shared" si="4"/>
        <v>3409.3013579609269</v>
      </c>
      <c r="AC7" s="188">
        <f t="shared" si="4"/>
        <v>3706.9349474249966</v>
      </c>
      <c r="AD7" s="188">
        <f t="shared" si="4"/>
        <v>4020.4986268054308</v>
      </c>
      <c r="AE7" s="187"/>
      <c r="AF7" s="188">
        <f>SUM(AF21,AF35)</f>
        <v>2927.4264642789112</v>
      </c>
      <c r="AG7" s="188">
        <f t="shared" ref="AG7:AJ7" si="5">SUM(AG21,AG35)</f>
        <v>2904.0501410418874</v>
      </c>
      <c r="AH7" s="188">
        <f t="shared" si="5"/>
        <v>3230.1495942820802</v>
      </c>
      <c r="AI7" s="188">
        <f t="shared" si="5"/>
        <v>3512.6427518955061</v>
      </c>
      <c r="AJ7" s="188">
        <f t="shared" si="5"/>
        <v>3811.1764268486331</v>
      </c>
      <c r="AK7" s="187"/>
      <c r="AL7" s="188">
        <f>SUM(AL21,AL35)</f>
        <v>164.36542051425988</v>
      </c>
      <c r="AM7" s="188">
        <f t="shared" ref="AM7:AP7" si="6">SUM(AM21,AM35)</f>
        <v>161.83046592255167</v>
      </c>
      <c r="AN7" s="188">
        <f t="shared" si="6"/>
        <v>179.15176367884681</v>
      </c>
      <c r="AO7" s="188">
        <f t="shared" si="6"/>
        <v>194.29219552948987</v>
      </c>
      <c r="AP7" s="188">
        <f t="shared" si="6"/>
        <v>209.3221999567977</v>
      </c>
      <c r="AQ7" s="90" t="str">
        <f>A7</f>
        <v>15+</v>
      </c>
      <c r="AR7" s="188">
        <f>SUM(AR21,AR35)</f>
        <v>2315.1550724921058</v>
      </c>
      <c r="AS7" s="188">
        <f t="shared" ref="AS7:AV7" si="7">SUM(AS21,AS35)</f>
        <v>2541.5004391723069</v>
      </c>
      <c r="AT7" s="188">
        <f t="shared" si="7"/>
        <v>2941.8093769853213</v>
      </c>
      <c r="AU7" s="188">
        <f t="shared" si="7"/>
        <v>3371.4645536613707</v>
      </c>
      <c r="AV7" s="188">
        <f t="shared" si="7"/>
        <v>3852.3018659806939</v>
      </c>
      <c r="AW7" s="187"/>
      <c r="AX7" s="188">
        <f>SUM(AX21,AX35)</f>
        <v>2273.2830854649774</v>
      </c>
      <c r="AY7" s="188">
        <f t="shared" ref="AY7:BB7" si="8">SUM(AY21,AY35)</f>
        <v>2495.5789443393905</v>
      </c>
      <c r="AZ7" s="188">
        <f t="shared" si="8"/>
        <v>2888.5095204216923</v>
      </c>
      <c r="BA7" s="188">
        <f t="shared" si="8"/>
        <v>3309.625834412429</v>
      </c>
      <c r="BB7" s="188">
        <f t="shared" si="8"/>
        <v>3780.5650780045271</v>
      </c>
      <c r="BC7" s="187"/>
      <c r="BD7" s="188">
        <f>SUM(BD21,BD35)</f>
        <v>41.87198702712827</v>
      </c>
      <c r="BE7" s="188">
        <f t="shared" ref="BE7:BH7" si="9">SUM(BE21,BE35)</f>
        <v>45.921494832916046</v>
      </c>
      <c r="BF7" s="188">
        <f t="shared" si="9"/>
        <v>53.299856563628751</v>
      </c>
      <c r="BG7" s="188">
        <f t="shared" si="9"/>
        <v>61.838719248942184</v>
      </c>
      <c r="BH7" s="188">
        <f t="shared" si="9"/>
        <v>71.736787976166625</v>
      </c>
    </row>
    <row r="8" spans="1:60" x14ac:dyDescent="0.2">
      <c r="A8" s="90" t="s">
        <v>107</v>
      </c>
      <c r="B8" s="188">
        <f t="shared" ref="B8:F18" si="10">SUM(B22,B36)</f>
        <v>501.63108046561928</v>
      </c>
      <c r="C8" s="188">
        <f t="shared" si="10"/>
        <v>493.36896304450306</v>
      </c>
      <c r="D8" s="188">
        <f t="shared" si="10"/>
        <v>467.66784217805935</v>
      </c>
      <c r="E8" s="188">
        <f t="shared" si="10"/>
        <v>467.57168305686275</v>
      </c>
      <c r="F8" s="188">
        <f t="shared" si="10"/>
        <v>503.21354379106839</v>
      </c>
      <c r="G8" s="187"/>
      <c r="H8" s="188">
        <f t="shared" ref="H8:L18" si="11">SUM(H22,H36)</f>
        <v>114.48583632559203</v>
      </c>
      <c r="I8" s="188">
        <f t="shared" si="11"/>
        <v>112.4668251880446</v>
      </c>
      <c r="J8" s="188">
        <f t="shared" si="11"/>
        <v>106.55167737427834</v>
      </c>
      <c r="K8" s="188">
        <f t="shared" si="11"/>
        <v>106.48887604298042</v>
      </c>
      <c r="L8" s="188">
        <f t="shared" si="11"/>
        <v>114.56799971676224</v>
      </c>
      <c r="M8" s="187"/>
      <c r="N8" s="188">
        <f t="shared" ref="N8:R18" si="12">SUM(N22,N36)</f>
        <v>387.14524414002727</v>
      </c>
      <c r="O8" s="188">
        <f t="shared" si="12"/>
        <v>380.90213785645847</v>
      </c>
      <c r="P8" s="188">
        <f t="shared" si="12"/>
        <v>361.11616480378109</v>
      </c>
      <c r="Q8" s="188">
        <f t="shared" si="12"/>
        <v>361.08280701388242</v>
      </c>
      <c r="R8" s="188">
        <f t="shared" si="12"/>
        <v>388.64554407430614</v>
      </c>
      <c r="S8" s="187"/>
      <c r="T8" s="188">
        <f t="shared" ref="T8:X18" si="13">SUM(T22,T36)</f>
        <v>0</v>
      </c>
      <c r="U8" s="188">
        <f t="shared" si="13"/>
        <v>0</v>
      </c>
      <c r="V8" s="188">
        <f t="shared" si="13"/>
        <v>0</v>
      </c>
      <c r="W8" s="188">
        <f t="shared" si="13"/>
        <v>0</v>
      </c>
      <c r="X8" s="188">
        <f t="shared" si="13"/>
        <v>0</v>
      </c>
      <c r="Y8" s="90" t="str">
        <f t="shared" ref="Y8:Y20" si="14">A8</f>
        <v>15-19</v>
      </c>
      <c r="Z8" s="188">
        <f t="shared" ref="Z8:AD18" si="15">SUM(Z22,Z36)</f>
        <v>150.08101199827104</v>
      </c>
      <c r="AA8" s="188">
        <f t="shared" si="15"/>
        <v>155.93795619324226</v>
      </c>
      <c r="AB8" s="188">
        <f t="shared" si="15"/>
        <v>164.99720704459003</v>
      </c>
      <c r="AC8" s="188">
        <f t="shared" si="15"/>
        <v>178.36278144057661</v>
      </c>
      <c r="AD8" s="188">
        <f t="shared" si="15"/>
        <v>207.50995998860915</v>
      </c>
      <c r="AE8" s="187"/>
      <c r="AF8" s="188">
        <f t="shared" ref="AF8:AJ18" si="16">SUM(AF22,AF36)</f>
        <v>147.86996763731275</v>
      </c>
      <c r="AG8" s="188">
        <f t="shared" si="16"/>
        <v>153.62639813852158</v>
      </c>
      <c r="AH8" s="188">
        <f t="shared" si="16"/>
        <v>162.54197557268748</v>
      </c>
      <c r="AI8" s="188">
        <f t="shared" si="16"/>
        <v>175.70743183187028</v>
      </c>
      <c r="AJ8" s="188">
        <f t="shared" si="16"/>
        <v>204.41892397369543</v>
      </c>
      <c r="AK8" s="187"/>
      <c r="AL8" s="188">
        <f t="shared" ref="AL8:AP18" si="17">SUM(AL22,AL36)</f>
        <v>2.2110443609582711</v>
      </c>
      <c r="AM8" s="188">
        <f t="shared" si="17"/>
        <v>2.3115580547206553</v>
      </c>
      <c r="AN8" s="188">
        <f t="shared" si="17"/>
        <v>2.4552314719025436</v>
      </c>
      <c r="AO8" s="188">
        <f t="shared" si="17"/>
        <v>2.6553496087063317</v>
      </c>
      <c r="AP8" s="188">
        <f t="shared" si="17"/>
        <v>3.0910360149137395</v>
      </c>
      <c r="AQ8" s="90" t="str">
        <f t="shared" ref="AQ8:AQ18" si="18">A8</f>
        <v>15-19</v>
      </c>
      <c r="AR8" s="188">
        <f t="shared" ref="AR8:AV18" si="19">SUM(AR22,AR36)</f>
        <v>0.60290753610971359</v>
      </c>
      <c r="AS8" s="188">
        <f t="shared" si="19"/>
        <v>1.3250807622546965</v>
      </c>
      <c r="AT8" s="188">
        <f t="shared" si="19"/>
        <v>1.9219507773505975</v>
      </c>
      <c r="AU8" s="188">
        <f t="shared" si="19"/>
        <v>1.9655355025605465</v>
      </c>
      <c r="AV8" s="188">
        <f t="shared" si="19"/>
        <v>2.1654962203224546</v>
      </c>
      <c r="AW8" s="187"/>
      <c r="AX8" s="188">
        <f t="shared" ref="AX8:BB18" si="20">SUM(AX22,AX36)</f>
        <v>0.54737466781637356</v>
      </c>
      <c r="AY8" s="188">
        <f t="shared" si="20"/>
        <v>1.2407671949430608</v>
      </c>
      <c r="AZ8" s="188">
        <f t="shared" si="20"/>
        <v>1.8657913659809988</v>
      </c>
      <c r="BA8" s="188">
        <f t="shared" si="20"/>
        <v>1.9082644770900146</v>
      </c>
      <c r="BB8" s="188">
        <f t="shared" si="20"/>
        <v>2.1026008851094398</v>
      </c>
      <c r="BC8" s="187"/>
      <c r="BD8" s="188">
        <f t="shared" ref="BD8:BH18" si="21">SUM(BD22,BD36)</f>
        <v>5.5532868293339949E-2</v>
      </c>
      <c r="BE8" s="188">
        <f t="shared" si="21"/>
        <v>8.4313567311635793E-2</v>
      </c>
      <c r="BF8" s="188">
        <f t="shared" si="21"/>
        <v>5.6159411369598657E-2</v>
      </c>
      <c r="BG8" s="188">
        <f t="shared" si="21"/>
        <v>5.7271025470531763E-2</v>
      </c>
      <c r="BH8" s="188">
        <f t="shared" si="21"/>
        <v>6.2895335213014894E-2</v>
      </c>
    </row>
    <row r="9" spans="1:60" x14ac:dyDescent="0.2">
      <c r="A9" s="90" t="s">
        <v>108</v>
      </c>
      <c r="B9" s="188">
        <f t="shared" si="10"/>
        <v>113.85056817629103</v>
      </c>
      <c r="C9" s="188">
        <f t="shared" si="10"/>
        <v>115.65112792404403</v>
      </c>
      <c r="D9" s="188">
        <f t="shared" si="10"/>
        <v>108.64656736044506</v>
      </c>
      <c r="E9" s="188">
        <f t="shared" si="10"/>
        <v>95.846387380896019</v>
      </c>
      <c r="F9" s="188">
        <f t="shared" si="10"/>
        <v>87.521667739268693</v>
      </c>
      <c r="G9" s="187"/>
      <c r="H9" s="188">
        <f t="shared" si="11"/>
        <v>36.71242366227203</v>
      </c>
      <c r="I9" s="188">
        <f t="shared" si="11"/>
        <v>37.140869961294854</v>
      </c>
      <c r="J9" s="188">
        <f t="shared" si="11"/>
        <v>34.405280511674597</v>
      </c>
      <c r="K9" s="188">
        <f t="shared" si="11"/>
        <v>30.323294922669287</v>
      </c>
      <c r="L9" s="188">
        <f t="shared" si="11"/>
        <v>27.681805786841899</v>
      </c>
      <c r="M9" s="187"/>
      <c r="N9" s="188">
        <f t="shared" si="12"/>
        <v>77.13814451401899</v>
      </c>
      <c r="O9" s="188">
        <f t="shared" si="12"/>
        <v>78.510257962749179</v>
      </c>
      <c r="P9" s="188">
        <f t="shared" si="12"/>
        <v>74.241286848770471</v>
      </c>
      <c r="Q9" s="188">
        <f t="shared" si="12"/>
        <v>65.523092458226728</v>
      </c>
      <c r="R9" s="188">
        <f t="shared" si="12"/>
        <v>59.839861952426787</v>
      </c>
      <c r="S9" s="187"/>
      <c r="T9" s="188">
        <f t="shared" si="13"/>
        <v>0</v>
      </c>
      <c r="U9" s="188">
        <f t="shared" si="13"/>
        <v>0</v>
      </c>
      <c r="V9" s="188">
        <f t="shared" si="13"/>
        <v>0</v>
      </c>
      <c r="W9" s="188">
        <f t="shared" si="13"/>
        <v>0</v>
      </c>
      <c r="X9" s="188">
        <f t="shared" si="13"/>
        <v>0</v>
      </c>
      <c r="Y9" s="90" t="str">
        <f t="shared" si="14"/>
        <v>20-24</v>
      </c>
      <c r="Z9" s="188">
        <f t="shared" si="15"/>
        <v>382.98069564153434</v>
      </c>
      <c r="AA9" s="188">
        <f t="shared" si="15"/>
        <v>394.35590193118628</v>
      </c>
      <c r="AB9" s="188">
        <f t="shared" si="15"/>
        <v>412.87076891444883</v>
      </c>
      <c r="AC9" s="188">
        <f t="shared" si="15"/>
        <v>399.37934349064994</v>
      </c>
      <c r="AD9" s="188">
        <f t="shared" si="15"/>
        <v>400.88677473503026</v>
      </c>
      <c r="AE9" s="187"/>
      <c r="AF9" s="188">
        <f t="shared" si="16"/>
        <v>363.98477719851724</v>
      </c>
      <c r="AG9" s="188">
        <f t="shared" si="16"/>
        <v>374.77312480698299</v>
      </c>
      <c r="AH9" s="188">
        <f t="shared" si="16"/>
        <v>392.37404871527087</v>
      </c>
      <c r="AI9" s="188">
        <f t="shared" si="16"/>
        <v>379.57670333802525</v>
      </c>
      <c r="AJ9" s="188">
        <f t="shared" si="16"/>
        <v>381.02605803364366</v>
      </c>
      <c r="AK9" s="187"/>
      <c r="AL9" s="188">
        <f t="shared" si="17"/>
        <v>18.995918443017182</v>
      </c>
      <c r="AM9" s="188">
        <f t="shared" si="17"/>
        <v>19.582777124203318</v>
      </c>
      <c r="AN9" s="188">
        <f t="shared" si="17"/>
        <v>20.49672019917795</v>
      </c>
      <c r="AO9" s="188">
        <f t="shared" si="17"/>
        <v>19.802640152624711</v>
      </c>
      <c r="AP9" s="188">
        <f t="shared" si="17"/>
        <v>19.860716701386607</v>
      </c>
      <c r="AQ9" s="90" t="str">
        <f t="shared" si="18"/>
        <v>20-24</v>
      </c>
      <c r="AR9" s="188">
        <f t="shared" si="19"/>
        <v>143.68473618217462</v>
      </c>
      <c r="AS9" s="188">
        <f t="shared" si="19"/>
        <v>150.71097014476959</v>
      </c>
      <c r="AT9" s="188">
        <f t="shared" si="19"/>
        <v>186.98366372510611</v>
      </c>
      <c r="AU9" s="188">
        <f t="shared" si="19"/>
        <v>201.56226912845403</v>
      </c>
      <c r="AV9" s="188">
        <f t="shared" si="19"/>
        <v>224.84155752570109</v>
      </c>
      <c r="AW9" s="187"/>
      <c r="AX9" s="188">
        <f t="shared" si="20"/>
        <v>143.33653114819879</v>
      </c>
      <c r="AY9" s="188">
        <f t="shared" si="20"/>
        <v>150.34362309651959</v>
      </c>
      <c r="AZ9" s="188">
        <f t="shared" si="20"/>
        <v>186.52415613000247</v>
      </c>
      <c r="BA9" s="188">
        <f t="shared" si="20"/>
        <v>201.06633972833936</v>
      </c>
      <c r="BB9" s="188">
        <f t="shared" si="20"/>
        <v>224.28837377749321</v>
      </c>
      <c r="BC9" s="187"/>
      <c r="BD9" s="188">
        <f t="shared" si="21"/>
        <v>0.34820503397584823</v>
      </c>
      <c r="BE9" s="188">
        <f t="shared" si="21"/>
        <v>0.36734704825001729</v>
      </c>
      <c r="BF9" s="188">
        <f t="shared" si="21"/>
        <v>0.4595075951036377</v>
      </c>
      <c r="BG9" s="188">
        <f t="shared" si="21"/>
        <v>0.49592940011468256</v>
      </c>
      <c r="BH9" s="188">
        <f t="shared" si="21"/>
        <v>0.55318374820788452</v>
      </c>
    </row>
    <row r="10" spans="1:60" x14ac:dyDescent="0.2">
      <c r="A10" s="90" t="s">
        <v>109</v>
      </c>
      <c r="B10" s="188">
        <f t="shared" si="10"/>
        <v>115.37907358541085</v>
      </c>
      <c r="C10" s="188">
        <f t="shared" si="10"/>
        <v>127.07460532220105</v>
      </c>
      <c r="D10" s="188">
        <f t="shared" si="10"/>
        <v>118.40314244947737</v>
      </c>
      <c r="E10" s="188">
        <f t="shared" si="10"/>
        <v>117.74066640587412</v>
      </c>
      <c r="F10" s="188">
        <f t="shared" si="10"/>
        <v>104.64926095222505</v>
      </c>
      <c r="G10" s="187"/>
      <c r="H10" s="188">
        <f t="shared" si="11"/>
        <v>40.798223765839786</v>
      </c>
      <c r="I10" s="188">
        <f t="shared" si="11"/>
        <v>45.065990030629422</v>
      </c>
      <c r="J10" s="188">
        <f t="shared" si="11"/>
        <v>41.916443930124132</v>
      </c>
      <c r="K10" s="188">
        <f t="shared" si="11"/>
        <v>41.603247748686108</v>
      </c>
      <c r="L10" s="188">
        <f t="shared" si="11"/>
        <v>36.975172705743539</v>
      </c>
      <c r="M10" s="187"/>
      <c r="N10" s="188">
        <f t="shared" si="12"/>
        <v>74.580849819571057</v>
      </c>
      <c r="O10" s="188">
        <f t="shared" si="12"/>
        <v>82.008615291571644</v>
      </c>
      <c r="P10" s="188">
        <f t="shared" si="12"/>
        <v>76.48669851935324</v>
      </c>
      <c r="Q10" s="188">
        <f t="shared" si="12"/>
        <v>76.137418657188022</v>
      </c>
      <c r="R10" s="188">
        <f t="shared" si="12"/>
        <v>67.674088246481503</v>
      </c>
      <c r="S10" s="187"/>
      <c r="T10" s="188">
        <f t="shared" si="13"/>
        <v>0</v>
      </c>
      <c r="U10" s="188">
        <f t="shared" si="13"/>
        <v>0</v>
      </c>
      <c r="V10" s="188">
        <f t="shared" si="13"/>
        <v>0</v>
      </c>
      <c r="W10" s="188">
        <f t="shared" si="13"/>
        <v>0</v>
      </c>
      <c r="X10" s="188">
        <f t="shared" si="13"/>
        <v>0</v>
      </c>
      <c r="Y10" s="90" t="str">
        <f t="shared" si="14"/>
        <v>25-29</v>
      </c>
      <c r="Z10" s="188">
        <f t="shared" si="15"/>
        <v>285.32401508902581</v>
      </c>
      <c r="AA10" s="188">
        <f t="shared" si="15"/>
        <v>266.19879984541552</v>
      </c>
      <c r="AB10" s="188">
        <f t="shared" si="15"/>
        <v>280.11568976670378</v>
      </c>
      <c r="AC10" s="188">
        <f t="shared" si="15"/>
        <v>295.3482302777582</v>
      </c>
      <c r="AD10" s="188">
        <f t="shared" si="15"/>
        <v>289.74487116781143</v>
      </c>
      <c r="AE10" s="187"/>
      <c r="AF10" s="188">
        <f t="shared" si="16"/>
        <v>264.71283723333693</v>
      </c>
      <c r="AG10" s="188">
        <f t="shared" si="16"/>
        <v>246.96600220301298</v>
      </c>
      <c r="AH10" s="188">
        <f t="shared" si="16"/>
        <v>260.0379790136522</v>
      </c>
      <c r="AI10" s="188">
        <f t="shared" si="16"/>
        <v>274.30243506375962</v>
      </c>
      <c r="AJ10" s="188">
        <f t="shared" si="16"/>
        <v>269.19630907068336</v>
      </c>
      <c r="AK10" s="187"/>
      <c r="AL10" s="188">
        <f t="shared" si="17"/>
        <v>20.611177855688922</v>
      </c>
      <c r="AM10" s="188">
        <f t="shared" si="17"/>
        <v>19.232797642402538</v>
      </c>
      <c r="AN10" s="188">
        <f t="shared" si="17"/>
        <v>20.077710753051615</v>
      </c>
      <c r="AO10" s="188">
        <f t="shared" si="17"/>
        <v>21.04579521399852</v>
      </c>
      <c r="AP10" s="188">
        <f t="shared" si="17"/>
        <v>20.548562097128041</v>
      </c>
      <c r="AQ10" s="90" t="str">
        <f t="shared" si="18"/>
        <v>25-29</v>
      </c>
      <c r="AR10" s="188">
        <f t="shared" si="19"/>
        <v>285.48891132556332</v>
      </c>
      <c r="AS10" s="188">
        <f t="shared" si="19"/>
        <v>298.43559483238334</v>
      </c>
      <c r="AT10" s="188">
        <f t="shared" si="19"/>
        <v>329.80716778381884</v>
      </c>
      <c r="AU10" s="188">
        <f t="shared" si="19"/>
        <v>365.58310331636773</v>
      </c>
      <c r="AV10" s="188">
        <f t="shared" si="19"/>
        <v>376.96286787996354</v>
      </c>
      <c r="AW10" s="187"/>
      <c r="AX10" s="188">
        <f t="shared" si="20"/>
        <v>282.70510559860855</v>
      </c>
      <c r="AY10" s="188">
        <f t="shared" si="20"/>
        <v>295.51880182634955</v>
      </c>
      <c r="AZ10" s="188">
        <f t="shared" si="20"/>
        <v>326.59395287550331</v>
      </c>
      <c r="BA10" s="188">
        <f t="shared" si="20"/>
        <v>362.02223728946319</v>
      </c>
      <c r="BB10" s="188">
        <f t="shared" si="20"/>
        <v>373.29368404794025</v>
      </c>
      <c r="BC10" s="187"/>
      <c r="BD10" s="188">
        <f t="shared" si="21"/>
        <v>2.7838057269548049</v>
      </c>
      <c r="BE10" s="188">
        <f t="shared" si="21"/>
        <v>2.916793006033831</v>
      </c>
      <c r="BF10" s="188">
        <f t="shared" si="21"/>
        <v>3.2132149083155843</v>
      </c>
      <c r="BG10" s="188">
        <f t="shared" si="21"/>
        <v>3.5608660269045256</v>
      </c>
      <c r="BH10" s="188">
        <f t="shared" si="21"/>
        <v>3.669183832023271</v>
      </c>
    </row>
    <row r="11" spans="1:60" x14ac:dyDescent="0.2">
      <c r="A11" s="90" t="s">
        <v>110</v>
      </c>
      <c r="B11" s="188">
        <f t="shared" si="10"/>
        <v>116.6348130799831</v>
      </c>
      <c r="C11" s="188">
        <f t="shared" si="10"/>
        <v>121.76030756867036</v>
      </c>
      <c r="D11" s="188">
        <f t="shared" si="10"/>
        <v>118.18823108583572</v>
      </c>
      <c r="E11" s="188">
        <f t="shared" si="10"/>
        <v>109.913241263863</v>
      </c>
      <c r="F11" s="188">
        <f t="shared" si="10"/>
        <v>93.676057480419587</v>
      </c>
      <c r="G11" s="187"/>
      <c r="H11" s="188">
        <f t="shared" si="11"/>
        <v>44.791528463722429</v>
      </c>
      <c r="I11" s="188">
        <f t="shared" si="11"/>
        <v>47.017124581566897</v>
      </c>
      <c r="J11" s="188">
        <f t="shared" si="11"/>
        <v>45.575297988406476</v>
      </c>
      <c r="K11" s="188">
        <f t="shared" si="11"/>
        <v>42.364426936905772</v>
      </c>
      <c r="L11" s="188">
        <f t="shared" si="11"/>
        <v>36.057194740501721</v>
      </c>
      <c r="M11" s="187"/>
      <c r="N11" s="188">
        <f t="shared" si="12"/>
        <v>71.843284616260675</v>
      </c>
      <c r="O11" s="188">
        <f t="shared" si="12"/>
        <v>74.743182987103467</v>
      </c>
      <c r="P11" s="188">
        <f t="shared" si="12"/>
        <v>72.612933097429249</v>
      </c>
      <c r="Q11" s="188">
        <f t="shared" si="12"/>
        <v>67.548814326957228</v>
      </c>
      <c r="R11" s="188">
        <f t="shared" si="12"/>
        <v>57.618862739917844</v>
      </c>
      <c r="S11" s="187"/>
      <c r="T11" s="188">
        <f t="shared" si="13"/>
        <v>0</v>
      </c>
      <c r="U11" s="188">
        <f t="shared" si="13"/>
        <v>0</v>
      </c>
      <c r="V11" s="188">
        <f t="shared" si="13"/>
        <v>0</v>
      </c>
      <c r="W11" s="188">
        <f t="shared" si="13"/>
        <v>0</v>
      </c>
      <c r="X11" s="188">
        <f t="shared" si="13"/>
        <v>0</v>
      </c>
      <c r="Y11" s="90" t="str">
        <f t="shared" si="14"/>
        <v>30-34</v>
      </c>
      <c r="Z11" s="188">
        <f t="shared" si="15"/>
        <v>275.1983307590632</v>
      </c>
      <c r="AA11" s="188">
        <f t="shared" si="15"/>
        <v>266.0829768237935</v>
      </c>
      <c r="AB11" s="188">
        <f t="shared" si="15"/>
        <v>285.51361958464611</v>
      </c>
      <c r="AC11" s="188">
        <f t="shared" si="15"/>
        <v>296.32015564557162</v>
      </c>
      <c r="AD11" s="188">
        <f t="shared" si="15"/>
        <v>317.88848271212305</v>
      </c>
      <c r="AE11" s="187"/>
      <c r="AF11" s="188">
        <f t="shared" si="16"/>
        <v>255.48717394280527</v>
      </c>
      <c r="AG11" s="188">
        <f t="shared" si="16"/>
        <v>247.06950912979124</v>
      </c>
      <c r="AH11" s="188">
        <f t="shared" si="16"/>
        <v>265.15360262399543</v>
      </c>
      <c r="AI11" s="188">
        <f t="shared" si="16"/>
        <v>275.24980054915358</v>
      </c>
      <c r="AJ11" s="188">
        <f t="shared" si="16"/>
        <v>295.36996417982152</v>
      </c>
      <c r="AK11" s="187"/>
      <c r="AL11" s="188">
        <f t="shared" si="17"/>
        <v>19.711156816257962</v>
      </c>
      <c r="AM11" s="188">
        <f t="shared" si="17"/>
        <v>19.01346769400228</v>
      </c>
      <c r="AN11" s="188">
        <f t="shared" si="17"/>
        <v>20.360016960650725</v>
      </c>
      <c r="AO11" s="188">
        <f t="shared" si="17"/>
        <v>21.070355096418023</v>
      </c>
      <c r="AP11" s="188">
        <f t="shared" si="17"/>
        <v>22.518518532301513</v>
      </c>
      <c r="AQ11" s="90" t="str">
        <f t="shared" si="18"/>
        <v>30-34</v>
      </c>
      <c r="AR11" s="188">
        <f t="shared" si="19"/>
        <v>294.76785616095367</v>
      </c>
      <c r="AS11" s="188">
        <f t="shared" si="19"/>
        <v>310.21271560753621</v>
      </c>
      <c r="AT11" s="188">
        <f t="shared" si="19"/>
        <v>340.70814932951816</v>
      </c>
      <c r="AU11" s="188">
        <f t="shared" si="19"/>
        <v>369.83560309056543</v>
      </c>
      <c r="AV11" s="188">
        <f t="shared" si="19"/>
        <v>418.22345980745735</v>
      </c>
      <c r="AW11" s="187"/>
      <c r="AX11" s="188">
        <f t="shared" si="20"/>
        <v>289.63080788660079</v>
      </c>
      <c r="AY11" s="188">
        <f t="shared" si="20"/>
        <v>304.79570037586518</v>
      </c>
      <c r="AZ11" s="188">
        <f t="shared" si="20"/>
        <v>334.81192752241731</v>
      </c>
      <c r="BA11" s="188">
        <f t="shared" si="20"/>
        <v>363.47263912244296</v>
      </c>
      <c r="BB11" s="188">
        <f t="shared" si="20"/>
        <v>411.01000020534735</v>
      </c>
      <c r="BC11" s="187"/>
      <c r="BD11" s="188">
        <f t="shared" si="21"/>
        <v>5.1370482743529013</v>
      </c>
      <c r="BE11" s="188">
        <f t="shared" si="21"/>
        <v>5.4170152316709643</v>
      </c>
      <c r="BF11" s="188">
        <f t="shared" si="21"/>
        <v>5.8962218071008108</v>
      </c>
      <c r="BG11" s="188">
        <f t="shared" si="21"/>
        <v>6.3629639681224219</v>
      </c>
      <c r="BH11" s="188">
        <f t="shared" si="21"/>
        <v>7.213459602110035</v>
      </c>
    </row>
    <row r="12" spans="1:60" x14ac:dyDescent="0.2">
      <c r="A12" s="90" t="s">
        <v>111</v>
      </c>
      <c r="B12" s="188">
        <f t="shared" si="10"/>
        <v>154.11214519557188</v>
      </c>
      <c r="C12" s="188">
        <f t="shared" si="10"/>
        <v>148.15717385227549</v>
      </c>
      <c r="D12" s="188">
        <f t="shared" si="10"/>
        <v>124.1637405731941</v>
      </c>
      <c r="E12" s="188">
        <f t="shared" si="10"/>
        <v>103.00106387667563</v>
      </c>
      <c r="F12" s="188">
        <f t="shared" si="10"/>
        <v>79.667767346824377</v>
      </c>
      <c r="G12" s="187"/>
      <c r="H12" s="188">
        <f t="shared" si="11"/>
        <v>56.003261702459064</v>
      </c>
      <c r="I12" s="188">
        <f t="shared" si="11"/>
        <v>53.61808406304786</v>
      </c>
      <c r="J12" s="188">
        <f t="shared" si="11"/>
        <v>44.946036484441635</v>
      </c>
      <c r="K12" s="188">
        <f t="shared" si="11"/>
        <v>37.289691972205802</v>
      </c>
      <c r="L12" s="188">
        <f t="shared" si="11"/>
        <v>28.798762169451095</v>
      </c>
      <c r="M12" s="187"/>
      <c r="N12" s="188">
        <f t="shared" si="12"/>
        <v>98.108883493112813</v>
      </c>
      <c r="O12" s="188">
        <f t="shared" si="12"/>
        <v>94.539089789227646</v>
      </c>
      <c r="P12" s="188">
        <f t="shared" si="12"/>
        <v>79.21770408875247</v>
      </c>
      <c r="Q12" s="188">
        <f t="shared" si="12"/>
        <v>65.711371904469829</v>
      </c>
      <c r="R12" s="188">
        <f t="shared" si="12"/>
        <v>50.869005177373282</v>
      </c>
      <c r="S12" s="187"/>
      <c r="T12" s="188">
        <f t="shared" si="13"/>
        <v>0</v>
      </c>
      <c r="U12" s="188">
        <f t="shared" si="13"/>
        <v>0</v>
      </c>
      <c r="V12" s="188">
        <f t="shared" si="13"/>
        <v>0</v>
      </c>
      <c r="W12" s="188">
        <f t="shared" si="13"/>
        <v>0</v>
      </c>
      <c r="X12" s="188">
        <f t="shared" si="13"/>
        <v>0</v>
      </c>
      <c r="Y12" s="90" t="str">
        <f t="shared" si="14"/>
        <v>35-39</v>
      </c>
      <c r="Z12" s="188">
        <f t="shared" si="15"/>
        <v>322.88579844316473</v>
      </c>
      <c r="AA12" s="188">
        <f t="shared" si="15"/>
        <v>287.4998240668773</v>
      </c>
      <c r="AB12" s="188">
        <f t="shared" si="15"/>
        <v>280.92839455401918</v>
      </c>
      <c r="AC12" s="188">
        <f t="shared" si="15"/>
        <v>299.54044624192568</v>
      </c>
      <c r="AD12" s="188">
        <f t="shared" si="15"/>
        <v>317.07239175090058</v>
      </c>
      <c r="AE12" s="187"/>
      <c r="AF12" s="188">
        <f t="shared" si="16"/>
        <v>303.37132132153579</v>
      </c>
      <c r="AG12" s="188">
        <f t="shared" si="16"/>
        <v>270.10893635844064</v>
      </c>
      <c r="AH12" s="188">
        <f t="shared" si="16"/>
        <v>263.99085237827694</v>
      </c>
      <c r="AI12" s="188">
        <f t="shared" si="16"/>
        <v>281.50570542953108</v>
      </c>
      <c r="AJ12" s="188">
        <f t="shared" si="16"/>
        <v>298.00980149252553</v>
      </c>
      <c r="AK12" s="187"/>
      <c r="AL12" s="188">
        <f t="shared" si="17"/>
        <v>19.514477121629021</v>
      </c>
      <c r="AM12" s="188">
        <f t="shared" si="17"/>
        <v>17.390887708436701</v>
      </c>
      <c r="AN12" s="188">
        <f t="shared" si="17"/>
        <v>16.937542175742227</v>
      </c>
      <c r="AO12" s="188">
        <f t="shared" si="17"/>
        <v>18.034740812394613</v>
      </c>
      <c r="AP12" s="188">
        <f t="shared" si="17"/>
        <v>19.062590258375032</v>
      </c>
      <c r="AQ12" s="90" t="str">
        <f t="shared" si="18"/>
        <v>35-39</v>
      </c>
      <c r="AR12" s="188">
        <f t="shared" si="19"/>
        <v>284.91205636126335</v>
      </c>
      <c r="AS12" s="188">
        <f t="shared" si="19"/>
        <v>312.0690020808471</v>
      </c>
      <c r="AT12" s="188">
        <f t="shared" si="19"/>
        <v>329.21186487278669</v>
      </c>
      <c r="AU12" s="188">
        <f t="shared" si="19"/>
        <v>370.51748988139866</v>
      </c>
      <c r="AV12" s="188">
        <f t="shared" si="19"/>
        <v>410.36684090227504</v>
      </c>
      <c r="AW12" s="187"/>
      <c r="AX12" s="188">
        <f t="shared" si="20"/>
        <v>279.90489605154085</v>
      </c>
      <c r="AY12" s="188">
        <f t="shared" si="20"/>
        <v>306.58743388534367</v>
      </c>
      <c r="AZ12" s="188">
        <f t="shared" si="20"/>
        <v>323.49821814056338</v>
      </c>
      <c r="BA12" s="188">
        <f t="shared" si="20"/>
        <v>364.11650308755236</v>
      </c>
      <c r="BB12" s="188">
        <f t="shared" si="20"/>
        <v>403.29145582426617</v>
      </c>
      <c r="BC12" s="187"/>
      <c r="BD12" s="188">
        <f t="shared" si="21"/>
        <v>5.0071603097225514</v>
      </c>
      <c r="BE12" s="188">
        <f t="shared" si="21"/>
        <v>5.4815681955034474</v>
      </c>
      <c r="BF12" s="188">
        <f t="shared" si="21"/>
        <v>5.7136467322232507</v>
      </c>
      <c r="BG12" s="188">
        <f t="shared" si="21"/>
        <v>6.4009867938463287</v>
      </c>
      <c r="BH12" s="188">
        <f t="shared" si="21"/>
        <v>7.0753850780088525</v>
      </c>
    </row>
    <row r="13" spans="1:60" x14ac:dyDescent="0.2">
      <c r="A13" s="90" t="s">
        <v>112</v>
      </c>
      <c r="B13" s="188">
        <f t="shared" si="10"/>
        <v>204.95472906429887</v>
      </c>
      <c r="C13" s="188">
        <f t="shared" si="10"/>
        <v>183.2736739920656</v>
      </c>
      <c r="D13" s="188">
        <f t="shared" si="10"/>
        <v>145.6109353666948</v>
      </c>
      <c r="E13" s="188">
        <f t="shared" si="10"/>
        <v>103.89159180775462</v>
      </c>
      <c r="F13" s="188">
        <f t="shared" si="10"/>
        <v>77.263056657170154</v>
      </c>
      <c r="G13" s="187"/>
      <c r="H13" s="188">
        <f t="shared" si="11"/>
        <v>75.043968155480954</v>
      </c>
      <c r="I13" s="188">
        <f t="shared" si="11"/>
        <v>66.962528106248641</v>
      </c>
      <c r="J13" s="188">
        <f t="shared" si="11"/>
        <v>53.205635957380473</v>
      </c>
      <c r="K13" s="188">
        <f t="shared" si="11"/>
        <v>37.898539746132187</v>
      </c>
      <c r="L13" s="188">
        <f t="shared" si="11"/>
        <v>28.104284599359445</v>
      </c>
      <c r="M13" s="187"/>
      <c r="N13" s="188">
        <f t="shared" si="12"/>
        <v>129.91076090881791</v>
      </c>
      <c r="O13" s="188">
        <f t="shared" si="12"/>
        <v>116.31114588581696</v>
      </c>
      <c r="P13" s="188">
        <f t="shared" si="12"/>
        <v>92.405299409314324</v>
      </c>
      <c r="Q13" s="188">
        <f t="shared" si="12"/>
        <v>65.993052061622421</v>
      </c>
      <c r="R13" s="188">
        <f t="shared" si="12"/>
        <v>49.158772057810708</v>
      </c>
      <c r="S13" s="187"/>
      <c r="T13" s="188">
        <f t="shared" si="13"/>
        <v>0</v>
      </c>
      <c r="U13" s="188">
        <f t="shared" si="13"/>
        <v>0</v>
      </c>
      <c r="V13" s="188">
        <f t="shared" si="13"/>
        <v>0</v>
      </c>
      <c r="W13" s="188">
        <f t="shared" si="13"/>
        <v>0</v>
      </c>
      <c r="X13" s="188">
        <f t="shared" si="13"/>
        <v>0</v>
      </c>
      <c r="Y13" s="90" t="str">
        <f t="shared" si="14"/>
        <v>40-44</v>
      </c>
      <c r="Z13" s="188">
        <f t="shared" si="15"/>
        <v>335.88123323100854</v>
      </c>
      <c r="AA13" s="188">
        <f t="shared" si="15"/>
        <v>312.92776503427081</v>
      </c>
      <c r="AB13" s="188">
        <f t="shared" si="15"/>
        <v>302.35363356602068</v>
      </c>
      <c r="AC13" s="188">
        <f t="shared" si="15"/>
        <v>306.64075194256282</v>
      </c>
      <c r="AD13" s="188">
        <f t="shared" si="15"/>
        <v>332.62704072525781</v>
      </c>
      <c r="AE13" s="187"/>
      <c r="AF13" s="188">
        <f t="shared" si="16"/>
        <v>318.57769939988361</v>
      </c>
      <c r="AG13" s="188">
        <f t="shared" si="16"/>
        <v>296.81769048378715</v>
      </c>
      <c r="AH13" s="188">
        <f t="shared" si="16"/>
        <v>286.81359197562756</v>
      </c>
      <c r="AI13" s="188">
        <f t="shared" si="16"/>
        <v>290.88951267461152</v>
      </c>
      <c r="AJ13" s="188">
        <f t="shared" si="16"/>
        <v>315.54744066806541</v>
      </c>
      <c r="AK13" s="187"/>
      <c r="AL13" s="188">
        <f t="shared" si="17"/>
        <v>17.303533831124952</v>
      </c>
      <c r="AM13" s="188">
        <f t="shared" si="17"/>
        <v>16.110074550483667</v>
      </c>
      <c r="AN13" s="188">
        <f t="shared" si="17"/>
        <v>15.540041590393106</v>
      </c>
      <c r="AO13" s="188">
        <f t="shared" si="17"/>
        <v>15.751239267951231</v>
      </c>
      <c r="AP13" s="188">
        <f t="shared" si="17"/>
        <v>17.079600057192419</v>
      </c>
      <c r="AQ13" s="90" t="str">
        <f t="shared" si="18"/>
        <v>40-44</v>
      </c>
      <c r="AR13" s="188">
        <f t="shared" si="19"/>
        <v>270.9300377046925</v>
      </c>
      <c r="AS13" s="188">
        <f t="shared" si="19"/>
        <v>293.55256097366362</v>
      </c>
      <c r="AT13" s="188">
        <f t="shared" si="19"/>
        <v>322.20043106728446</v>
      </c>
      <c r="AU13" s="188">
        <f t="shared" si="19"/>
        <v>339.66265624968264</v>
      </c>
      <c r="AV13" s="188">
        <f t="shared" si="19"/>
        <v>380.66890261757209</v>
      </c>
      <c r="AW13" s="187"/>
      <c r="AX13" s="188">
        <f t="shared" si="20"/>
        <v>266.38705152405146</v>
      </c>
      <c r="AY13" s="188">
        <f t="shared" si="20"/>
        <v>288.66110365884219</v>
      </c>
      <c r="AZ13" s="188">
        <f t="shared" si="20"/>
        <v>316.84860387450232</v>
      </c>
      <c r="BA13" s="188">
        <f t="shared" si="20"/>
        <v>334.03930780465259</v>
      </c>
      <c r="BB13" s="188">
        <f t="shared" si="20"/>
        <v>374.38350092432177</v>
      </c>
      <c r="BC13" s="187"/>
      <c r="BD13" s="188">
        <f t="shared" si="21"/>
        <v>4.5429861806410692</v>
      </c>
      <c r="BE13" s="188">
        <f t="shared" si="21"/>
        <v>4.8914573148213645</v>
      </c>
      <c r="BF13" s="188">
        <f t="shared" si="21"/>
        <v>5.3518271927821548</v>
      </c>
      <c r="BG13" s="188">
        <f t="shared" si="21"/>
        <v>5.6233484450300253</v>
      </c>
      <c r="BH13" s="188">
        <f t="shared" si="21"/>
        <v>6.2854016932503862</v>
      </c>
    </row>
    <row r="14" spans="1:60" x14ac:dyDescent="0.2">
      <c r="A14" s="90" t="s">
        <v>113</v>
      </c>
      <c r="B14" s="188">
        <f t="shared" si="10"/>
        <v>254.65884951398874</v>
      </c>
      <c r="C14" s="188">
        <f t="shared" si="10"/>
        <v>249.88437754828158</v>
      </c>
      <c r="D14" s="188">
        <f t="shared" si="10"/>
        <v>178.47858254526204</v>
      </c>
      <c r="E14" s="188">
        <f t="shared" si="10"/>
        <v>132.26113301280915</v>
      </c>
      <c r="F14" s="188">
        <f t="shared" si="10"/>
        <v>96.751846747388981</v>
      </c>
      <c r="G14" s="187"/>
      <c r="H14" s="188">
        <f t="shared" si="11"/>
        <v>97.081589333520498</v>
      </c>
      <c r="I14" s="188">
        <f t="shared" si="11"/>
        <v>95.255541277602333</v>
      </c>
      <c r="J14" s="188">
        <f t="shared" si="11"/>
        <v>67.471423380418784</v>
      </c>
      <c r="K14" s="188">
        <f t="shared" si="11"/>
        <v>49.673795228067675</v>
      </c>
      <c r="L14" s="188">
        <f t="shared" si="11"/>
        <v>36.08222161527133</v>
      </c>
      <c r="M14" s="187"/>
      <c r="N14" s="188">
        <f t="shared" si="12"/>
        <v>157.57726018046827</v>
      </c>
      <c r="O14" s="188">
        <f t="shared" si="12"/>
        <v>154.62883627067924</v>
      </c>
      <c r="P14" s="188">
        <f t="shared" si="12"/>
        <v>111.00715916484326</v>
      </c>
      <c r="Q14" s="188">
        <f t="shared" si="12"/>
        <v>82.587337784741479</v>
      </c>
      <c r="R14" s="188">
        <f t="shared" si="12"/>
        <v>60.669625132117659</v>
      </c>
      <c r="S14" s="187"/>
      <c r="T14" s="188">
        <f t="shared" si="13"/>
        <v>0</v>
      </c>
      <c r="U14" s="188">
        <f t="shared" si="13"/>
        <v>0</v>
      </c>
      <c r="V14" s="188">
        <f t="shared" si="13"/>
        <v>0</v>
      </c>
      <c r="W14" s="188">
        <f t="shared" si="13"/>
        <v>0</v>
      </c>
      <c r="X14" s="188">
        <f t="shared" si="13"/>
        <v>0</v>
      </c>
      <c r="Y14" s="90" t="str">
        <f t="shared" si="14"/>
        <v>45-49</v>
      </c>
      <c r="Z14" s="188">
        <f t="shared" si="15"/>
        <v>296.89078106183149</v>
      </c>
      <c r="AA14" s="188">
        <f t="shared" si="15"/>
        <v>297.81089783713531</v>
      </c>
      <c r="AB14" s="188">
        <f t="shared" si="15"/>
        <v>323.00238790557432</v>
      </c>
      <c r="AC14" s="188">
        <f t="shared" si="15"/>
        <v>331.21130960813161</v>
      </c>
      <c r="AD14" s="188">
        <f t="shared" si="15"/>
        <v>336.85601788588576</v>
      </c>
      <c r="AE14" s="187"/>
      <c r="AF14" s="188">
        <f t="shared" si="16"/>
        <v>283.27902750867406</v>
      </c>
      <c r="AG14" s="188">
        <f t="shared" si="16"/>
        <v>284.17878044572376</v>
      </c>
      <c r="AH14" s="188">
        <f t="shared" si="16"/>
        <v>308.23712222424672</v>
      </c>
      <c r="AI14" s="188">
        <f t="shared" si="16"/>
        <v>316.06982132262846</v>
      </c>
      <c r="AJ14" s="188">
        <f t="shared" si="16"/>
        <v>321.4595503021684</v>
      </c>
      <c r="AK14" s="187"/>
      <c r="AL14" s="188">
        <f t="shared" si="17"/>
        <v>13.611753553157442</v>
      </c>
      <c r="AM14" s="188">
        <f t="shared" si="17"/>
        <v>13.632117391411541</v>
      </c>
      <c r="AN14" s="188">
        <f t="shared" si="17"/>
        <v>14.765265681327598</v>
      </c>
      <c r="AO14" s="188">
        <f t="shared" si="17"/>
        <v>15.141488285503199</v>
      </c>
      <c r="AP14" s="188">
        <f t="shared" si="17"/>
        <v>15.39646758371746</v>
      </c>
      <c r="AQ14" s="90" t="str">
        <f t="shared" si="18"/>
        <v>45-49</v>
      </c>
      <c r="AR14" s="188">
        <f t="shared" si="19"/>
        <v>250.46536942417981</v>
      </c>
      <c r="AS14" s="188">
        <f t="shared" si="19"/>
        <v>272.37172461458317</v>
      </c>
      <c r="AT14" s="188">
        <f t="shared" si="19"/>
        <v>298.56302954916367</v>
      </c>
      <c r="AU14" s="188">
        <f t="shared" si="19"/>
        <v>312.99255737905924</v>
      </c>
      <c r="AV14" s="188">
        <f t="shared" si="19"/>
        <v>324.57513536672525</v>
      </c>
      <c r="AW14" s="187"/>
      <c r="AX14" s="188">
        <f t="shared" si="20"/>
        <v>245.6503099953992</v>
      </c>
      <c r="AY14" s="188">
        <f t="shared" si="20"/>
        <v>267.15960275583393</v>
      </c>
      <c r="AZ14" s="188">
        <f t="shared" si="20"/>
        <v>292.91536308672585</v>
      </c>
      <c r="BA14" s="188">
        <f t="shared" si="20"/>
        <v>307.10108024986414</v>
      </c>
      <c r="BB14" s="188">
        <f t="shared" si="20"/>
        <v>318.48324328013177</v>
      </c>
      <c r="BC14" s="187"/>
      <c r="BD14" s="188">
        <f t="shared" si="21"/>
        <v>4.815059428780601</v>
      </c>
      <c r="BE14" s="188">
        <f t="shared" si="21"/>
        <v>5.2121218587492244</v>
      </c>
      <c r="BF14" s="188">
        <f t="shared" si="21"/>
        <v>5.6476664624378259</v>
      </c>
      <c r="BG14" s="188">
        <f t="shared" si="21"/>
        <v>5.8914771291951418</v>
      </c>
      <c r="BH14" s="188">
        <f t="shared" si="21"/>
        <v>6.0918920865934654</v>
      </c>
    </row>
    <row r="15" spans="1:60" x14ac:dyDescent="0.2">
      <c r="A15" s="90" t="s">
        <v>114</v>
      </c>
      <c r="B15" s="188">
        <f t="shared" si="10"/>
        <v>294.38575187935118</v>
      </c>
      <c r="C15" s="188">
        <f t="shared" si="10"/>
        <v>286.9982182545242</v>
      </c>
      <c r="D15" s="188">
        <f t="shared" si="10"/>
        <v>249.82582092451261</v>
      </c>
      <c r="E15" s="188">
        <f t="shared" si="10"/>
        <v>196.7617947968931</v>
      </c>
      <c r="F15" s="188">
        <f t="shared" si="10"/>
        <v>151.97754802573786</v>
      </c>
      <c r="G15" s="187"/>
      <c r="H15" s="188">
        <f t="shared" si="11"/>
        <v>131.00937650791479</v>
      </c>
      <c r="I15" s="188">
        <f t="shared" si="11"/>
        <v>127.36456196076394</v>
      </c>
      <c r="J15" s="188">
        <f t="shared" si="11"/>
        <v>110.61745625735594</v>
      </c>
      <c r="K15" s="188">
        <f t="shared" si="11"/>
        <v>86.72311902225573</v>
      </c>
      <c r="L15" s="188">
        <f t="shared" si="11"/>
        <v>66.672294242780168</v>
      </c>
      <c r="M15" s="187"/>
      <c r="N15" s="188">
        <f t="shared" si="12"/>
        <v>163.37637537143638</v>
      </c>
      <c r="O15" s="188">
        <f t="shared" si="12"/>
        <v>159.63365629376028</v>
      </c>
      <c r="P15" s="188">
        <f t="shared" si="12"/>
        <v>139.20836466715667</v>
      </c>
      <c r="Q15" s="188">
        <f t="shared" si="12"/>
        <v>110.03867577463737</v>
      </c>
      <c r="R15" s="188">
        <f t="shared" si="12"/>
        <v>85.305253782957692</v>
      </c>
      <c r="S15" s="187"/>
      <c r="T15" s="188">
        <f t="shared" si="13"/>
        <v>0</v>
      </c>
      <c r="U15" s="188">
        <f t="shared" si="13"/>
        <v>0</v>
      </c>
      <c r="V15" s="188">
        <f t="shared" si="13"/>
        <v>0</v>
      </c>
      <c r="W15" s="188">
        <f t="shared" si="13"/>
        <v>0</v>
      </c>
      <c r="X15" s="188">
        <f t="shared" si="13"/>
        <v>0</v>
      </c>
      <c r="Y15" s="90" t="str">
        <f t="shared" si="14"/>
        <v>50-54</v>
      </c>
      <c r="Z15" s="188">
        <f t="shared" si="15"/>
        <v>252.37047905418916</v>
      </c>
      <c r="AA15" s="188">
        <f t="shared" si="15"/>
        <v>261.89041594407234</v>
      </c>
      <c r="AB15" s="188">
        <f t="shared" si="15"/>
        <v>299.71030873183417</v>
      </c>
      <c r="AC15" s="188">
        <f t="shared" si="15"/>
        <v>315.46818569365763</v>
      </c>
      <c r="AD15" s="188">
        <f t="shared" si="15"/>
        <v>326.48805608055682</v>
      </c>
      <c r="AE15" s="187"/>
      <c r="AF15" s="188">
        <f t="shared" si="16"/>
        <v>240.43095817773155</v>
      </c>
      <c r="AG15" s="188">
        <f t="shared" si="16"/>
        <v>249.49009896266847</v>
      </c>
      <c r="AH15" s="188">
        <f t="shared" si="16"/>
        <v>285.51870262738919</v>
      </c>
      <c r="AI15" s="188">
        <f t="shared" si="16"/>
        <v>300.52266588791969</v>
      </c>
      <c r="AJ15" s="188">
        <f t="shared" si="16"/>
        <v>311.01138512295665</v>
      </c>
      <c r="AK15" s="187"/>
      <c r="AL15" s="188">
        <f t="shared" si="17"/>
        <v>11.939520876457582</v>
      </c>
      <c r="AM15" s="188">
        <f t="shared" si="17"/>
        <v>12.400316981403893</v>
      </c>
      <c r="AN15" s="188">
        <f t="shared" si="17"/>
        <v>14.191606104444997</v>
      </c>
      <c r="AO15" s="188">
        <f t="shared" si="17"/>
        <v>14.945519805737941</v>
      </c>
      <c r="AP15" s="188">
        <f t="shared" si="17"/>
        <v>15.476670957600156</v>
      </c>
      <c r="AQ15" s="90" t="str">
        <f t="shared" si="18"/>
        <v>50-54</v>
      </c>
      <c r="AR15" s="188">
        <f t="shared" si="19"/>
        <v>192.52176906645971</v>
      </c>
      <c r="AS15" s="188">
        <f t="shared" si="19"/>
        <v>218.63836580140344</v>
      </c>
      <c r="AT15" s="188">
        <f t="shared" si="19"/>
        <v>269.43387034365321</v>
      </c>
      <c r="AU15" s="188">
        <f t="shared" si="19"/>
        <v>285.28301950944933</v>
      </c>
      <c r="AV15" s="188">
        <f t="shared" si="19"/>
        <v>297.31139589370531</v>
      </c>
      <c r="AW15" s="187"/>
      <c r="AX15" s="188">
        <f t="shared" si="20"/>
        <v>188.73862621744155</v>
      </c>
      <c r="AY15" s="188">
        <f t="shared" si="20"/>
        <v>214.45420550224321</v>
      </c>
      <c r="AZ15" s="188">
        <f t="shared" si="20"/>
        <v>264.30480604656157</v>
      </c>
      <c r="BA15" s="188">
        <f t="shared" si="20"/>
        <v>279.90450448189154</v>
      </c>
      <c r="BB15" s="188">
        <f t="shared" si="20"/>
        <v>291.76093520892465</v>
      </c>
      <c r="BC15" s="187"/>
      <c r="BD15" s="188">
        <f t="shared" si="21"/>
        <v>3.7831428490181196</v>
      </c>
      <c r="BE15" s="188">
        <f t="shared" si="21"/>
        <v>4.1841602991602418</v>
      </c>
      <c r="BF15" s="188">
        <f t="shared" si="21"/>
        <v>5.1290642970916389</v>
      </c>
      <c r="BG15" s="188">
        <f t="shared" si="21"/>
        <v>5.3785150275577474</v>
      </c>
      <c r="BH15" s="188">
        <f t="shared" si="21"/>
        <v>5.5504606847806457</v>
      </c>
    </row>
    <row r="16" spans="1:60" x14ac:dyDescent="0.2">
      <c r="A16" s="90" t="s">
        <v>115</v>
      </c>
      <c r="B16" s="188">
        <f t="shared" si="10"/>
        <v>306.08926780144049</v>
      </c>
      <c r="C16" s="188">
        <f t="shared" si="10"/>
        <v>294.14842701950209</v>
      </c>
      <c r="D16" s="188">
        <f t="shared" si="10"/>
        <v>278.7696849113002</v>
      </c>
      <c r="E16" s="188">
        <f t="shared" si="10"/>
        <v>248.77345263961809</v>
      </c>
      <c r="F16" s="188">
        <f t="shared" si="10"/>
        <v>193.72538705183911</v>
      </c>
      <c r="G16" s="187"/>
      <c r="H16" s="188">
        <f t="shared" si="11"/>
        <v>148.94385811824938</v>
      </c>
      <c r="I16" s="188">
        <f t="shared" si="11"/>
        <v>142.80048229460601</v>
      </c>
      <c r="J16" s="188">
        <f t="shared" si="11"/>
        <v>135.1816907077864</v>
      </c>
      <c r="K16" s="188">
        <f t="shared" si="11"/>
        <v>120.20919098393057</v>
      </c>
      <c r="L16" s="188">
        <f t="shared" si="11"/>
        <v>93.347075058771225</v>
      </c>
      <c r="M16" s="187"/>
      <c r="N16" s="188">
        <f t="shared" si="12"/>
        <v>157.14540968319108</v>
      </c>
      <c r="O16" s="188">
        <f t="shared" si="12"/>
        <v>151.34794472489608</v>
      </c>
      <c r="P16" s="188">
        <f t="shared" si="12"/>
        <v>143.5879942035138</v>
      </c>
      <c r="Q16" s="188">
        <f t="shared" si="12"/>
        <v>128.56426165568749</v>
      </c>
      <c r="R16" s="188">
        <f t="shared" si="12"/>
        <v>100.37831199306788</v>
      </c>
      <c r="S16" s="187"/>
      <c r="T16" s="188">
        <f t="shared" si="13"/>
        <v>0</v>
      </c>
      <c r="U16" s="188">
        <f t="shared" si="13"/>
        <v>0</v>
      </c>
      <c r="V16" s="188">
        <f t="shared" si="13"/>
        <v>0</v>
      </c>
      <c r="W16" s="188">
        <f t="shared" si="13"/>
        <v>0</v>
      </c>
      <c r="X16" s="188">
        <f t="shared" si="13"/>
        <v>0</v>
      </c>
      <c r="Y16" s="90" t="str">
        <f t="shared" si="14"/>
        <v>55-59</v>
      </c>
      <c r="Z16" s="188">
        <f t="shared" si="15"/>
        <v>212.90735173400915</v>
      </c>
      <c r="AA16" s="188">
        <f t="shared" si="15"/>
        <v>208.34374328055009</v>
      </c>
      <c r="AB16" s="188">
        <f t="shared" si="15"/>
        <v>259.24373379880308</v>
      </c>
      <c r="AC16" s="188">
        <f t="shared" si="15"/>
        <v>305.1432760109069</v>
      </c>
      <c r="AD16" s="188">
        <f t="shared" si="15"/>
        <v>322.49455355236876</v>
      </c>
      <c r="AE16" s="187"/>
      <c r="AF16" s="188">
        <f t="shared" si="16"/>
        <v>201.39475054266842</v>
      </c>
      <c r="AG16" s="188">
        <f t="shared" si="16"/>
        <v>197.03624221177998</v>
      </c>
      <c r="AH16" s="188">
        <f t="shared" si="16"/>
        <v>245.14463767909808</v>
      </c>
      <c r="AI16" s="188">
        <f t="shared" si="16"/>
        <v>288.53398269710931</v>
      </c>
      <c r="AJ16" s="188">
        <f t="shared" si="16"/>
        <v>304.93914690919075</v>
      </c>
      <c r="AK16" s="187"/>
      <c r="AL16" s="188">
        <f t="shared" si="17"/>
        <v>11.512601191340718</v>
      </c>
      <c r="AM16" s="188">
        <f t="shared" si="17"/>
        <v>11.30750106877008</v>
      </c>
      <c r="AN16" s="188">
        <f t="shared" si="17"/>
        <v>14.099096119705006</v>
      </c>
      <c r="AO16" s="188">
        <f t="shared" si="17"/>
        <v>16.609293313797622</v>
      </c>
      <c r="AP16" s="188">
        <f t="shared" si="17"/>
        <v>17.555406643178003</v>
      </c>
      <c r="AQ16" s="90" t="str">
        <f t="shared" si="18"/>
        <v>55-59</v>
      </c>
      <c r="AR16" s="188">
        <f t="shared" si="19"/>
        <v>157.97838046455036</v>
      </c>
      <c r="AS16" s="188">
        <f t="shared" si="19"/>
        <v>186.95882969994784</v>
      </c>
      <c r="AT16" s="188">
        <f t="shared" si="19"/>
        <v>217.65058128989665</v>
      </c>
      <c r="AU16" s="188">
        <f t="shared" si="19"/>
        <v>252.64427134947505</v>
      </c>
      <c r="AV16" s="188">
        <f t="shared" si="19"/>
        <v>271.26605939579213</v>
      </c>
      <c r="AW16" s="187"/>
      <c r="AX16" s="188">
        <f t="shared" si="20"/>
        <v>154.50769225162065</v>
      </c>
      <c r="AY16" s="188">
        <f t="shared" si="20"/>
        <v>182.97075166245719</v>
      </c>
      <c r="AZ16" s="188">
        <f t="shared" si="20"/>
        <v>213.04788309462984</v>
      </c>
      <c r="BA16" s="188">
        <f t="shared" si="20"/>
        <v>247.41376136943245</v>
      </c>
      <c r="BB16" s="188">
        <f t="shared" si="20"/>
        <v>265.66983752581206</v>
      </c>
      <c r="BC16" s="187"/>
      <c r="BD16" s="188">
        <f t="shared" si="21"/>
        <v>3.470688212929685</v>
      </c>
      <c r="BE16" s="188">
        <f t="shared" si="21"/>
        <v>3.9880780374906122</v>
      </c>
      <c r="BF16" s="188">
        <f t="shared" si="21"/>
        <v>4.6026981952668296</v>
      </c>
      <c r="BG16" s="188">
        <f t="shared" si="21"/>
        <v>5.2305099800425978</v>
      </c>
      <c r="BH16" s="188">
        <f t="shared" si="21"/>
        <v>5.5962218699800657</v>
      </c>
    </row>
    <row r="17" spans="1:60" x14ac:dyDescent="0.2">
      <c r="A17" s="90" t="s">
        <v>116</v>
      </c>
      <c r="B17" s="188">
        <f t="shared" si="10"/>
        <v>300.27408615273544</v>
      </c>
      <c r="C17" s="188">
        <f t="shared" si="10"/>
        <v>307.02902619700649</v>
      </c>
      <c r="D17" s="188">
        <f t="shared" si="10"/>
        <v>275.57160817400484</v>
      </c>
      <c r="E17" s="188">
        <f t="shared" si="10"/>
        <v>242.50355927772591</v>
      </c>
      <c r="F17" s="188">
        <f t="shared" si="10"/>
        <v>196.62341104090149</v>
      </c>
      <c r="G17" s="187"/>
      <c r="H17" s="188">
        <f t="shared" si="11"/>
        <v>163.84239820508242</v>
      </c>
      <c r="I17" s="188">
        <f t="shared" si="11"/>
        <v>167.48634018543549</v>
      </c>
      <c r="J17" s="188">
        <f t="shared" si="11"/>
        <v>150.0793901711946</v>
      </c>
      <c r="K17" s="188">
        <f t="shared" si="11"/>
        <v>131.95757743155312</v>
      </c>
      <c r="L17" s="188">
        <f t="shared" si="11"/>
        <v>106.85061904727925</v>
      </c>
      <c r="M17" s="187"/>
      <c r="N17" s="188">
        <f t="shared" si="12"/>
        <v>136.43168794765302</v>
      </c>
      <c r="O17" s="188">
        <f t="shared" si="12"/>
        <v>139.54268601157099</v>
      </c>
      <c r="P17" s="188">
        <f t="shared" si="12"/>
        <v>125.49221800281023</v>
      </c>
      <c r="Q17" s="188">
        <f t="shared" si="12"/>
        <v>110.54598184617279</v>
      </c>
      <c r="R17" s="188">
        <f t="shared" si="12"/>
        <v>89.772791993622235</v>
      </c>
      <c r="S17" s="187"/>
      <c r="T17" s="188">
        <f t="shared" si="13"/>
        <v>0</v>
      </c>
      <c r="U17" s="188">
        <f t="shared" si="13"/>
        <v>0</v>
      </c>
      <c r="V17" s="188">
        <f t="shared" si="13"/>
        <v>0</v>
      </c>
      <c r="W17" s="188">
        <f t="shared" si="13"/>
        <v>0</v>
      </c>
      <c r="X17" s="188">
        <f t="shared" si="13"/>
        <v>0</v>
      </c>
      <c r="Y17" s="90" t="str">
        <f t="shared" si="14"/>
        <v>60-64</v>
      </c>
      <c r="Z17" s="188">
        <f t="shared" si="15"/>
        <v>164.67698820651987</v>
      </c>
      <c r="AA17" s="188">
        <f t="shared" si="15"/>
        <v>173.02754429415353</v>
      </c>
      <c r="AB17" s="188">
        <f t="shared" si="15"/>
        <v>211.64420247686218</v>
      </c>
      <c r="AC17" s="188">
        <f t="shared" si="15"/>
        <v>262.32745519640429</v>
      </c>
      <c r="AD17" s="188">
        <f t="shared" si="15"/>
        <v>307.19809774569194</v>
      </c>
      <c r="AE17" s="187"/>
      <c r="AF17" s="188">
        <f t="shared" si="16"/>
        <v>156.364761045058</v>
      </c>
      <c r="AG17" s="188">
        <f t="shared" si="16"/>
        <v>164.2583318854096</v>
      </c>
      <c r="AH17" s="188">
        <f t="shared" si="16"/>
        <v>200.85031018974644</v>
      </c>
      <c r="AI17" s="188">
        <f t="shared" si="16"/>
        <v>248.92153917613587</v>
      </c>
      <c r="AJ17" s="188">
        <f t="shared" si="16"/>
        <v>291.50729249745882</v>
      </c>
      <c r="AK17" s="187"/>
      <c r="AL17" s="188">
        <f t="shared" si="17"/>
        <v>8.3122271614618572</v>
      </c>
      <c r="AM17" s="188">
        <f t="shared" si="17"/>
        <v>8.7692124087439236</v>
      </c>
      <c r="AN17" s="188">
        <f t="shared" si="17"/>
        <v>10.793892287115703</v>
      </c>
      <c r="AO17" s="188">
        <f t="shared" si="17"/>
        <v>13.405916020268418</v>
      </c>
      <c r="AP17" s="188">
        <f t="shared" si="17"/>
        <v>15.690805248233143</v>
      </c>
      <c r="AQ17" s="90" t="str">
        <f t="shared" si="18"/>
        <v>60-64</v>
      </c>
      <c r="AR17" s="188">
        <f t="shared" si="19"/>
        <v>124.1659256407448</v>
      </c>
      <c r="AS17" s="188">
        <f t="shared" si="19"/>
        <v>151.81542950884</v>
      </c>
      <c r="AT17" s="188">
        <f t="shared" si="19"/>
        <v>179.49318934913299</v>
      </c>
      <c r="AU17" s="188">
        <f t="shared" si="19"/>
        <v>229.32198552586985</v>
      </c>
      <c r="AV17" s="188">
        <f t="shared" si="19"/>
        <v>282.2344912134065</v>
      </c>
      <c r="AW17" s="187"/>
      <c r="AX17" s="188">
        <f t="shared" si="20"/>
        <v>120.47353378485059</v>
      </c>
      <c r="AY17" s="188">
        <f t="shared" si="20"/>
        <v>147.28380768694541</v>
      </c>
      <c r="AZ17" s="188">
        <f t="shared" si="20"/>
        <v>174.20095676665699</v>
      </c>
      <c r="BA17" s="188">
        <f t="shared" si="20"/>
        <v>222.61021872219823</v>
      </c>
      <c r="BB17" s="188">
        <f t="shared" si="20"/>
        <v>274.01688935790713</v>
      </c>
      <c r="BC17" s="187"/>
      <c r="BD17" s="188">
        <f t="shared" si="21"/>
        <v>3.6923918558942086</v>
      </c>
      <c r="BE17" s="188">
        <f t="shared" si="21"/>
        <v>4.5316218218945803</v>
      </c>
      <c r="BF17" s="188">
        <f t="shared" si="21"/>
        <v>5.2922325824760046</v>
      </c>
      <c r="BG17" s="188">
        <f t="shared" si="21"/>
        <v>6.7117668036716331</v>
      </c>
      <c r="BH17" s="188">
        <f t="shared" si="21"/>
        <v>8.2176018554993142</v>
      </c>
    </row>
    <row r="18" spans="1:60" x14ac:dyDescent="0.2">
      <c r="A18" s="90" t="s">
        <v>103</v>
      </c>
      <c r="B18" s="188">
        <f t="shared" si="10"/>
        <v>1097.4936778000333</v>
      </c>
      <c r="C18" s="188">
        <f t="shared" si="10"/>
        <v>1072.9440531401806</v>
      </c>
      <c r="D18" s="188">
        <f t="shared" si="10"/>
        <v>980.11410948496587</v>
      </c>
      <c r="E18" s="188">
        <f t="shared" si="10"/>
        <v>860.70692539466086</v>
      </c>
      <c r="F18" s="188">
        <f t="shared" si="10"/>
        <v>731.94096038103203</v>
      </c>
      <c r="G18" s="187"/>
      <c r="H18" s="188">
        <f t="shared" si="11"/>
        <v>770.71351120273471</v>
      </c>
      <c r="I18" s="188">
        <f t="shared" si="11"/>
        <v>753.1395408366011</v>
      </c>
      <c r="J18" s="188">
        <f t="shared" si="11"/>
        <v>687.79876078330381</v>
      </c>
      <c r="K18" s="188">
        <f t="shared" si="11"/>
        <v>603.69792908410795</v>
      </c>
      <c r="L18" s="188">
        <f t="shared" si="11"/>
        <v>513.13110481139574</v>
      </c>
      <c r="M18" s="187"/>
      <c r="N18" s="188">
        <f t="shared" si="12"/>
        <v>326.78016659729855</v>
      </c>
      <c r="O18" s="188">
        <f t="shared" si="12"/>
        <v>319.80451230357949</v>
      </c>
      <c r="P18" s="188">
        <f t="shared" si="12"/>
        <v>292.31534870166195</v>
      </c>
      <c r="Q18" s="188">
        <f t="shared" si="12"/>
        <v>257.0089963105529</v>
      </c>
      <c r="R18" s="188">
        <f t="shared" si="12"/>
        <v>218.80985556963645</v>
      </c>
      <c r="S18" s="187"/>
      <c r="T18" s="188">
        <f t="shared" si="13"/>
        <v>0</v>
      </c>
      <c r="U18" s="188">
        <f t="shared" si="13"/>
        <v>0</v>
      </c>
      <c r="V18" s="188">
        <f t="shared" si="13"/>
        <v>0</v>
      </c>
      <c r="W18" s="188">
        <f t="shared" si="13"/>
        <v>0</v>
      </c>
      <c r="X18" s="188">
        <f t="shared" si="13"/>
        <v>0</v>
      </c>
      <c r="Y18" s="90" t="str">
        <f t="shared" si="14"/>
        <v>65+</v>
      </c>
      <c r="Z18" s="188">
        <f t="shared" si="15"/>
        <v>412.59519957455325</v>
      </c>
      <c r="AA18" s="188">
        <f t="shared" si="15"/>
        <v>441.80478171374187</v>
      </c>
      <c r="AB18" s="188">
        <f t="shared" si="15"/>
        <v>588.92141161742438</v>
      </c>
      <c r="AC18" s="188">
        <f t="shared" si="15"/>
        <v>717.19301187685096</v>
      </c>
      <c r="AD18" s="188">
        <f t="shared" si="15"/>
        <v>861.73238046119513</v>
      </c>
      <c r="AE18" s="187"/>
      <c r="AF18" s="188">
        <f t="shared" si="16"/>
        <v>391.95319027138726</v>
      </c>
      <c r="AG18" s="188">
        <f t="shared" si="16"/>
        <v>419.72502641576881</v>
      </c>
      <c r="AH18" s="188">
        <f t="shared" si="16"/>
        <v>559.48677128208897</v>
      </c>
      <c r="AI18" s="188">
        <f t="shared" si="16"/>
        <v>681.36315392476172</v>
      </c>
      <c r="AJ18" s="188">
        <f t="shared" si="16"/>
        <v>818.69055459842366</v>
      </c>
      <c r="AK18" s="187"/>
      <c r="AL18" s="188">
        <f t="shared" si="17"/>
        <v>20.642009303165985</v>
      </c>
      <c r="AM18" s="188">
        <f t="shared" si="17"/>
        <v>22.079755297973087</v>
      </c>
      <c r="AN18" s="188">
        <f t="shared" si="17"/>
        <v>29.434640335335327</v>
      </c>
      <c r="AO18" s="188">
        <f t="shared" si="17"/>
        <v>35.82985795208927</v>
      </c>
      <c r="AP18" s="188">
        <f t="shared" si="17"/>
        <v>43.041825862771589</v>
      </c>
      <c r="AQ18" s="90" t="str">
        <f t="shared" si="18"/>
        <v>65+</v>
      </c>
      <c r="AR18" s="188">
        <f t="shared" si="19"/>
        <v>309.63712262541355</v>
      </c>
      <c r="AS18" s="188">
        <f t="shared" si="19"/>
        <v>345.41016514607776</v>
      </c>
      <c r="AT18" s="188">
        <f t="shared" si="19"/>
        <v>465.83547889760985</v>
      </c>
      <c r="AU18" s="188">
        <f t="shared" si="19"/>
        <v>642.09606272848828</v>
      </c>
      <c r="AV18" s="188">
        <f t="shared" si="19"/>
        <v>863.68565915777276</v>
      </c>
      <c r="AW18" s="187"/>
      <c r="AX18" s="188">
        <f t="shared" si="20"/>
        <v>301.40115633884841</v>
      </c>
      <c r="AY18" s="188">
        <f t="shared" si="20"/>
        <v>336.56314669404765</v>
      </c>
      <c r="AZ18" s="188">
        <f t="shared" si="20"/>
        <v>453.89786151814837</v>
      </c>
      <c r="BA18" s="188">
        <f t="shared" si="20"/>
        <v>625.97097807950172</v>
      </c>
      <c r="BB18" s="188">
        <f t="shared" si="20"/>
        <v>842.26455696727317</v>
      </c>
      <c r="BC18" s="187"/>
      <c r="BD18" s="188">
        <f t="shared" si="21"/>
        <v>8.2359662865651462</v>
      </c>
      <c r="BE18" s="188">
        <f t="shared" si="21"/>
        <v>8.847018452030122</v>
      </c>
      <c r="BF18" s="188">
        <f t="shared" si="21"/>
        <v>11.937617379461411</v>
      </c>
      <c r="BG18" s="188">
        <f t="shared" si="21"/>
        <v>16.125084648986547</v>
      </c>
      <c r="BH18" s="188">
        <f t="shared" si="21"/>
        <v>21.421102190499685</v>
      </c>
    </row>
    <row r="19" spans="1:60" x14ac:dyDescent="0.2">
      <c r="B19" s="188"/>
      <c r="C19" s="188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93"/>
      <c r="U19" s="93"/>
      <c r="V19" s="93"/>
      <c r="W19" s="93"/>
      <c r="X19" s="93"/>
      <c r="Z19" s="188"/>
      <c r="AA19" s="188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7"/>
      <c r="AN19" s="187"/>
      <c r="AO19" s="187"/>
      <c r="AP19" s="187"/>
      <c r="AR19" s="188"/>
      <c r="AS19" s="188"/>
      <c r="AT19" s="187"/>
      <c r="AU19" s="187"/>
      <c r="AV19" s="187"/>
      <c r="AW19" s="187"/>
      <c r="AX19" s="187"/>
      <c r="AY19" s="187"/>
      <c r="AZ19" s="187"/>
      <c r="BA19" s="187"/>
      <c r="BB19" s="187"/>
      <c r="BC19" s="187"/>
      <c r="BD19" s="187"/>
      <c r="BE19" s="187"/>
      <c r="BF19" s="187"/>
      <c r="BG19" s="187"/>
      <c r="BH19" s="187"/>
    </row>
    <row r="20" spans="1:60" x14ac:dyDescent="0.2">
      <c r="A20" s="113" t="s">
        <v>98</v>
      </c>
      <c r="B20" s="93"/>
      <c r="C20" s="93"/>
      <c r="D20" s="93"/>
      <c r="E20" s="93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93"/>
      <c r="U20" s="93"/>
      <c r="V20" s="93"/>
      <c r="W20" s="93"/>
      <c r="X20" s="93"/>
      <c r="Y20" s="113" t="str">
        <f t="shared" si="14"/>
        <v>Males</v>
      </c>
      <c r="Z20" s="93"/>
      <c r="AA20" s="93"/>
      <c r="AB20" s="93"/>
      <c r="AC20" s="93"/>
      <c r="AD20" s="188"/>
      <c r="AE20" s="188"/>
      <c r="AF20" s="188"/>
      <c r="AG20" s="188"/>
      <c r="AH20" s="188"/>
      <c r="AI20" s="188"/>
      <c r="AJ20" s="188"/>
      <c r="AK20" s="188"/>
      <c r="AL20" s="188"/>
      <c r="AM20" s="188"/>
      <c r="AN20" s="188"/>
      <c r="AO20" s="188"/>
      <c r="AP20" s="188"/>
      <c r="AQ20" s="113" t="str">
        <f>A20</f>
        <v>Males</v>
      </c>
      <c r="AR20" s="93"/>
      <c r="AS20" s="93"/>
      <c r="AT20" s="93"/>
      <c r="AU20" s="93"/>
      <c r="AV20" s="188"/>
      <c r="AW20" s="188"/>
      <c r="AX20" s="188"/>
      <c r="AY20" s="188"/>
      <c r="AZ20" s="188"/>
      <c r="BA20" s="188"/>
      <c r="BB20" s="188"/>
      <c r="BC20" s="188"/>
      <c r="BD20" s="188"/>
      <c r="BE20" s="188"/>
      <c r="BF20" s="188"/>
      <c r="BG20" s="188"/>
      <c r="BH20" s="188"/>
    </row>
    <row r="21" spans="1:60" x14ac:dyDescent="0.2">
      <c r="A21" s="90" t="str">
        <f>$A$7</f>
        <v>15+</v>
      </c>
      <c r="B21" s="188">
        <f>SUM(B22:B32)</f>
        <v>1620.2473852146525</v>
      </c>
      <c r="C21" s="188">
        <f t="shared" ref="C21:F21" si="22">SUM(C22:C32)</f>
        <v>1614.229579565203</v>
      </c>
      <c r="D21" s="188">
        <f t="shared" si="22"/>
        <v>1473.336267790763</v>
      </c>
      <c r="E21" s="188">
        <f t="shared" si="22"/>
        <v>1328.0088879474006</v>
      </c>
      <c r="F21" s="188">
        <f t="shared" si="22"/>
        <v>1173.6897154992268</v>
      </c>
      <c r="G21" s="188"/>
      <c r="H21" s="188">
        <f>SUM(H22:H32)</f>
        <v>716.1464894810149</v>
      </c>
      <c r="I21" s="188">
        <f t="shared" ref="I21:L21" si="23">SUM(I22:I32)</f>
        <v>715.64405967986499</v>
      </c>
      <c r="J21" s="188">
        <f t="shared" si="23"/>
        <v>655.33170359679184</v>
      </c>
      <c r="K21" s="188">
        <f t="shared" si="23"/>
        <v>588.71852138985469</v>
      </c>
      <c r="L21" s="188">
        <f t="shared" si="23"/>
        <v>511.80228655523888</v>
      </c>
      <c r="M21" s="188"/>
      <c r="N21" s="188">
        <f>SUM(N22:N32)</f>
        <v>904.1008957336378</v>
      </c>
      <c r="O21" s="188">
        <f t="shared" ref="O21:R21" si="24">SUM(O22:O32)</f>
        <v>898.5855198853385</v>
      </c>
      <c r="P21" s="188">
        <f t="shared" si="24"/>
        <v>818.00456419397131</v>
      </c>
      <c r="Q21" s="188">
        <f t="shared" si="24"/>
        <v>739.29036655754555</v>
      </c>
      <c r="R21" s="188">
        <f t="shared" si="24"/>
        <v>661.88742894398808</v>
      </c>
      <c r="S21" s="188"/>
      <c r="T21" s="188">
        <f>SUM(T22:T32)</f>
        <v>0</v>
      </c>
      <c r="U21" s="188">
        <f t="shared" ref="U21:X21" si="25">SUM(U22:U32)</f>
        <v>0</v>
      </c>
      <c r="V21" s="188">
        <f t="shared" si="25"/>
        <v>0</v>
      </c>
      <c r="W21" s="188">
        <f t="shared" si="25"/>
        <v>0</v>
      </c>
      <c r="X21" s="188">
        <f t="shared" si="25"/>
        <v>0</v>
      </c>
      <c r="Y21" s="90" t="str">
        <f>$A$7</f>
        <v>15+</v>
      </c>
      <c r="Z21" s="188">
        <f>SUM(Z22:Z32)</f>
        <v>1577.3024491368396</v>
      </c>
      <c r="AA21" s="188">
        <f t="shared" ref="AA21:AD21" si="26">SUM(AA22:AA32)</f>
        <v>1562.2040994555152</v>
      </c>
      <c r="AB21" s="188">
        <f t="shared" si="26"/>
        <v>1749.398715210659</v>
      </c>
      <c r="AC21" s="188">
        <f t="shared" si="26"/>
        <v>1909.488504579884</v>
      </c>
      <c r="AD21" s="188">
        <f t="shared" si="26"/>
        <v>2081.0684990931632</v>
      </c>
      <c r="AE21" s="188"/>
      <c r="AF21" s="188">
        <f>SUM(AF22:AF32)</f>
        <v>1499.7774540648427</v>
      </c>
      <c r="AG21" s="188">
        <f t="shared" ref="AG21:AJ21" si="27">SUM(AG22:AG32)</f>
        <v>1486.1007164675289</v>
      </c>
      <c r="AH21" s="188">
        <f t="shared" si="27"/>
        <v>1664.4597911861424</v>
      </c>
      <c r="AI21" s="188">
        <f t="shared" si="27"/>
        <v>1816.8390130222895</v>
      </c>
      <c r="AJ21" s="188">
        <f t="shared" si="27"/>
        <v>1980.4678395589967</v>
      </c>
      <c r="AK21" s="188"/>
      <c r="AL21" s="188">
        <f>SUM(AL22:AL32)</f>
        <v>77.524995071996941</v>
      </c>
      <c r="AM21" s="188">
        <f t="shared" ref="AM21:AP21" si="28">SUM(AM22:AM32)</f>
        <v>76.103382987986208</v>
      </c>
      <c r="AN21" s="188">
        <f t="shared" si="28"/>
        <v>84.938924024516524</v>
      </c>
      <c r="AO21" s="188">
        <f t="shared" si="28"/>
        <v>92.649491557594388</v>
      </c>
      <c r="AP21" s="188">
        <f t="shared" si="28"/>
        <v>100.60065953416633</v>
      </c>
      <c r="AQ21" s="90" t="str">
        <f>A21</f>
        <v>15+</v>
      </c>
      <c r="AR21" s="188">
        <f>SUM(AR22:AR32)</f>
        <v>1106.6731656485081</v>
      </c>
      <c r="AS21" s="188">
        <f t="shared" ref="AS21:AV21" si="29">SUM(AS22:AS32)</f>
        <v>1199.3363209792817</v>
      </c>
      <c r="AT21" s="188">
        <f t="shared" si="29"/>
        <v>1365.5690169985778</v>
      </c>
      <c r="AU21" s="188">
        <f t="shared" si="29"/>
        <v>1541.874607472716</v>
      </c>
      <c r="AV21" s="188">
        <f t="shared" si="29"/>
        <v>1748.1917854076103</v>
      </c>
      <c r="AW21" s="188"/>
      <c r="AX21" s="188">
        <f>SUM(AX22:AX32)</f>
        <v>1077.4599726477079</v>
      </c>
      <c r="AY21" s="188">
        <f t="shared" ref="AY21:BB21" si="30">SUM(AY22:AY32)</f>
        <v>1167.5793096493508</v>
      </c>
      <c r="AZ21" s="188">
        <f t="shared" si="30"/>
        <v>1328.8583394486275</v>
      </c>
      <c r="BA21" s="188">
        <f t="shared" si="30"/>
        <v>1499.4805167904162</v>
      </c>
      <c r="BB21" s="188">
        <f t="shared" si="30"/>
        <v>1698.9799024688193</v>
      </c>
      <c r="BC21" s="188"/>
      <c r="BD21" s="188">
        <f>SUM(BD22:BD32)</f>
        <v>29.213193000800217</v>
      </c>
      <c r="BE21" s="188">
        <f t="shared" ref="BE21:BH21" si="31">SUM(BE22:BE32)</f>
        <v>31.757011329930545</v>
      </c>
      <c r="BF21" s="188">
        <f t="shared" si="31"/>
        <v>36.710677549950461</v>
      </c>
      <c r="BG21" s="188">
        <f t="shared" si="31"/>
        <v>42.394090682299776</v>
      </c>
      <c r="BH21" s="188">
        <f t="shared" si="31"/>
        <v>49.211882938790794</v>
      </c>
    </row>
    <row r="22" spans="1:60" x14ac:dyDescent="0.2">
      <c r="A22" s="90" t="str">
        <f>$A$8</f>
        <v>15-19</v>
      </c>
      <c r="B22" s="188">
        <v>265.87910321369338</v>
      </c>
      <c r="C22" s="188">
        <v>258.0443726840308</v>
      </c>
      <c r="D22" s="188">
        <v>243.141770298518</v>
      </c>
      <c r="E22" s="188">
        <v>242.0329033496289</v>
      </c>
      <c r="F22" s="187">
        <v>259.48953414978911</v>
      </c>
      <c r="G22" s="188"/>
      <c r="H22" s="188">
        <v>65.502301380201217</v>
      </c>
      <c r="I22" s="188">
        <v>63.57213501074979</v>
      </c>
      <c r="J22" s="188">
        <v>59.900673398189532</v>
      </c>
      <c r="K22" s="188">
        <v>59.627470660231161</v>
      </c>
      <c r="L22" s="187">
        <v>63.928125917066254</v>
      </c>
      <c r="M22" s="188"/>
      <c r="N22" s="188">
        <v>200.37680183349218</v>
      </c>
      <c r="O22" s="188">
        <v>194.47223767328106</v>
      </c>
      <c r="P22" s="188">
        <v>183.2410969003285</v>
      </c>
      <c r="Q22" s="188">
        <v>182.40543268939777</v>
      </c>
      <c r="R22" s="187">
        <v>195.56140823272287</v>
      </c>
      <c r="S22" s="188"/>
      <c r="T22" s="188">
        <v>0</v>
      </c>
      <c r="U22" s="188">
        <v>0</v>
      </c>
      <c r="V22" s="188">
        <v>0</v>
      </c>
      <c r="W22" s="188">
        <v>0</v>
      </c>
      <c r="X22" s="187">
        <v>0</v>
      </c>
      <c r="Y22" s="90" t="str">
        <f>$A$8</f>
        <v>15-19</v>
      </c>
      <c r="Z22" s="188">
        <v>66.511132470586716</v>
      </c>
      <c r="AA22" s="188">
        <v>73.411299772273082</v>
      </c>
      <c r="AB22" s="188">
        <v>80.502722532222251</v>
      </c>
      <c r="AC22" s="188">
        <v>87.416701640226961</v>
      </c>
      <c r="AD22" s="187">
        <v>102.22230692001014</v>
      </c>
      <c r="AE22" s="188"/>
      <c r="AF22" s="188">
        <v>65.408785510809949</v>
      </c>
      <c r="AG22" s="188">
        <v>72.194629595921498</v>
      </c>
      <c r="AH22" s="188">
        <v>79.16853183013346</v>
      </c>
      <c r="AI22" s="188">
        <v>85.967955058277127</v>
      </c>
      <c r="AJ22" s="187">
        <v>100.52812602924274</v>
      </c>
      <c r="AK22" s="188"/>
      <c r="AL22" s="188">
        <v>1.1023469597767663</v>
      </c>
      <c r="AM22" s="188">
        <v>1.2166701763515873</v>
      </c>
      <c r="AN22" s="188">
        <v>1.3341907020887731</v>
      </c>
      <c r="AO22" s="188">
        <v>1.4487465819498317</v>
      </c>
      <c r="AP22" s="187">
        <v>1.6941808907673945</v>
      </c>
      <c r="AQ22" s="90" t="str">
        <f t="shared" ref="AQ22:AQ32" si="32">A22</f>
        <v>15-19</v>
      </c>
      <c r="AR22" s="188">
        <v>0.47976431571996198</v>
      </c>
      <c r="AS22" s="188">
        <v>0.72732754369609554</v>
      </c>
      <c r="AT22" s="188">
        <v>0.48550716925975612</v>
      </c>
      <c r="AU22" s="188">
        <v>0.49439501014410386</v>
      </c>
      <c r="AV22" s="187">
        <v>0.54315893020071748</v>
      </c>
      <c r="AW22" s="188"/>
      <c r="AX22" s="188">
        <v>0.424231447426622</v>
      </c>
      <c r="AY22" s="188">
        <v>0.64301397638445978</v>
      </c>
      <c r="AZ22" s="188">
        <v>0.4293477578901575</v>
      </c>
      <c r="BA22" s="188">
        <v>0.43712398467357205</v>
      </c>
      <c r="BB22" s="187">
        <v>0.4802635949877026</v>
      </c>
      <c r="BC22" s="188"/>
      <c r="BD22" s="188">
        <v>5.5532868293339949E-2</v>
      </c>
      <c r="BE22" s="188">
        <v>8.4313567311635793E-2</v>
      </c>
      <c r="BF22" s="188">
        <v>5.6159411369598657E-2</v>
      </c>
      <c r="BG22" s="188">
        <v>5.7271025470531763E-2</v>
      </c>
      <c r="BH22" s="187">
        <v>6.2895335213014894E-2</v>
      </c>
    </row>
    <row r="23" spans="1:60" x14ac:dyDescent="0.2">
      <c r="A23" s="90" t="str">
        <f>$A$9</f>
        <v>20-24</v>
      </c>
      <c r="B23" s="188">
        <v>62.563891293376557</v>
      </c>
      <c r="C23" s="188">
        <v>65.325512781581011</v>
      </c>
      <c r="D23" s="188">
        <v>67.029010553797633</v>
      </c>
      <c r="E23" s="188">
        <v>59.464637575430878</v>
      </c>
      <c r="F23" s="187">
        <v>54.38972351131563</v>
      </c>
      <c r="G23" s="188"/>
      <c r="H23" s="188">
        <v>17.754171051225015</v>
      </c>
      <c r="I23" s="188">
        <v>18.537831805843624</v>
      </c>
      <c r="J23" s="188">
        <v>19.021243659623707</v>
      </c>
      <c r="K23" s="188">
        <v>16.874679665555647</v>
      </c>
      <c r="L23" s="187">
        <v>15.434495406960504</v>
      </c>
      <c r="M23" s="188"/>
      <c r="N23" s="188">
        <v>44.809720242151542</v>
      </c>
      <c r="O23" s="188">
        <v>46.787680975737388</v>
      </c>
      <c r="P23" s="188">
        <v>48.00776689417394</v>
      </c>
      <c r="Q23" s="188">
        <v>42.589957909875231</v>
      </c>
      <c r="R23" s="187">
        <v>38.955228104355122</v>
      </c>
      <c r="S23" s="188"/>
      <c r="T23" s="188">
        <v>0</v>
      </c>
      <c r="U23" s="188">
        <v>0</v>
      </c>
      <c r="V23" s="188">
        <v>0</v>
      </c>
      <c r="W23" s="188">
        <v>0</v>
      </c>
      <c r="X23" s="187">
        <v>0</v>
      </c>
      <c r="Y23" s="90" t="str">
        <f>$A$9</f>
        <v>20-24</v>
      </c>
      <c r="Z23" s="188">
        <v>203.50469894139783</v>
      </c>
      <c r="AA23" s="188">
        <v>206.78831948241526</v>
      </c>
      <c r="AB23" s="188">
        <v>217.16688614689699</v>
      </c>
      <c r="AC23" s="188">
        <v>213.03529301815917</v>
      </c>
      <c r="AD23" s="187">
        <v>215.87448968593148</v>
      </c>
      <c r="AE23" s="188"/>
      <c r="AF23" s="188">
        <v>194.19340573185747</v>
      </c>
      <c r="AG23" s="188">
        <v>197.32683079971491</v>
      </c>
      <c r="AH23" s="188">
        <v>207.23048265883725</v>
      </c>
      <c r="AI23" s="188">
        <v>203.2879208070558</v>
      </c>
      <c r="AJ23" s="187">
        <v>205.99720170925298</v>
      </c>
      <c r="AK23" s="188"/>
      <c r="AL23" s="188">
        <v>9.3112932095403682</v>
      </c>
      <c r="AM23" s="188">
        <v>9.4614886827003613</v>
      </c>
      <c r="AN23" s="188">
        <v>9.936403488059721</v>
      </c>
      <c r="AO23" s="188">
        <v>9.7473722111033432</v>
      </c>
      <c r="AP23" s="187">
        <v>9.8772879766784918</v>
      </c>
      <c r="AQ23" s="90" t="str">
        <f t="shared" si="32"/>
        <v>20-24</v>
      </c>
      <c r="AR23" s="188">
        <v>55.35540976522563</v>
      </c>
      <c r="AS23" s="188">
        <v>59.428167736003701</v>
      </c>
      <c r="AT23" s="188">
        <v>76.351103299305365</v>
      </c>
      <c r="AU23" s="188">
        <v>82.69706940640998</v>
      </c>
      <c r="AV23" s="187">
        <v>92.251786802752903</v>
      </c>
      <c r="AW23" s="188"/>
      <c r="AX23" s="188">
        <v>55.171502233744391</v>
      </c>
      <c r="AY23" s="188">
        <v>59.230692610728923</v>
      </c>
      <c r="AZ23" s="188">
        <v>76.097464300047577</v>
      </c>
      <c r="BA23" s="188">
        <v>82.422307619001344</v>
      </c>
      <c r="BB23" s="187">
        <v>91.945269557157303</v>
      </c>
      <c r="BC23" s="188"/>
      <c r="BD23" s="188">
        <v>0.18390753148124411</v>
      </c>
      <c r="BE23" s="188">
        <v>0.19747512527477654</v>
      </c>
      <c r="BF23" s="188">
        <v>0.2536389992577906</v>
      </c>
      <c r="BG23" s="188">
        <v>0.27476178740863866</v>
      </c>
      <c r="BH23" s="187">
        <v>0.30651724559561289</v>
      </c>
    </row>
    <row r="24" spans="1:60" x14ac:dyDescent="0.2">
      <c r="A24" s="90" t="str">
        <f>$A$10</f>
        <v>25-29</v>
      </c>
      <c r="B24" s="188">
        <v>66.398736675349255</v>
      </c>
      <c r="C24" s="188">
        <v>69.045212178063281</v>
      </c>
      <c r="D24" s="188">
        <v>66.627042081793974</v>
      </c>
      <c r="E24" s="188">
        <v>68.686692459413791</v>
      </c>
      <c r="F24" s="187">
        <v>61.118016987628771</v>
      </c>
      <c r="G24" s="188"/>
      <c r="H24" s="188">
        <v>22.566174767142297</v>
      </c>
      <c r="I24" s="188">
        <v>23.465649013403809</v>
      </c>
      <c r="J24" s="188">
        <v>22.643783635613381</v>
      </c>
      <c r="K24" s="188">
        <v>23.343782133688464</v>
      </c>
      <c r="L24" s="187">
        <v>20.771486527956</v>
      </c>
      <c r="M24" s="188"/>
      <c r="N24" s="188">
        <v>43.832561908206955</v>
      </c>
      <c r="O24" s="188">
        <v>45.579563164659476</v>
      </c>
      <c r="P24" s="188">
        <v>43.983258446180592</v>
      </c>
      <c r="Q24" s="188">
        <v>45.342910325725327</v>
      </c>
      <c r="R24" s="187">
        <v>40.346530459672763</v>
      </c>
      <c r="S24" s="188"/>
      <c r="T24" s="188">
        <v>0</v>
      </c>
      <c r="U24" s="188">
        <v>0</v>
      </c>
      <c r="V24" s="188">
        <v>0</v>
      </c>
      <c r="W24" s="188">
        <v>0</v>
      </c>
      <c r="X24" s="187">
        <v>0</v>
      </c>
      <c r="Y24" s="90" t="str">
        <f>$A$10</f>
        <v>25-29</v>
      </c>
      <c r="Z24" s="188">
        <v>157.53682636123301</v>
      </c>
      <c r="AA24" s="188">
        <v>146.82469164415315</v>
      </c>
      <c r="AB24" s="188">
        <v>162.09459077138558</v>
      </c>
      <c r="AC24" s="188">
        <v>176.76412293200428</v>
      </c>
      <c r="AD24" s="187">
        <v>178.0449747242445</v>
      </c>
      <c r="AE24" s="188"/>
      <c r="AF24" s="188">
        <v>147.64849438417414</v>
      </c>
      <c r="AG24" s="188">
        <v>137.60882551682283</v>
      </c>
      <c r="AH24" s="188">
        <v>151.92024178805138</v>
      </c>
      <c r="AI24" s="188">
        <v>165.66900835507411</v>
      </c>
      <c r="AJ24" s="187">
        <v>166.86940114891388</v>
      </c>
      <c r="AK24" s="188"/>
      <c r="AL24" s="188">
        <v>9.8883319770588862</v>
      </c>
      <c r="AM24" s="188">
        <v>9.21586612733031</v>
      </c>
      <c r="AN24" s="188">
        <v>10.174348983334211</v>
      </c>
      <c r="AO24" s="188">
        <v>11.095114576930154</v>
      </c>
      <c r="AP24" s="187">
        <v>11.175573575330596</v>
      </c>
      <c r="AQ24" s="90" t="str">
        <f t="shared" si="32"/>
        <v>25-29</v>
      </c>
      <c r="AR24" s="188">
        <v>119.99943696341774</v>
      </c>
      <c r="AS24" s="188">
        <v>129.39109617778351</v>
      </c>
      <c r="AT24" s="188">
        <v>137.02936714682045</v>
      </c>
      <c r="AU24" s="188">
        <v>151.42218460858194</v>
      </c>
      <c r="AV24" s="187">
        <v>154.61300828812676</v>
      </c>
      <c r="AW24" s="188"/>
      <c r="AX24" s="188">
        <v>118.70993980899782</v>
      </c>
      <c r="AY24" s="188">
        <v>128.00063464065943</v>
      </c>
      <c r="AZ24" s="188">
        <v>135.5567932955843</v>
      </c>
      <c r="BA24" s="188">
        <v>149.7950052068511</v>
      </c>
      <c r="BB24" s="187">
        <v>152.9514745672883</v>
      </c>
      <c r="BC24" s="188"/>
      <c r="BD24" s="188">
        <v>1.2894971544199207</v>
      </c>
      <c r="BE24" s="188">
        <v>1.3904615371240769</v>
      </c>
      <c r="BF24" s="188">
        <v>1.4725738512361566</v>
      </c>
      <c r="BG24" s="188">
        <v>1.6271794017308401</v>
      </c>
      <c r="BH24" s="187">
        <v>1.6615337208384582</v>
      </c>
    </row>
    <row r="25" spans="1:60" x14ac:dyDescent="0.2">
      <c r="A25" s="90" t="str">
        <f>$A$11</f>
        <v>30-34</v>
      </c>
      <c r="B25" s="188">
        <v>68.283196879250426</v>
      </c>
      <c r="C25" s="188">
        <v>66.945802724107253</v>
      </c>
      <c r="D25" s="188">
        <v>66.03723253213704</v>
      </c>
      <c r="E25" s="188">
        <v>61.74876482433028</v>
      </c>
      <c r="F25" s="187">
        <v>53.450029841365982</v>
      </c>
      <c r="G25" s="188"/>
      <c r="H25" s="188">
        <v>24.544039774496266</v>
      </c>
      <c r="I25" s="188">
        <v>24.063322041545216</v>
      </c>
      <c r="J25" s="188">
        <v>23.736795331659089</v>
      </c>
      <c r="K25" s="188">
        <v>22.195343632842444</v>
      </c>
      <c r="L25" s="187">
        <v>19.212368288465317</v>
      </c>
      <c r="M25" s="188"/>
      <c r="N25" s="188">
        <v>43.739157104754149</v>
      </c>
      <c r="O25" s="188">
        <v>42.88248068256204</v>
      </c>
      <c r="P25" s="188">
        <v>42.300437200477958</v>
      </c>
      <c r="Q25" s="188">
        <v>39.553421191487843</v>
      </c>
      <c r="R25" s="187">
        <v>34.237661552900661</v>
      </c>
      <c r="S25" s="188"/>
      <c r="T25" s="188">
        <v>0</v>
      </c>
      <c r="U25" s="188">
        <v>0</v>
      </c>
      <c r="V25" s="188">
        <v>0</v>
      </c>
      <c r="W25" s="188">
        <v>0</v>
      </c>
      <c r="X25" s="187">
        <v>0</v>
      </c>
      <c r="Y25" s="90" t="str">
        <f>$A$11</f>
        <v>30-34</v>
      </c>
      <c r="Z25" s="188">
        <v>148.60780472425301</v>
      </c>
      <c r="AA25" s="188">
        <v>147.31893427815288</v>
      </c>
      <c r="AB25" s="188">
        <v>161.47366094590328</v>
      </c>
      <c r="AC25" s="188">
        <v>172.47340823028688</v>
      </c>
      <c r="AD25" s="187">
        <v>191.95713844294832</v>
      </c>
      <c r="AE25" s="188"/>
      <c r="AF25" s="188">
        <v>138.80683308840062</v>
      </c>
      <c r="AG25" s="188">
        <v>137.60298665378525</v>
      </c>
      <c r="AH25" s="188">
        <v>150.82413863510811</v>
      </c>
      <c r="AI25" s="188">
        <v>161.09845641798645</v>
      </c>
      <c r="AJ25" s="187">
        <v>179.29720884021523</v>
      </c>
      <c r="AK25" s="188"/>
      <c r="AL25" s="188">
        <v>9.8009716358523953</v>
      </c>
      <c r="AM25" s="188">
        <v>9.7159476243676277</v>
      </c>
      <c r="AN25" s="188">
        <v>10.649522310795193</v>
      </c>
      <c r="AO25" s="188">
        <v>11.374951812300438</v>
      </c>
      <c r="AP25" s="187">
        <v>12.659929602733092</v>
      </c>
      <c r="AQ25" s="90" t="str">
        <f t="shared" si="32"/>
        <v>30-34</v>
      </c>
      <c r="AR25" s="188">
        <v>129.43499839649661</v>
      </c>
      <c r="AS25" s="188">
        <v>136.9352629977399</v>
      </c>
      <c r="AT25" s="188">
        <v>146.86710652195967</v>
      </c>
      <c r="AU25" s="188">
        <v>156.94682694538284</v>
      </c>
      <c r="AV25" s="187">
        <v>178.67283171568567</v>
      </c>
      <c r="AW25" s="188"/>
      <c r="AX25" s="188">
        <v>126.08382142150504</v>
      </c>
      <c r="AY25" s="188">
        <v>133.38988826824271</v>
      </c>
      <c r="AZ25" s="188">
        <v>143.06466319041809</v>
      </c>
      <c r="BA25" s="188">
        <v>152.88342672901697</v>
      </c>
      <c r="BB25" s="187">
        <v>174.04687249714561</v>
      </c>
      <c r="BC25" s="188"/>
      <c r="BD25" s="188">
        <v>3.3511769749915721</v>
      </c>
      <c r="BE25" s="188">
        <v>3.5453747294971758</v>
      </c>
      <c r="BF25" s="188">
        <v>3.8024433315415691</v>
      </c>
      <c r="BG25" s="188">
        <v>4.0634002163658671</v>
      </c>
      <c r="BH25" s="187">
        <v>4.625959218540066</v>
      </c>
    </row>
    <row r="26" spans="1:60" x14ac:dyDescent="0.2">
      <c r="A26" s="90" t="str">
        <f>$A$12</f>
        <v>35-39</v>
      </c>
      <c r="B26" s="188">
        <v>81.570107580789099</v>
      </c>
      <c r="C26" s="188">
        <v>83.089506586868126</v>
      </c>
      <c r="D26" s="188">
        <v>69.396955766521813</v>
      </c>
      <c r="E26" s="188">
        <v>57.477476782623199</v>
      </c>
      <c r="F26" s="187">
        <v>45.376437261099497</v>
      </c>
      <c r="G26" s="188"/>
      <c r="H26" s="188">
        <v>27.823839481647656</v>
      </c>
      <c r="I26" s="188">
        <v>28.342149363665129</v>
      </c>
      <c r="J26" s="188">
        <v>23.671532314933994</v>
      </c>
      <c r="K26" s="188">
        <v>19.605797942974593</v>
      </c>
      <c r="L26" s="187">
        <v>15.478099602590135</v>
      </c>
      <c r="M26" s="188"/>
      <c r="N26" s="188">
        <v>53.746268099141446</v>
      </c>
      <c r="O26" s="188">
        <v>54.747357223203004</v>
      </c>
      <c r="P26" s="188">
        <v>45.725423451587815</v>
      </c>
      <c r="Q26" s="188">
        <v>37.871678839648609</v>
      </c>
      <c r="R26" s="187">
        <v>29.898337658509362</v>
      </c>
      <c r="S26" s="188"/>
      <c r="T26" s="188">
        <v>0</v>
      </c>
      <c r="U26" s="188">
        <v>0</v>
      </c>
      <c r="V26" s="188">
        <v>0</v>
      </c>
      <c r="W26" s="188">
        <v>0</v>
      </c>
      <c r="X26" s="187">
        <v>0</v>
      </c>
      <c r="Y26" s="90" t="str">
        <f>$A$12</f>
        <v>35-39</v>
      </c>
      <c r="Z26" s="188">
        <v>172.87314170144836</v>
      </c>
      <c r="AA26" s="188">
        <v>151.81746175182639</v>
      </c>
      <c r="AB26" s="188">
        <v>156.19921187888309</v>
      </c>
      <c r="AC26" s="188">
        <v>170.06847351368867</v>
      </c>
      <c r="AD26" s="187">
        <v>183.91916269923121</v>
      </c>
      <c r="AE26" s="188"/>
      <c r="AF26" s="188">
        <v>162.99555148006215</v>
      </c>
      <c r="AG26" s="188">
        <v>143.14291162441359</v>
      </c>
      <c r="AH26" s="188">
        <v>147.27436031165053</v>
      </c>
      <c r="AI26" s="188">
        <v>160.35109660117249</v>
      </c>
      <c r="AJ26" s="187">
        <v>173.41038032330772</v>
      </c>
      <c r="AK26" s="188"/>
      <c r="AL26" s="188">
        <v>9.8775902213862175</v>
      </c>
      <c r="AM26" s="188">
        <v>8.6745501274128145</v>
      </c>
      <c r="AN26" s="188">
        <v>8.9248515672325688</v>
      </c>
      <c r="AO26" s="188">
        <v>9.7173769125161513</v>
      </c>
      <c r="AP26" s="187">
        <v>10.508782375923495</v>
      </c>
      <c r="AQ26" s="90" t="str">
        <f t="shared" si="32"/>
        <v>35-39</v>
      </c>
      <c r="AR26" s="188">
        <v>130.84375071776253</v>
      </c>
      <c r="AS26" s="188">
        <v>143.10303166130547</v>
      </c>
      <c r="AT26" s="188">
        <v>145.7508323545951</v>
      </c>
      <c r="AU26" s="188">
        <v>161.80904970368815</v>
      </c>
      <c r="AV26" s="187">
        <v>178.15540003966933</v>
      </c>
      <c r="AW26" s="188"/>
      <c r="AX26" s="188">
        <v>127.60652595957404</v>
      </c>
      <c r="AY26" s="188">
        <v>139.56251449676819</v>
      </c>
      <c r="AZ26" s="188">
        <v>142.14475173688641</v>
      </c>
      <c r="BA26" s="188">
        <v>157.80566912987618</v>
      </c>
      <c r="BB26" s="187">
        <v>173.74761952873018</v>
      </c>
      <c r="BC26" s="188"/>
      <c r="BD26" s="188">
        <v>3.237224758188491</v>
      </c>
      <c r="BE26" s="188">
        <v>3.5405171645372788</v>
      </c>
      <c r="BF26" s="188">
        <v>3.6060806177086793</v>
      </c>
      <c r="BG26" s="188">
        <v>4.003380573811949</v>
      </c>
      <c r="BH26" s="187">
        <v>4.4077805109391317</v>
      </c>
    </row>
    <row r="27" spans="1:60" x14ac:dyDescent="0.2">
      <c r="A27" s="90" t="str">
        <f>$A$13</f>
        <v>40-44</v>
      </c>
      <c r="B27" s="188">
        <v>109.36258023994721</v>
      </c>
      <c r="C27" s="188">
        <v>100.65735353635027</v>
      </c>
      <c r="D27" s="188">
        <v>79.894996074335893</v>
      </c>
      <c r="E27" s="188">
        <v>58.266248681924139</v>
      </c>
      <c r="F27" s="187">
        <v>44.943691641188508</v>
      </c>
      <c r="G27" s="188"/>
      <c r="H27" s="188">
        <v>37.497201603751407</v>
      </c>
      <c r="I27" s="188">
        <v>34.512468517177361</v>
      </c>
      <c r="J27" s="188">
        <v>27.393678246007219</v>
      </c>
      <c r="K27" s="188">
        <v>19.977808097422283</v>
      </c>
      <c r="L27" s="187">
        <v>15.409876741628949</v>
      </c>
      <c r="M27" s="188"/>
      <c r="N27" s="188">
        <v>71.8653786361958</v>
      </c>
      <c r="O27" s="188">
        <v>66.144885019172918</v>
      </c>
      <c r="P27" s="188">
        <v>52.501317828328666</v>
      </c>
      <c r="Q27" s="188">
        <v>38.288440584501856</v>
      </c>
      <c r="R27" s="187">
        <v>29.533814899559559</v>
      </c>
      <c r="S27" s="188"/>
      <c r="T27" s="188">
        <v>0</v>
      </c>
      <c r="U27" s="188">
        <v>0</v>
      </c>
      <c r="V27" s="188">
        <v>0</v>
      </c>
      <c r="W27" s="188">
        <v>0</v>
      </c>
      <c r="X27" s="187">
        <v>0</v>
      </c>
      <c r="Y27" s="90" t="str">
        <f>$A$13</f>
        <v>40-44</v>
      </c>
      <c r="Z27" s="188">
        <v>173.78731454334542</v>
      </c>
      <c r="AA27" s="188">
        <v>163.77527356450886</v>
      </c>
      <c r="AB27" s="188">
        <v>162.60647900072252</v>
      </c>
      <c r="AC27" s="188">
        <v>166.47427183086532</v>
      </c>
      <c r="AD27" s="187">
        <v>181.69643068872716</v>
      </c>
      <c r="AE27" s="188"/>
      <c r="AF27" s="188">
        <v>165.32689297611799</v>
      </c>
      <c r="AG27" s="188">
        <v>155.80222756557217</v>
      </c>
      <c r="AH27" s="188">
        <v>154.69035923872957</v>
      </c>
      <c r="AI27" s="188">
        <v>158.36986274844344</v>
      </c>
      <c r="AJ27" s="187">
        <v>172.85093659793318</v>
      </c>
      <c r="AK27" s="188"/>
      <c r="AL27" s="188">
        <v>8.4604215672274528</v>
      </c>
      <c r="AM27" s="188">
        <v>7.9730459989366764</v>
      </c>
      <c r="AN27" s="188">
        <v>7.9161197619929249</v>
      </c>
      <c r="AO27" s="188">
        <v>8.1044090824218635</v>
      </c>
      <c r="AP27" s="187">
        <v>8.8454940907939719</v>
      </c>
      <c r="AQ27" s="90" t="str">
        <f t="shared" si="32"/>
        <v>40-44</v>
      </c>
      <c r="AR27" s="188">
        <v>128.62610521670734</v>
      </c>
      <c r="AS27" s="188">
        <v>136.39037289914091</v>
      </c>
      <c r="AT27" s="188">
        <v>148.07052492494154</v>
      </c>
      <c r="AU27" s="188">
        <v>154.31647948721056</v>
      </c>
      <c r="AV27" s="187">
        <v>171.30987767008435</v>
      </c>
      <c r="AW27" s="188"/>
      <c r="AX27" s="188">
        <v>125.76772964125814</v>
      </c>
      <c r="AY27" s="188">
        <v>133.35947800784845</v>
      </c>
      <c r="AZ27" s="188">
        <v>144.78005921667193</v>
      </c>
      <c r="BA27" s="188">
        <v>150.88727091047099</v>
      </c>
      <c r="BB27" s="187">
        <v>167.50296624498654</v>
      </c>
      <c r="BC27" s="188"/>
      <c r="BD27" s="188">
        <v>2.8583755754492008</v>
      </c>
      <c r="BE27" s="188">
        <v>3.030894891292423</v>
      </c>
      <c r="BF27" s="188">
        <v>3.2904657082695943</v>
      </c>
      <c r="BG27" s="188">
        <v>3.4292085767395757</v>
      </c>
      <c r="BH27" s="187">
        <v>3.8069114250978413</v>
      </c>
    </row>
    <row r="28" spans="1:60" x14ac:dyDescent="0.2">
      <c r="A28" s="90" t="str">
        <f>$A$14</f>
        <v>45-49</v>
      </c>
      <c r="B28" s="188">
        <v>133.05883203982552</v>
      </c>
      <c r="C28" s="188">
        <v>130.62922404585686</v>
      </c>
      <c r="D28" s="188">
        <v>99.593963362259984</v>
      </c>
      <c r="E28" s="188">
        <v>77.436632042573009</v>
      </c>
      <c r="F28" s="187">
        <v>59.492715137111858</v>
      </c>
      <c r="G28" s="188"/>
      <c r="H28" s="188">
        <v>45.027200591392536</v>
      </c>
      <c r="I28" s="188">
        <v>44.204981813015024</v>
      </c>
      <c r="J28" s="188">
        <v>33.702642640591492</v>
      </c>
      <c r="K28" s="188">
        <v>26.204594261379921</v>
      </c>
      <c r="L28" s="187">
        <v>20.132393786098973</v>
      </c>
      <c r="M28" s="188"/>
      <c r="N28" s="188">
        <v>88.031631448432989</v>
      </c>
      <c r="O28" s="188">
        <v>86.424242232841848</v>
      </c>
      <c r="P28" s="188">
        <v>65.891320721668478</v>
      </c>
      <c r="Q28" s="188">
        <v>51.232037781193085</v>
      </c>
      <c r="R28" s="187">
        <v>39.360321351012892</v>
      </c>
      <c r="S28" s="188"/>
      <c r="T28" s="188">
        <v>0</v>
      </c>
      <c r="U28" s="188">
        <v>0</v>
      </c>
      <c r="V28" s="188">
        <v>0</v>
      </c>
      <c r="W28" s="188">
        <v>0</v>
      </c>
      <c r="X28" s="187">
        <v>0</v>
      </c>
      <c r="Y28" s="90" t="str">
        <f>$A$14</f>
        <v>45-49</v>
      </c>
      <c r="Z28" s="188">
        <v>147.70040930140374</v>
      </c>
      <c r="AA28" s="188">
        <v>150.78309476094216</v>
      </c>
      <c r="AB28" s="188">
        <v>165.92406107867228</v>
      </c>
      <c r="AC28" s="188">
        <v>170.02775905499576</v>
      </c>
      <c r="AD28" s="187">
        <v>173.29143493241449</v>
      </c>
      <c r="AE28" s="188"/>
      <c r="AF28" s="188">
        <v>141.54694322175274</v>
      </c>
      <c r="AG28" s="188">
        <v>144.50116492117996</v>
      </c>
      <c r="AH28" s="188">
        <v>159.01136074679223</v>
      </c>
      <c r="AI28" s="188">
        <v>162.94414401206637</v>
      </c>
      <c r="AJ28" s="187">
        <v>166.07180166684751</v>
      </c>
      <c r="AK28" s="188"/>
      <c r="AL28" s="188">
        <v>6.1534660796509844</v>
      </c>
      <c r="AM28" s="188">
        <v>6.2819298397621735</v>
      </c>
      <c r="AN28" s="188">
        <v>6.9127003318800542</v>
      </c>
      <c r="AO28" s="188">
        <v>7.0836150429293721</v>
      </c>
      <c r="AP28" s="187">
        <v>7.2196332655670084</v>
      </c>
      <c r="AQ28" s="90" t="str">
        <f t="shared" si="32"/>
        <v>45-49</v>
      </c>
      <c r="AR28" s="188">
        <v>123.31275865877076</v>
      </c>
      <c r="AS28" s="188">
        <v>132.41368119320103</v>
      </c>
      <c r="AT28" s="188">
        <v>140.53797555906777</v>
      </c>
      <c r="AU28" s="188">
        <v>145.28260890243126</v>
      </c>
      <c r="AV28" s="187">
        <v>149.41884993047367</v>
      </c>
      <c r="AW28" s="188"/>
      <c r="AX28" s="188">
        <v>120.05066515719325</v>
      </c>
      <c r="AY28" s="188">
        <v>128.91090449693274</v>
      </c>
      <c r="AZ28" s="188">
        <v>136.82028565996129</v>
      </c>
      <c r="BA28" s="188">
        <v>141.4394248982336</v>
      </c>
      <c r="BB28" s="187">
        <v>145.46618310656098</v>
      </c>
      <c r="BC28" s="188"/>
      <c r="BD28" s="188">
        <v>3.2620935015775157</v>
      </c>
      <c r="BE28" s="188">
        <v>3.5027766962682798</v>
      </c>
      <c r="BF28" s="188">
        <v>3.7176898991064919</v>
      </c>
      <c r="BG28" s="188">
        <v>3.8431840041976795</v>
      </c>
      <c r="BH28" s="187">
        <v>3.952666823912681</v>
      </c>
    </row>
    <row r="29" spans="1:60" x14ac:dyDescent="0.2">
      <c r="A29" s="90" t="str">
        <f>$A$15</f>
        <v>50-54</v>
      </c>
      <c r="B29" s="188">
        <v>142.62528866518252</v>
      </c>
      <c r="C29" s="188">
        <v>144.67879652164194</v>
      </c>
      <c r="D29" s="188">
        <v>129.89288976403338</v>
      </c>
      <c r="E29" s="188">
        <v>108.5906384249285</v>
      </c>
      <c r="F29" s="187">
        <v>88.797023806023716</v>
      </c>
      <c r="G29" s="188"/>
      <c r="H29" s="188">
        <v>58.809677206890292</v>
      </c>
      <c r="I29" s="188">
        <v>59.656444402939428</v>
      </c>
      <c r="J29" s="188">
        <v>53.559622114055813</v>
      </c>
      <c r="K29" s="188">
        <v>44.77589197427843</v>
      </c>
      <c r="L29" s="187">
        <v>36.614290916009523</v>
      </c>
      <c r="M29" s="188"/>
      <c r="N29" s="188">
        <v>83.815611458292224</v>
      </c>
      <c r="O29" s="188">
        <v>85.022352118702528</v>
      </c>
      <c r="P29" s="188">
        <v>76.333267649977572</v>
      </c>
      <c r="Q29" s="188">
        <v>63.814746450650077</v>
      </c>
      <c r="R29" s="187">
        <v>52.182732890014194</v>
      </c>
      <c r="S29" s="188"/>
      <c r="T29" s="188">
        <v>0</v>
      </c>
      <c r="U29" s="188">
        <v>0</v>
      </c>
      <c r="V29" s="188">
        <v>0</v>
      </c>
      <c r="W29" s="188">
        <v>0</v>
      </c>
      <c r="X29" s="187">
        <v>0</v>
      </c>
      <c r="Y29" s="90" t="str">
        <f>$A$15</f>
        <v>50-54</v>
      </c>
      <c r="Z29" s="188">
        <v>128.12433076039389</v>
      </c>
      <c r="AA29" s="188">
        <v>131.63132793945925</v>
      </c>
      <c r="AB29" s="188">
        <v>150.56527705284162</v>
      </c>
      <c r="AC29" s="188">
        <v>157.47681805010433</v>
      </c>
      <c r="AD29" s="187">
        <v>161.81424705237774</v>
      </c>
      <c r="AE29" s="188"/>
      <c r="AF29" s="188">
        <v>122.55278649675924</v>
      </c>
      <c r="AG29" s="188">
        <v>125.90722170135525</v>
      </c>
      <c r="AH29" s="188">
        <v>144.01786562915689</v>
      </c>
      <c r="AI29" s="188">
        <v>150.62881683229153</v>
      </c>
      <c r="AJ29" s="187">
        <v>154.77764225506792</v>
      </c>
      <c r="AK29" s="188"/>
      <c r="AL29" s="188">
        <v>5.5715442636346637</v>
      </c>
      <c r="AM29" s="188">
        <v>5.7241062381040022</v>
      </c>
      <c r="AN29" s="188">
        <v>6.5474114236847223</v>
      </c>
      <c r="AO29" s="188">
        <v>6.848001217812798</v>
      </c>
      <c r="AP29" s="187">
        <v>7.0366047973098143</v>
      </c>
      <c r="AQ29" s="90" t="str">
        <f t="shared" si="32"/>
        <v>50-54</v>
      </c>
      <c r="AR29" s="188">
        <v>99.533380574423589</v>
      </c>
      <c r="AS29" s="188">
        <v>107.85887553889877</v>
      </c>
      <c r="AT29" s="188">
        <v>131.66083318312499</v>
      </c>
      <c r="AU29" s="188">
        <v>136.99154352496717</v>
      </c>
      <c r="AV29" s="187">
        <v>140.23672914159854</v>
      </c>
      <c r="AW29" s="188"/>
      <c r="AX29" s="188">
        <v>96.536032850777929</v>
      </c>
      <c r="AY29" s="188">
        <v>104.61089167560138</v>
      </c>
      <c r="AZ29" s="188">
        <v>127.6960784524572</v>
      </c>
      <c r="BA29" s="188">
        <v>132.86627000855998</v>
      </c>
      <c r="BB29" s="187">
        <v>136.01369492085831</v>
      </c>
      <c r="BC29" s="188"/>
      <c r="BD29" s="188">
        <v>2.9973477236456505</v>
      </c>
      <c r="BE29" s="188">
        <v>3.2479838632974087</v>
      </c>
      <c r="BF29" s="188">
        <v>3.9647547306677895</v>
      </c>
      <c r="BG29" s="188">
        <v>4.1252735164071801</v>
      </c>
      <c r="BH29" s="187">
        <v>4.2230342207402218</v>
      </c>
    </row>
    <row r="30" spans="1:60" x14ac:dyDescent="0.2">
      <c r="A30" s="90" t="str">
        <f>$A$16</f>
        <v>55-59</v>
      </c>
      <c r="B30" s="188">
        <v>142.02345355885194</v>
      </c>
      <c r="C30" s="188">
        <v>143.44952230302076</v>
      </c>
      <c r="D30" s="188">
        <v>139.14959212331905</v>
      </c>
      <c r="E30" s="188">
        <v>133.10606492478584</v>
      </c>
      <c r="F30" s="187">
        <v>109.14650779855604</v>
      </c>
      <c r="G30" s="188"/>
      <c r="H30" s="188">
        <v>65.471577847382605</v>
      </c>
      <c r="I30" s="188">
        <v>66.128938994656224</v>
      </c>
      <c r="J30" s="188">
        <v>64.146760401718026</v>
      </c>
      <c r="K30" s="188">
        <v>61.360743377948751</v>
      </c>
      <c r="L30" s="187">
        <v>50.315564885494574</v>
      </c>
      <c r="M30" s="188"/>
      <c r="N30" s="188">
        <v>76.551875711469307</v>
      </c>
      <c r="O30" s="188">
        <v>77.320583308364533</v>
      </c>
      <c r="P30" s="188">
        <v>75.002831721601012</v>
      </c>
      <c r="Q30" s="188">
        <v>71.74532154683709</v>
      </c>
      <c r="R30" s="187">
        <v>58.830942913061456</v>
      </c>
      <c r="S30" s="188"/>
      <c r="T30" s="188">
        <v>0</v>
      </c>
      <c r="U30" s="188">
        <v>0</v>
      </c>
      <c r="V30" s="188">
        <v>0</v>
      </c>
      <c r="W30" s="188">
        <v>0</v>
      </c>
      <c r="X30" s="187">
        <v>0</v>
      </c>
      <c r="Y30" s="90" t="str">
        <f>$A$16</f>
        <v>55-59</v>
      </c>
      <c r="Z30" s="188">
        <v>109.05588764571488</v>
      </c>
      <c r="AA30" s="188">
        <v>103.02668159053177</v>
      </c>
      <c r="AB30" s="188">
        <v>125.61808852626254</v>
      </c>
      <c r="AC30" s="188">
        <v>146.63086089061352</v>
      </c>
      <c r="AD30" s="187">
        <v>154.81770782548793</v>
      </c>
      <c r="AE30" s="188"/>
      <c r="AF30" s="188">
        <v>103.75944425598405</v>
      </c>
      <c r="AG30" s="188">
        <v>98.023014500202649</v>
      </c>
      <c r="AH30" s="188">
        <v>119.51727296970975</v>
      </c>
      <c r="AI30" s="188">
        <v>139.509472215926</v>
      </c>
      <c r="AJ30" s="187">
        <v>147.29874653579841</v>
      </c>
      <c r="AK30" s="188"/>
      <c r="AL30" s="188">
        <v>5.296443389730813</v>
      </c>
      <c r="AM30" s="188">
        <v>5.0036670903291043</v>
      </c>
      <c r="AN30" s="188">
        <v>6.1008155565527895</v>
      </c>
      <c r="AO30" s="188">
        <v>7.1213886746875295</v>
      </c>
      <c r="AP30" s="187">
        <v>7.5189612896894937</v>
      </c>
      <c r="AQ30" s="90" t="str">
        <f t="shared" si="32"/>
        <v>55-59</v>
      </c>
      <c r="AR30" s="188">
        <v>86.859658795433134</v>
      </c>
      <c r="AS30" s="188">
        <v>96.998796106447443</v>
      </c>
      <c r="AT30" s="188">
        <v>110.9803193504184</v>
      </c>
      <c r="AU30" s="188">
        <v>123.37107418460066</v>
      </c>
      <c r="AV30" s="187">
        <v>131.50178437595608</v>
      </c>
      <c r="AW30" s="188"/>
      <c r="AX30" s="188">
        <v>84.146035314499002</v>
      </c>
      <c r="AY30" s="188">
        <v>93.968368312463639</v>
      </c>
      <c r="AZ30" s="188">
        <v>107.5131451192468</v>
      </c>
      <c r="BA30" s="188">
        <v>119.51673817354288</v>
      </c>
      <c r="BB30" s="187">
        <v>127.3934508351265</v>
      </c>
      <c r="BC30" s="188"/>
      <c r="BD30" s="188">
        <v>2.7136234809341366</v>
      </c>
      <c r="BE30" s="188">
        <v>3.030427793983804</v>
      </c>
      <c r="BF30" s="188">
        <v>3.4671742311715938</v>
      </c>
      <c r="BG30" s="188">
        <v>3.8543360110577858</v>
      </c>
      <c r="BH30" s="187">
        <v>4.1083335408295882</v>
      </c>
    </row>
    <row r="31" spans="1:60" x14ac:dyDescent="0.2">
      <c r="A31" s="90" t="str">
        <f>$A$17</f>
        <v>60-64</v>
      </c>
      <c r="B31" s="188">
        <v>135.20871159850742</v>
      </c>
      <c r="C31" s="188">
        <v>139.14227803640441</v>
      </c>
      <c r="D31" s="188">
        <v>130.14619876262617</v>
      </c>
      <c r="E31" s="188">
        <v>116.92965912610188</v>
      </c>
      <c r="F31" s="187">
        <v>97.821165625616288</v>
      </c>
      <c r="G31" s="188"/>
      <c r="H31" s="188">
        <v>70.289274754240722</v>
      </c>
      <c r="I31" s="188">
        <v>72.334142210216811</v>
      </c>
      <c r="J31" s="188">
        <v>67.657493952962056</v>
      </c>
      <c r="K31" s="188">
        <v>60.786778379352796</v>
      </c>
      <c r="L31" s="187">
        <v>50.853075153050249</v>
      </c>
      <c r="M31" s="188"/>
      <c r="N31" s="188">
        <v>64.919436844266713</v>
      </c>
      <c r="O31" s="188">
        <v>66.808135826187581</v>
      </c>
      <c r="P31" s="188">
        <v>62.488704809664121</v>
      </c>
      <c r="Q31" s="188">
        <v>56.142880746749078</v>
      </c>
      <c r="R31" s="187">
        <v>46.968090472566033</v>
      </c>
      <c r="S31" s="188"/>
      <c r="T31" s="188">
        <v>0</v>
      </c>
      <c r="U31" s="188">
        <v>0</v>
      </c>
      <c r="V31" s="188">
        <v>0</v>
      </c>
      <c r="W31" s="188">
        <v>0</v>
      </c>
      <c r="X31" s="187">
        <v>0</v>
      </c>
      <c r="Y31" s="90" t="str">
        <f>$A$17</f>
        <v>60-64</v>
      </c>
      <c r="Z31" s="188">
        <v>86.312916170074814</v>
      </c>
      <c r="AA31" s="188">
        <v>87.978682675397692</v>
      </c>
      <c r="AB31" s="188">
        <v>102.45961005200583</v>
      </c>
      <c r="AC31" s="188">
        <v>124.91232684164649</v>
      </c>
      <c r="AD31" s="187">
        <v>146.90533839921289</v>
      </c>
      <c r="AE31" s="188"/>
      <c r="AF31" s="188">
        <v>82.494145323393639</v>
      </c>
      <c r="AG31" s="188">
        <v>84.086253978523061</v>
      </c>
      <c r="AH31" s="188">
        <v>97.926456664959204</v>
      </c>
      <c r="AI31" s="188">
        <v>119.38584315305835</v>
      </c>
      <c r="AJ31" s="187">
        <v>140.40583035374158</v>
      </c>
      <c r="AK31" s="188"/>
      <c r="AL31" s="188">
        <v>3.8187708466811769</v>
      </c>
      <c r="AM31" s="188">
        <v>3.8924286968746324</v>
      </c>
      <c r="AN31" s="188">
        <v>4.533153387046621</v>
      </c>
      <c r="AO31" s="188">
        <v>5.5264836885881472</v>
      </c>
      <c r="AP31" s="187">
        <v>6.4995080454712904</v>
      </c>
      <c r="AQ31" s="90" t="str">
        <f t="shared" si="32"/>
        <v>60-64</v>
      </c>
      <c r="AR31" s="188">
        <v>67.855372231417789</v>
      </c>
      <c r="AS31" s="188">
        <v>83.945039288197918</v>
      </c>
      <c r="AT31" s="188">
        <v>95.468191185367971</v>
      </c>
      <c r="AU31" s="188">
        <v>119.10401403225165</v>
      </c>
      <c r="AV31" s="187">
        <v>144.11749597517081</v>
      </c>
      <c r="AW31" s="188"/>
      <c r="AX31" s="188">
        <v>65.304426563134072</v>
      </c>
      <c r="AY31" s="188">
        <v>80.789147061586561</v>
      </c>
      <c r="AZ31" s="188">
        <v>91.879108865414764</v>
      </c>
      <c r="BA31" s="188">
        <v>114.62635921396409</v>
      </c>
      <c r="BB31" s="187">
        <v>138.69950783520864</v>
      </c>
      <c r="BC31" s="188"/>
      <c r="BD31" s="188">
        <v>2.5509456682837173</v>
      </c>
      <c r="BE31" s="188">
        <v>3.1558922266113782</v>
      </c>
      <c r="BF31" s="188">
        <v>3.5890823199532207</v>
      </c>
      <c r="BG31" s="188">
        <v>4.4776548182875615</v>
      </c>
      <c r="BH31" s="187">
        <v>5.4179881399621461</v>
      </c>
    </row>
    <row r="32" spans="1:60" x14ac:dyDescent="0.2">
      <c r="A32" s="90" t="str">
        <f>$A$18</f>
        <v>65+</v>
      </c>
      <c r="B32" s="188">
        <v>413.27348346987924</v>
      </c>
      <c r="C32" s="188">
        <v>413.22199816727857</v>
      </c>
      <c r="D32" s="188">
        <v>382.42661647142006</v>
      </c>
      <c r="E32" s="188">
        <v>344.26916975565996</v>
      </c>
      <c r="F32" s="187">
        <v>299.66486973953153</v>
      </c>
      <c r="G32" s="188"/>
      <c r="H32" s="188">
        <v>280.86103102264485</v>
      </c>
      <c r="I32" s="188">
        <v>280.82599650665259</v>
      </c>
      <c r="J32" s="188">
        <v>259.89747790143747</v>
      </c>
      <c r="K32" s="188">
        <v>233.96563126418033</v>
      </c>
      <c r="L32" s="187">
        <v>203.65250932991842</v>
      </c>
      <c r="M32" s="188"/>
      <c r="N32" s="188">
        <v>132.41245244723444</v>
      </c>
      <c r="O32" s="188">
        <v>132.39600166062604</v>
      </c>
      <c r="P32" s="188">
        <v>122.52913856998256</v>
      </c>
      <c r="Q32" s="188">
        <v>110.30353849147959</v>
      </c>
      <c r="R32" s="187">
        <v>96.012360409613152</v>
      </c>
      <c r="S32" s="188"/>
      <c r="T32" s="188">
        <v>0</v>
      </c>
      <c r="U32" s="188">
        <v>0</v>
      </c>
      <c r="V32" s="188">
        <v>0</v>
      </c>
      <c r="W32" s="188">
        <v>0</v>
      </c>
      <c r="X32" s="187">
        <v>0</v>
      </c>
      <c r="Y32" s="90" t="str">
        <f>$A$18</f>
        <v>65+</v>
      </c>
      <c r="Z32" s="188">
        <v>183.28798651698779</v>
      </c>
      <c r="AA32" s="188">
        <v>198.84833199585475</v>
      </c>
      <c r="AB32" s="188">
        <v>264.78812722486305</v>
      </c>
      <c r="AC32" s="188">
        <v>324.20846857729254</v>
      </c>
      <c r="AD32" s="187">
        <v>390.52526772257721</v>
      </c>
      <c r="AE32" s="188"/>
      <c r="AF32" s="188">
        <v>175.04417159553057</v>
      </c>
      <c r="AG32" s="188">
        <v>189.90464961003784</v>
      </c>
      <c r="AH32" s="188">
        <v>252.8787207130141</v>
      </c>
      <c r="AI32" s="188">
        <v>309.62643682093773</v>
      </c>
      <c r="AJ32" s="187">
        <v>372.96056409867555</v>
      </c>
      <c r="AK32" s="188"/>
      <c r="AL32" s="188">
        <v>8.243814921457215</v>
      </c>
      <c r="AM32" s="188">
        <v>8.9436823858169294</v>
      </c>
      <c r="AN32" s="188">
        <v>11.909406511848935</v>
      </c>
      <c r="AO32" s="188">
        <v>14.582031756354773</v>
      </c>
      <c r="AP32" s="187">
        <v>17.564703623901661</v>
      </c>
      <c r="AQ32" s="90" t="str">
        <f t="shared" si="32"/>
        <v>65+</v>
      </c>
      <c r="AR32" s="188">
        <v>164.37253001313297</v>
      </c>
      <c r="AS32" s="188">
        <v>172.14466983686671</v>
      </c>
      <c r="AT32" s="188">
        <v>232.36725630371686</v>
      </c>
      <c r="AU32" s="188">
        <v>309.43936166704759</v>
      </c>
      <c r="AV32" s="187">
        <v>407.37086253789136</v>
      </c>
      <c r="AW32" s="188"/>
      <c r="AX32" s="188">
        <v>157.65906224959758</v>
      </c>
      <c r="AY32" s="188">
        <v>165.11377610213441</v>
      </c>
      <c r="AZ32" s="188">
        <v>222.87664185404887</v>
      </c>
      <c r="BA32" s="188">
        <v>296.80092091622549</v>
      </c>
      <c r="BB32" s="187">
        <v>390.73259978076936</v>
      </c>
      <c r="BC32" s="188"/>
      <c r="BD32" s="188">
        <v>6.7134677635354318</v>
      </c>
      <c r="BE32" s="188">
        <v>7.0308937347323051</v>
      </c>
      <c r="BF32" s="188">
        <v>9.4906144496679747</v>
      </c>
      <c r="BG32" s="188">
        <v>12.63844075082217</v>
      </c>
      <c r="BH32" s="187">
        <v>16.638262757122035</v>
      </c>
    </row>
    <row r="33" spans="1:60" x14ac:dyDescent="0.2">
      <c r="B33" s="188"/>
      <c r="C33" s="188"/>
      <c r="D33" s="188"/>
      <c r="E33" s="188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93"/>
      <c r="U33" s="93"/>
      <c r="V33" s="93"/>
      <c r="W33" s="93"/>
      <c r="X33" s="93"/>
      <c r="Z33" s="188"/>
      <c r="AA33" s="188"/>
      <c r="AB33" s="188"/>
      <c r="AC33" s="188"/>
      <c r="AD33" s="187"/>
      <c r="AE33" s="187"/>
      <c r="AF33" s="187"/>
      <c r="AG33" s="187"/>
      <c r="AH33" s="187"/>
      <c r="AI33" s="187"/>
      <c r="AJ33" s="187"/>
      <c r="AK33" s="187"/>
      <c r="AL33" s="187"/>
      <c r="AM33" s="187"/>
      <c r="AN33" s="187"/>
      <c r="AO33" s="187"/>
      <c r="AP33" s="187"/>
      <c r="AR33" s="188"/>
      <c r="AS33" s="188"/>
      <c r="AT33" s="188"/>
      <c r="AU33" s="188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</row>
    <row r="34" spans="1:60" x14ac:dyDescent="0.2">
      <c r="A34" s="113" t="s">
        <v>99</v>
      </c>
      <c r="B34" s="188"/>
      <c r="C34" s="188"/>
      <c r="D34" s="188"/>
      <c r="E34" s="188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93"/>
      <c r="U34" s="93"/>
      <c r="V34" s="93"/>
      <c r="W34" s="93"/>
      <c r="X34" s="93"/>
      <c r="Y34" s="113" t="str">
        <f>A34</f>
        <v>Females</v>
      </c>
      <c r="Z34" s="93"/>
      <c r="AA34" s="93"/>
      <c r="AB34" s="93"/>
      <c r="AC34" s="93"/>
      <c r="AD34" s="187"/>
      <c r="AE34" s="187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13" t="str">
        <f>A34</f>
        <v>Females</v>
      </c>
      <c r="AR34" s="93"/>
      <c r="AS34" s="93"/>
      <c r="AT34" s="93"/>
      <c r="AU34" s="93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</row>
    <row r="35" spans="1:60" x14ac:dyDescent="0.2">
      <c r="A35" s="90" t="str">
        <f>$A$7</f>
        <v>15+</v>
      </c>
      <c r="B35" s="188">
        <f>SUM(B36:B46)</f>
        <v>1839.2166575000715</v>
      </c>
      <c r="C35" s="188">
        <f t="shared" ref="C35:F35" si="33">SUM(C36:C46)</f>
        <v>1786.0603742980511</v>
      </c>
      <c r="D35" s="188">
        <f t="shared" si="33"/>
        <v>1572.103997262989</v>
      </c>
      <c r="E35" s="188">
        <f t="shared" si="33"/>
        <v>1350.9626109662327</v>
      </c>
      <c r="F35" s="188">
        <f t="shared" si="33"/>
        <v>1143.3207917146487</v>
      </c>
      <c r="G35" s="187"/>
      <c r="H35" s="188">
        <f>SUM(H36:H46)</f>
        <v>963.2794859618532</v>
      </c>
      <c r="I35" s="188">
        <f t="shared" ref="I35:L35" si="34">SUM(I36:I46)</f>
        <v>932.67382880597597</v>
      </c>
      <c r="J35" s="188">
        <f t="shared" si="34"/>
        <v>822.41738994957336</v>
      </c>
      <c r="K35" s="188">
        <f t="shared" si="34"/>
        <v>699.51116772963974</v>
      </c>
      <c r="L35" s="188">
        <f t="shared" si="34"/>
        <v>576.46624793891874</v>
      </c>
      <c r="M35" s="187"/>
      <c r="N35" s="188">
        <f>SUM(N36:N46)</f>
        <v>875.93717153821831</v>
      </c>
      <c r="O35" s="188">
        <f t="shared" ref="O35:R35" si="35">SUM(O36:O46)</f>
        <v>853.38654549207513</v>
      </c>
      <c r="P35" s="188">
        <f t="shared" si="35"/>
        <v>749.68660731341538</v>
      </c>
      <c r="Q35" s="188">
        <f t="shared" si="35"/>
        <v>651.45144323659315</v>
      </c>
      <c r="R35" s="188">
        <f t="shared" si="35"/>
        <v>566.85454377573012</v>
      </c>
      <c r="S35" s="187"/>
      <c r="T35" s="188">
        <f>SUM(T36:T46)</f>
        <v>0</v>
      </c>
      <c r="U35" s="188">
        <f t="shared" ref="U35:X35" si="36">SUM(U36:U46)</f>
        <v>0</v>
      </c>
      <c r="V35" s="188">
        <f t="shared" si="36"/>
        <v>0</v>
      </c>
      <c r="W35" s="188">
        <f t="shared" si="36"/>
        <v>0</v>
      </c>
      <c r="X35" s="188">
        <f t="shared" si="36"/>
        <v>0</v>
      </c>
      <c r="Y35" s="90" t="str">
        <f>$A$7</f>
        <v>15+</v>
      </c>
      <c r="Z35" s="188">
        <f>SUM(Z36:Z46)</f>
        <v>1514.4894356563314</v>
      </c>
      <c r="AA35" s="188">
        <f t="shared" ref="AA35:AD35" si="37">SUM(AA36:AA46)</f>
        <v>1503.6765075089238</v>
      </c>
      <c r="AB35" s="188">
        <f t="shared" si="37"/>
        <v>1659.9026427502681</v>
      </c>
      <c r="AC35" s="188">
        <f t="shared" si="37"/>
        <v>1797.4464428451124</v>
      </c>
      <c r="AD35" s="188">
        <f t="shared" si="37"/>
        <v>1939.4301277122679</v>
      </c>
      <c r="AE35" s="188"/>
      <c r="AF35" s="188">
        <f>SUM(AF36:AF46)</f>
        <v>1427.6490102140683</v>
      </c>
      <c r="AG35" s="188">
        <f t="shared" ref="AG35:AJ35" si="38">SUM(AG36:AG46)</f>
        <v>1417.9494245743583</v>
      </c>
      <c r="AH35" s="188">
        <f t="shared" si="38"/>
        <v>1565.6898030959378</v>
      </c>
      <c r="AI35" s="188">
        <f t="shared" si="38"/>
        <v>1695.8037388732168</v>
      </c>
      <c r="AJ35" s="188">
        <f t="shared" si="38"/>
        <v>1830.7085872896366</v>
      </c>
      <c r="AK35" s="188"/>
      <c r="AL35" s="188">
        <f>SUM(AL36:AL46)</f>
        <v>86.840425442262955</v>
      </c>
      <c r="AM35" s="188">
        <f t="shared" ref="AM35:AP35" si="39">SUM(AM36:AM46)</f>
        <v>85.727082934565459</v>
      </c>
      <c r="AN35" s="188">
        <f t="shared" si="39"/>
        <v>94.212839654330281</v>
      </c>
      <c r="AO35" s="188">
        <f t="shared" si="39"/>
        <v>101.64270397189549</v>
      </c>
      <c r="AP35" s="188">
        <f t="shared" si="39"/>
        <v>108.72154042263139</v>
      </c>
      <c r="AQ35" s="90" t="str">
        <f>$A$7</f>
        <v>15+</v>
      </c>
      <c r="AR35" s="188">
        <f>SUM(AR36:AR46)</f>
        <v>1208.4819068435977</v>
      </c>
      <c r="AS35" s="188">
        <f t="shared" ref="AS35:AV35" si="40">SUM(AS36:AS46)</f>
        <v>1342.1641181930254</v>
      </c>
      <c r="AT35" s="188">
        <f t="shared" si="40"/>
        <v>1576.2403599867432</v>
      </c>
      <c r="AU35" s="188">
        <f t="shared" si="40"/>
        <v>1829.5899461886547</v>
      </c>
      <c r="AV35" s="188">
        <f t="shared" si="40"/>
        <v>2104.1100805730839</v>
      </c>
      <c r="AW35" s="188"/>
      <c r="AX35" s="188">
        <f>SUM(AX36:AX46)</f>
        <v>1195.8231128172695</v>
      </c>
      <c r="AY35" s="188">
        <f t="shared" ref="AY35:BB35" si="41">SUM(AY36:AY46)</f>
        <v>1327.9996346900398</v>
      </c>
      <c r="AZ35" s="188">
        <f t="shared" si="41"/>
        <v>1559.651180973065</v>
      </c>
      <c r="BA35" s="188">
        <f t="shared" si="41"/>
        <v>1810.1453176220125</v>
      </c>
      <c r="BB35" s="188">
        <f t="shared" si="41"/>
        <v>2081.5851755357075</v>
      </c>
      <c r="BC35" s="188"/>
      <c r="BD35" s="188">
        <f>SUM(BD36:BD46)</f>
        <v>12.658794026328057</v>
      </c>
      <c r="BE35" s="188">
        <f t="shared" ref="BE35:BH35" si="42">SUM(BE36:BE46)</f>
        <v>14.164483502985499</v>
      </c>
      <c r="BF35" s="188">
        <f t="shared" si="42"/>
        <v>16.589179013678287</v>
      </c>
      <c r="BG35" s="188">
        <f t="shared" si="42"/>
        <v>19.444628566642407</v>
      </c>
      <c r="BH35" s="188">
        <f t="shared" si="42"/>
        <v>22.524905037375824</v>
      </c>
    </row>
    <row r="36" spans="1:60" x14ac:dyDescent="0.2">
      <c r="A36" s="90" t="str">
        <f>$A$8</f>
        <v>15-19</v>
      </c>
      <c r="B36" s="188">
        <v>235.75197725192589</v>
      </c>
      <c r="C36" s="188">
        <v>235.32459036047223</v>
      </c>
      <c r="D36" s="188">
        <v>224.52607187954138</v>
      </c>
      <c r="E36" s="188">
        <v>225.53877970723389</v>
      </c>
      <c r="F36" s="187">
        <v>243.72400964127928</v>
      </c>
      <c r="G36" s="187"/>
      <c r="H36" s="188">
        <v>48.983534945390808</v>
      </c>
      <c r="I36" s="188">
        <v>48.894690177294805</v>
      </c>
      <c r="J36" s="188">
        <v>46.651003976088816</v>
      </c>
      <c r="K36" s="188">
        <v>46.861405382749254</v>
      </c>
      <c r="L36" s="187">
        <v>50.639873799695991</v>
      </c>
      <c r="M36" s="187"/>
      <c r="N36" s="188">
        <v>186.76844230653509</v>
      </c>
      <c r="O36" s="188">
        <v>186.42990018317741</v>
      </c>
      <c r="P36" s="188">
        <v>177.87506790345256</v>
      </c>
      <c r="Q36" s="188">
        <v>178.67737432448465</v>
      </c>
      <c r="R36" s="187">
        <v>193.08413584158328</v>
      </c>
      <c r="S36" s="187"/>
      <c r="T36" s="188">
        <v>0</v>
      </c>
      <c r="U36" s="188">
        <v>0</v>
      </c>
      <c r="V36" s="188">
        <v>0</v>
      </c>
      <c r="W36" s="188">
        <v>0</v>
      </c>
      <c r="X36" s="187">
        <v>0</v>
      </c>
      <c r="Y36" s="90" t="str">
        <f>$A$8</f>
        <v>15-19</v>
      </c>
      <c r="Z36" s="188">
        <v>83.569879527684336</v>
      </c>
      <c r="AA36" s="188">
        <v>82.526656420969161</v>
      </c>
      <c r="AB36" s="188">
        <v>84.494484512367791</v>
      </c>
      <c r="AC36" s="188">
        <v>90.946079800349651</v>
      </c>
      <c r="AD36" s="187">
        <v>105.28765306859901</v>
      </c>
      <c r="AE36" s="187"/>
      <c r="AF36" s="188">
        <v>82.46118212650282</v>
      </c>
      <c r="AG36" s="188">
        <v>81.431768542600082</v>
      </c>
      <c r="AH36" s="188">
        <v>83.373443742554031</v>
      </c>
      <c r="AI36" s="188">
        <v>89.739476773593154</v>
      </c>
      <c r="AJ36" s="187">
        <v>103.89079794445267</v>
      </c>
      <c r="AK36" s="187"/>
      <c r="AL36" s="188">
        <v>1.1086974011815047</v>
      </c>
      <c r="AM36" s="188">
        <v>1.0948878783690683</v>
      </c>
      <c r="AN36" s="188">
        <v>1.1210407698137705</v>
      </c>
      <c r="AO36" s="188">
        <v>1.2066030267565</v>
      </c>
      <c r="AP36" s="187">
        <v>1.3968551241463449</v>
      </c>
      <c r="AQ36" s="90" t="str">
        <f>$A$8</f>
        <v>15-19</v>
      </c>
      <c r="AR36" s="188">
        <v>0.12314322038975159</v>
      </c>
      <c r="AS36" s="188">
        <v>0.59775321855860108</v>
      </c>
      <c r="AT36" s="188">
        <v>1.4364436080908414</v>
      </c>
      <c r="AU36" s="188">
        <v>1.4711404924164426</v>
      </c>
      <c r="AV36" s="187">
        <v>1.6223372901217372</v>
      </c>
      <c r="AW36" s="187"/>
      <c r="AX36" s="188">
        <v>0.12314322038975159</v>
      </c>
      <c r="AY36" s="188">
        <v>0.59775321855860108</v>
      </c>
      <c r="AZ36" s="188">
        <v>1.4364436080908414</v>
      </c>
      <c r="BA36" s="188">
        <v>1.4711404924164426</v>
      </c>
      <c r="BB36" s="187">
        <v>1.6223372901217372</v>
      </c>
      <c r="BC36" s="187"/>
      <c r="BD36" s="188">
        <v>0</v>
      </c>
      <c r="BE36" s="188">
        <v>0</v>
      </c>
      <c r="BF36" s="188">
        <v>0</v>
      </c>
      <c r="BG36" s="188">
        <v>0</v>
      </c>
      <c r="BH36" s="187">
        <v>0</v>
      </c>
    </row>
    <row r="37" spans="1:60" x14ac:dyDescent="0.2">
      <c r="A37" s="90" t="str">
        <f>$A$9</f>
        <v>20-24</v>
      </c>
      <c r="B37" s="188">
        <v>51.28667688291447</v>
      </c>
      <c r="C37" s="188">
        <v>50.325615142463022</v>
      </c>
      <c r="D37" s="188">
        <v>41.617556806647421</v>
      </c>
      <c r="E37" s="188">
        <v>36.381749805465141</v>
      </c>
      <c r="F37" s="187">
        <v>33.131944227953063</v>
      </c>
      <c r="G37" s="187"/>
      <c r="H37" s="188">
        <v>18.958252611047016</v>
      </c>
      <c r="I37" s="188">
        <v>18.60303815545123</v>
      </c>
      <c r="J37" s="188">
        <v>15.38403685205089</v>
      </c>
      <c r="K37" s="188">
        <v>13.448615257113641</v>
      </c>
      <c r="L37" s="187">
        <v>12.247310379881396</v>
      </c>
      <c r="M37" s="187"/>
      <c r="N37" s="188">
        <v>32.328424271867455</v>
      </c>
      <c r="O37" s="188">
        <v>31.722576987011788</v>
      </c>
      <c r="P37" s="188">
        <v>26.233519954596538</v>
      </c>
      <c r="Q37" s="188">
        <v>22.9331345483515</v>
      </c>
      <c r="R37" s="187">
        <v>20.884633848071665</v>
      </c>
      <c r="S37" s="187"/>
      <c r="T37" s="188">
        <v>0</v>
      </c>
      <c r="U37" s="188">
        <v>0</v>
      </c>
      <c r="V37" s="188">
        <v>0</v>
      </c>
      <c r="W37" s="188">
        <v>0</v>
      </c>
      <c r="X37" s="187">
        <v>0</v>
      </c>
      <c r="Y37" s="90" t="str">
        <f>$A$9</f>
        <v>20-24</v>
      </c>
      <c r="Z37" s="188">
        <v>179.47599670013653</v>
      </c>
      <c r="AA37" s="188">
        <v>187.56758244877105</v>
      </c>
      <c r="AB37" s="188">
        <v>195.70388276755187</v>
      </c>
      <c r="AC37" s="188">
        <v>186.34405047249078</v>
      </c>
      <c r="AD37" s="187">
        <v>185.01228504909878</v>
      </c>
      <c r="AE37" s="187"/>
      <c r="AF37" s="188">
        <v>169.79137146665974</v>
      </c>
      <c r="AG37" s="188">
        <v>177.44629400726811</v>
      </c>
      <c r="AH37" s="188">
        <v>185.14356605643363</v>
      </c>
      <c r="AI37" s="188">
        <v>176.28878253096943</v>
      </c>
      <c r="AJ37" s="187">
        <v>175.02885632439069</v>
      </c>
      <c r="AK37" s="187"/>
      <c r="AL37" s="188">
        <v>9.6846252334768117</v>
      </c>
      <c r="AM37" s="188">
        <v>10.121288441502955</v>
      </c>
      <c r="AN37" s="188">
        <v>10.560316711118229</v>
      </c>
      <c r="AO37" s="188">
        <v>10.055267941521366</v>
      </c>
      <c r="AP37" s="187">
        <v>9.9834287247081175</v>
      </c>
      <c r="AQ37" s="90" t="str">
        <f>$A$9</f>
        <v>20-24</v>
      </c>
      <c r="AR37" s="188">
        <v>88.329326416949002</v>
      </c>
      <c r="AS37" s="188">
        <v>91.282802408765903</v>
      </c>
      <c r="AT37" s="188">
        <v>110.63256042580073</v>
      </c>
      <c r="AU37" s="188">
        <v>118.86519972204405</v>
      </c>
      <c r="AV37" s="187">
        <v>132.58977072294817</v>
      </c>
      <c r="AW37" s="187"/>
      <c r="AX37" s="188">
        <v>88.165028914454396</v>
      </c>
      <c r="AY37" s="188">
        <v>91.112930485790656</v>
      </c>
      <c r="AZ37" s="188">
        <v>110.42669182995489</v>
      </c>
      <c r="BA37" s="188">
        <v>118.644032109338</v>
      </c>
      <c r="BB37" s="187">
        <v>132.3431042203359</v>
      </c>
      <c r="BC37" s="187"/>
      <c r="BD37" s="188">
        <v>0.16429750249460409</v>
      </c>
      <c r="BE37" s="188">
        <v>0.16987192297524076</v>
      </c>
      <c r="BF37" s="188">
        <v>0.2058685958458471</v>
      </c>
      <c r="BG37" s="188">
        <v>0.2211676127060439</v>
      </c>
      <c r="BH37" s="187">
        <v>0.2466665026122716</v>
      </c>
    </row>
    <row r="38" spans="1:60" x14ac:dyDescent="0.2">
      <c r="A38" s="90" t="str">
        <f>$A$10</f>
        <v>25-29</v>
      </c>
      <c r="B38" s="188">
        <v>48.980336910061595</v>
      </c>
      <c r="C38" s="188">
        <v>58.029393144137778</v>
      </c>
      <c r="D38" s="188">
        <v>51.776100367683391</v>
      </c>
      <c r="E38" s="188">
        <v>49.053973946460331</v>
      </c>
      <c r="F38" s="187">
        <v>43.531243964596278</v>
      </c>
      <c r="G38" s="187"/>
      <c r="H38" s="188">
        <v>18.23204899869749</v>
      </c>
      <c r="I38" s="188">
        <v>21.600341017225613</v>
      </c>
      <c r="J38" s="188">
        <v>19.272660294510747</v>
      </c>
      <c r="K38" s="188">
        <v>18.259465614997644</v>
      </c>
      <c r="L38" s="187">
        <v>16.203686177787539</v>
      </c>
      <c r="M38" s="187"/>
      <c r="N38" s="188">
        <v>30.748287911364105</v>
      </c>
      <c r="O38" s="188">
        <v>36.429052126912168</v>
      </c>
      <c r="P38" s="188">
        <v>32.503440073172648</v>
      </c>
      <c r="Q38" s="188">
        <v>30.794508331462694</v>
      </c>
      <c r="R38" s="187">
        <v>27.32755778680874</v>
      </c>
      <c r="S38" s="187"/>
      <c r="T38" s="188">
        <v>0</v>
      </c>
      <c r="U38" s="188">
        <v>0</v>
      </c>
      <c r="V38" s="188">
        <v>0</v>
      </c>
      <c r="W38" s="188">
        <v>0</v>
      </c>
      <c r="X38" s="187">
        <v>0</v>
      </c>
      <c r="Y38" s="90" t="str">
        <f>$A$10</f>
        <v>25-29</v>
      </c>
      <c r="Z38" s="188">
        <v>127.78718872779281</v>
      </c>
      <c r="AA38" s="188">
        <v>119.37410820126239</v>
      </c>
      <c r="AB38" s="188">
        <v>118.02109899531821</v>
      </c>
      <c r="AC38" s="188">
        <v>118.58410734575391</v>
      </c>
      <c r="AD38" s="187">
        <v>111.69989644356696</v>
      </c>
      <c r="AE38" s="187"/>
      <c r="AF38" s="188">
        <v>117.06434284916277</v>
      </c>
      <c r="AG38" s="188">
        <v>109.35717668619014</v>
      </c>
      <c r="AH38" s="188">
        <v>108.11773722560081</v>
      </c>
      <c r="AI38" s="188">
        <v>108.63342670868553</v>
      </c>
      <c r="AJ38" s="187">
        <v>102.3269079217695</v>
      </c>
      <c r="AK38" s="187"/>
      <c r="AL38" s="188">
        <v>10.722845878630038</v>
      </c>
      <c r="AM38" s="188">
        <v>10.01693151507223</v>
      </c>
      <c r="AN38" s="188">
        <v>9.9033617697174048</v>
      </c>
      <c r="AO38" s="188">
        <v>9.9506806370683663</v>
      </c>
      <c r="AP38" s="187">
        <v>9.3729885217974456</v>
      </c>
      <c r="AQ38" s="90" t="str">
        <f>$A$10</f>
        <v>25-29</v>
      </c>
      <c r="AR38" s="188">
        <v>165.48947436214561</v>
      </c>
      <c r="AS38" s="188">
        <v>169.04449865459986</v>
      </c>
      <c r="AT38" s="188">
        <v>192.77780063699839</v>
      </c>
      <c r="AU38" s="188">
        <v>214.16091870778578</v>
      </c>
      <c r="AV38" s="187">
        <v>222.34985959183678</v>
      </c>
      <c r="AW38" s="187"/>
      <c r="AX38" s="188">
        <v>163.99516578961072</v>
      </c>
      <c r="AY38" s="188">
        <v>167.51816718569009</v>
      </c>
      <c r="AZ38" s="188">
        <v>191.03715957991898</v>
      </c>
      <c r="BA38" s="188">
        <v>212.22723208261212</v>
      </c>
      <c r="BB38" s="187">
        <v>220.34220948065195</v>
      </c>
      <c r="BC38" s="187"/>
      <c r="BD38" s="188">
        <v>1.4943085725348841</v>
      </c>
      <c r="BE38" s="188">
        <v>1.526331468909754</v>
      </c>
      <c r="BF38" s="188">
        <v>1.740641057079428</v>
      </c>
      <c r="BG38" s="188">
        <v>1.9336866251736855</v>
      </c>
      <c r="BH38" s="187">
        <v>2.0076501111848128</v>
      </c>
    </row>
    <row r="39" spans="1:60" x14ac:dyDescent="0.2">
      <c r="A39" s="90" t="str">
        <f>$A$11</f>
        <v>30-34</v>
      </c>
      <c r="B39" s="188">
        <v>48.351616200732686</v>
      </c>
      <c r="C39" s="188">
        <v>54.81450484456311</v>
      </c>
      <c r="D39" s="188">
        <v>52.150998553698685</v>
      </c>
      <c r="E39" s="188">
        <v>48.164476439532713</v>
      </c>
      <c r="F39" s="187">
        <v>40.226027639053598</v>
      </c>
      <c r="G39" s="187"/>
      <c r="H39" s="188">
        <v>20.247488689226163</v>
      </c>
      <c r="I39" s="188">
        <v>22.95380254002168</v>
      </c>
      <c r="J39" s="188">
        <v>21.838502656747391</v>
      </c>
      <c r="K39" s="188">
        <v>20.169083304063328</v>
      </c>
      <c r="L39" s="187">
        <v>16.844826452036404</v>
      </c>
      <c r="M39" s="187"/>
      <c r="N39" s="188">
        <v>28.104127511506523</v>
      </c>
      <c r="O39" s="188">
        <v>31.86070230454143</v>
      </c>
      <c r="P39" s="188">
        <v>30.312495896951297</v>
      </c>
      <c r="Q39" s="188">
        <v>27.995393135469385</v>
      </c>
      <c r="R39" s="187">
        <v>23.381201187017187</v>
      </c>
      <c r="S39" s="187"/>
      <c r="T39" s="188">
        <v>0</v>
      </c>
      <c r="U39" s="188">
        <v>0</v>
      </c>
      <c r="V39" s="188">
        <v>0</v>
      </c>
      <c r="W39" s="188">
        <v>0</v>
      </c>
      <c r="X39" s="187">
        <v>0</v>
      </c>
      <c r="Y39" s="90" t="str">
        <f>$A$11</f>
        <v>30-34</v>
      </c>
      <c r="Z39" s="188">
        <v>126.59052603481021</v>
      </c>
      <c r="AA39" s="188">
        <v>118.76404254564063</v>
      </c>
      <c r="AB39" s="188">
        <v>124.03995863874285</v>
      </c>
      <c r="AC39" s="188">
        <v>123.84674741528471</v>
      </c>
      <c r="AD39" s="187">
        <v>125.93134426917472</v>
      </c>
      <c r="AE39" s="187"/>
      <c r="AF39" s="188">
        <v>116.68034085440465</v>
      </c>
      <c r="AG39" s="188">
        <v>109.46652247600598</v>
      </c>
      <c r="AH39" s="188">
        <v>114.32946398888731</v>
      </c>
      <c r="AI39" s="188">
        <v>114.15134413116714</v>
      </c>
      <c r="AJ39" s="187">
        <v>116.0727553396063</v>
      </c>
      <c r="AK39" s="187"/>
      <c r="AL39" s="188">
        <v>9.9101851804055663</v>
      </c>
      <c r="AM39" s="188">
        <v>9.2975200696346505</v>
      </c>
      <c r="AN39" s="188">
        <v>9.7104946498555318</v>
      </c>
      <c r="AO39" s="188">
        <v>9.6954032841175852</v>
      </c>
      <c r="AP39" s="187">
        <v>9.8585889295684215</v>
      </c>
      <c r="AQ39" s="90" t="str">
        <f>$A$11</f>
        <v>30-34</v>
      </c>
      <c r="AR39" s="188">
        <v>165.33285776445709</v>
      </c>
      <c r="AS39" s="188">
        <v>173.27745260979628</v>
      </c>
      <c r="AT39" s="188">
        <v>193.84104280755847</v>
      </c>
      <c r="AU39" s="188">
        <v>212.88877614518256</v>
      </c>
      <c r="AV39" s="187">
        <v>239.55062809177167</v>
      </c>
      <c r="AW39" s="187"/>
      <c r="AX39" s="188">
        <v>163.54698646509576</v>
      </c>
      <c r="AY39" s="188">
        <v>171.40581210762247</v>
      </c>
      <c r="AZ39" s="188">
        <v>191.74726433199922</v>
      </c>
      <c r="BA39" s="188">
        <v>210.58921239342598</v>
      </c>
      <c r="BB39" s="187">
        <v>236.96312770820174</v>
      </c>
      <c r="BC39" s="187"/>
      <c r="BD39" s="188">
        <v>1.785871299361329</v>
      </c>
      <c r="BE39" s="188">
        <v>1.8716405021737883</v>
      </c>
      <c r="BF39" s="188">
        <v>2.0937784755592417</v>
      </c>
      <c r="BG39" s="188">
        <v>2.2995637517565553</v>
      </c>
      <c r="BH39" s="187">
        <v>2.587500383569969</v>
      </c>
    </row>
    <row r="40" spans="1:60" x14ac:dyDescent="0.2">
      <c r="A40" s="90" t="str">
        <f>$A$12</f>
        <v>35-39</v>
      </c>
      <c r="B40" s="188">
        <v>72.542037614782771</v>
      </c>
      <c r="C40" s="188">
        <v>65.06766726540738</v>
      </c>
      <c r="D40" s="188">
        <v>54.766784806672291</v>
      </c>
      <c r="E40" s="188">
        <v>45.523587094052431</v>
      </c>
      <c r="F40" s="187">
        <v>34.291330085724873</v>
      </c>
      <c r="G40" s="187"/>
      <c r="H40" s="188">
        <v>28.179422220811407</v>
      </c>
      <c r="I40" s="188">
        <v>25.275934699382731</v>
      </c>
      <c r="J40" s="188">
        <v>21.27450416950764</v>
      </c>
      <c r="K40" s="188">
        <v>17.683894029231208</v>
      </c>
      <c r="L40" s="187">
        <v>13.320662566860962</v>
      </c>
      <c r="M40" s="187"/>
      <c r="N40" s="188">
        <v>44.362615393971375</v>
      </c>
      <c r="O40" s="188">
        <v>39.791732566024642</v>
      </c>
      <c r="P40" s="188">
        <v>33.492280637164654</v>
      </c>
      <c r="Q40" s="188">
        <v>27.839693064821223</v>
      </c>
      <c r="R40" s="187">
        <v>20.97066751886392</v>
      </c>
      <c r="S40" s="187"/>
      <c r="T40" s="188">
        <v>0</v>
      </c>
      <c r="U40" s="188">
        <v>0</v>
      </c>
      <c r="V40" s="188">
        <v>0</v>
      </c>
      <c r="W40" s="188">
        <v>0</v>
      </c>
      <c r="X40" s="187">
        <v>0</v>
      </c>
      <c r="Y40" s="90" t="str">
        <f>$A$12</f>
        <v>35-39</v>
      </c>
      <c r="Z40" s="188">
        <v>150.0126567417164</v>
      </c>
      <c r="AA40" s="188">
        <v>135.68236231505094</v>
      </c>
      <c r="AB40" s="188">
        <v>124.7291826751361</v>
      </c>
      <c r="AC40" s="188">
        <v>129.47197272823703</v>
      </c>
      <c r="AD40" s="187">
        <v>133.15322905166937</v>
      </c>
      <c r="AE40" s="187"/>
      <c r="AF40" s="188">
        <v>140.37576984147361</v>
      </c>
      <c r="AG40" s="188">
        <v>126.96602473402704</v>
      </c>
      <c r="AH40" s="188">
        <v>116.71649206662644</v>
      </c>
      <c r="AI40" s="188">
        <v>121.15460882835858</v>
      </c>
      <c r="AJ40" s="187">
        <v>124.59942116921782</v>
      </c>
      <c r="AK40" s="187"/>
      <c r="AL40" s="188">
        <v>9.6368869002428053</v>
      </c>
      <c r="AM40" s="188">
        <v>8.7163375810238843</v>
      </c>
      <c r="AN40" s="188">
        <v>8.0126906085096579</v>
      </c>
      <c r="AO40" s="188">
        <v>8.3173638998784618</v>
      </c>
      <c r="AP40" s="187">
        <v>8.5538078824515384</v>
      </c>
      <c r="AQ40" s="90" t="str">
        <f>$A$12</f>
        <v>35-39</v>
      </c>
      <c r="AR40" s="188">
        <v>154.06830564350082</v>
      </c>
      <c r="AS40" s="188">
        <v>168.96597041954166</v>
      </c>
      <c r="AT40" s="188">
        <v>183.46103251819156</v>
      </c>
      <c r="AU40" s="188">
        <v>208.70844017771051</v>
      </c>
      <c r="AV40" s="187">
        <v>232.21144086260571</v>
      </c>
      <c r="AW40" s="187"/>
      <c r="AX40" s="188">
        <v>152.29837009196677</v>
      </c>
      <c r="AY40" s="188">
        <v>167.02491938857551</v>
      </c>
      <c r="AZ40" s="188">
        <v>181.35346640367695</v>
      </c>
      <c r="BA40" s="188">
        <v>206.31083395767615</v>
      </c>
      <c r="BB40" s="187">
        <v>229.54383629553598</v>
      </c>
      <c r="BC40" s="187"/>
      <c r="BD40" s="188">
        <v>1.7699355515340602</v>
      </c>
      <c r="BE40" s="188">
        <v>1.9410510309661682</v>
      </c>
      <c r="BF40" s="188">
        <v>2.1075661145145714</v>
      </c>
      <c r="BG40" s="188">
        <v>2.3976062200343793</v>
      </c>
      <c r="BH40" s="187">
        <v>2.6676045670697208</v>
      </c>
    </row>
    <row r="41" spans="1:60" x14ac:dyDescent="0.2">
      <c r="A41" s="90" t="str">
        <f>$A$13</f>
        <v>40-44</v>
      </c>
      <c r="B41" s="188">
        <v>95.592148824351668</v>
      </c>
      <c r="C41" s="188">
        <v>82.616320455715311</v>
      </c>
      <c r="D41" s="188">
        <v>65.715939292358911</v>
      </c>
      <c r="E41" s="188">
        <v>45.625343125830476</v>
      </c>
      <c r="F41" s="187">
        <v>32.319365015981639</v>
      </c>
      <c r="G41" s="187"/>
      <c r="H41" s="188">
        <v>37.546766551729547</v>
      </c>
      <c r="I41" s="188">
        <v>32.450059589071273</v>
      </c>
      <c r="J41" s="188">
        <v>25.811957711373253</v>
      </c>
      <c r="K41" s="188">
        <v>17.920731648709907</v>
      </c>
      <c r="L41" s="187">
        <v>12.694407857730498</v>
      </c>
      <c r="M41" s="187"/>
      <c r="N41" s="188">
        <v>58.045382272622113</v>
      </c>
      <c r="O41" s="188">
        <v>50.166260866644031</v>
      </c>
      <c r="P41" s="188">
        <v>39.903981580985658</v>
      </c>
      <c r="Q41" s="188">
        <v>27.704611477120565</v>
      </c>
      <c r="R41" s="187">
        <v>19.624957158251146</v>
      </c>
      <c r="S41" s="187"/>
      <c r="T41" s="188">
        <v>0</v>
      </c>
      <c r="U41" s="188">
        <v>0</v>
      </c>
      <c r="V41" s="188">
        <v>0</v>
      </c>
      <c r="W41" s="188">
        <v>0</v>
      </c>
      <c r="X41" s="187">
        <v>0</v>
      </c>
      <c r="Y41" s="90" t="str">
        <f>$A$13</f>
        <v>40-44</v>
      </c>
      <c r="Z41" s="188">
        <v>162.09391868766315</v>
      </c>
      <c r="AA41" s="188">
        <v>149.15249146976197</v>
      </c>
      <c r="AB41" s="188">
        <v>139.74715456529819</v>
      </c>
      <c r="AC41" s="188">
        <v>140.1664801116975</v>
      </c>
      <c r="AD41" s="187">
        <v>150.93061003653065</v>
      </c>
      <c r="AE41" s="187"/>
      <c r="AF41" s="188">
        <v>153.25080642376565</v>
      </c>
      <c r="AG41" s="188">
        <v>141.01546291821501</v>
      </c>
      <c r="AH41" s="188">
        <v>132.12323273689802</v>
      </c>
      <c r="AI41" s="188">
        <v>132.51964992616811</v>
      </c>
      <c r="AJ41" s="187">
        <v>142.69650407013222</v>
      </c>
      <c r="AK41" s="187"/>
      <c r="AL41" s="188">
        <v>8.8431122638974973</v>
      </c>
      <c r="AM41" s="188">
        <v>8.1370285515469902</v>
      </c>
      <c r="AN41" s="188">
        <v>7.6239218284001815</v>
      </c>
      <c r="AO41" s="188">
        <v>7.6468301855293674</v>
      </c>
      <c r="AP41" s="187">
        <v>8.2341059663984471</v>
      </c>
      <c r="AQ41" s="90" t="str">
        <f>$A$13</f>
        <v>40-44</v>
      </c>
      <c r="AR41" s="188">
        <v>142.30393248798518</v>
      </c>
      <c r="AS41" s="188">
        <v>157.16218807452273</v>
      </c>
      <c r="AT41" s="188">
        <v>174.12990614234292</v>
      </c>
      <c r="AU41" s="188">
        <v>185.34617676247206</v>
      </c>
      <c r="AV41" s="187">
        <v>209.35902494748774</v>
      </c>
      <c r="AW41" s="187"/>
      <c r="AX41" s="188">
        <v>140.61932188279332</v>
      </c>
      <c r="AY41" s="188">
        <v>155.30162565099377</v>
      </c>
      <c r="AZ41" s="188">
        <v>172.06854465783039</v>
      </c>
      <c r="BA41" s="188">
        <v>183.15203689418161</v>
      </c>
      <c r="BB41" s="187">
        <v>206.8805346793352</v>
      </c>
      <c r="BC41" s="187"/>
      <c r="BD41" s="188">
        <v>1.6846106051918688</v>
      </c>
      <c r="BE41" s="188">
        <v>1.8605624235289417</v>
      </c>
      <c r="BF41" s="188">
        <v>2.061361484512561</v>
      </c>
      <c r="BG41" s="188">
        <v>2.1941398682904496</v>
      </c>
      <c r="BH41" s="187">
        <v>2.4784902681525449</v>
      </c>
    </row>
    <row r="42" spans="1:60" x14ac:dyDescent="0.2">
      <c r="A42" s="90" t="str">
        <f>$A$14</f>
        <v>45-49</v>
      </c>
      <c r="B42" s="188">
        <v>121.60001747416324</v>
      </c>
      <c r="C42" s="188">
        <v>119.25515350242472</v>
      </c>
      <c r="D42" s="188">
        <v>78.884619183002073</v>
      </c>
      <c r="E42" s="188">
        <v>54.824500970236151</v>
      </c>
      <c r="F42" s="187">
        <v>37.259131610277123</v>
      </c>
      <c r="G42" s="187"/>
      <c r="H42" s="188">
        <v>52.054388742127969</v>
      </c>
      <c r="I42" s="188">
        <v>51.050559464587302</v>
      </c>
      <c r="J42" s="188">
        <v>33.768780739827292</v>
      </c>
      <c r="K42" s="188">
        <v>23.469200966687755</v>
      </c>
      <c r="L42" s="187">
        <v>15.949827829172355</v>
      </c>
      <c r="M42" s="187"/>
      <c r="N42" s="188">
        <v>69.545628732035269</v>
      </c>
      <c r="O42" s="188">
        <v>68.20459403783741</v>
      </c>
      <c r="P42" s="188">
        <v>45.115838443174781</v>
      </c>
      <c r="Q42" s="188">
        <v>31.355300003548397</v>
      </c>
      <c r="R42" s="187">
        <v>21.309303781104767</v>
      </c>
      <c r="S42" s="187"/>
      <c r="T42" s="188">
        <v>0</v>
      </c>
      <c r="U42" s="188">
        <v>0</v>
      </c>
      <c r="V42" s="188">
        <v>0</v>
      </c>
      <c r="W42" s="188">
        <v>0</v>
      </c>
      <c r="X42" s="187">
        <v>0</v>
      </c>
      <c r="Y42" s="90" t="str">
        <f>$A$14</f>
        <v>45-49</v>
      </c>
      <c r="Z42" s="188">
        <v>149.19037176042775</v>
      </c>
      <c r="AA42" s="188">
        <v>147.02780307619315</v>
      </c>
      <c r="AB42" s="188">
        <v>157.07832682690201</v>
      </c>
      <c r="AC42" s="188">
        <v>161.18355055313589</v>
      </c>
      <c r="AD42" s="187">
        <v>163.5645829534713</v>
      </c>
      <c r="AE42" s="187"/>
      <c r="AF42" s="188">
        <v>141.73208428692129</v>
      </c>
      <c r="AG42" s="188">
        <v>139.67761552454377</v>
      </c>
      <c r="AH42" s="188">
        <v>149.22576147745451</v>
      </c>
      <c r="AI42" s="188">
        <v>153.12567731056208</v>
      </c>
      <c r="AJ42" s="187">
        <v>155.38774863532086</v>
      </c>
      <c r="AK42" s="187"/>
      <c r="AL42" s="188">
        <v>7.4582874735064566</v>
      </c>
      <c r="AM42" s="188">
        <v>7.350187551649368</v>
      </c>
      <c r="AN42" s="188">
        <v>7.852565349447544</v>
      </c>
      <c r="AO42" s="188">
        <v>8.0578732425738266</v>
      </c>
      <c r="AP42" s="187">
        <v>8.1768343181504513</v>
      </c>
      <c r="AQ42" s="90" t="str">
        <f>$A$14</f>
        <v>45-49</v>
      </c>
      <c r="AR42" s="188">
        <v>127.15261076540904</v>
      </c>
      <c r="AS42" s="188">
        <v>139.95804342138214</v>
      </c>
      <c r="AT42" s="188">
        <v>158.0250539900959</v>
      </c>
      <c r="AU42" s="188">
        <v>167.70994847662797</v>
      </c>
      <c r="AV42" s="187">
        <v>175.15628543625161</v>
      </c>
      <c r="AW42" s="187"/>
      <c r="AX42" s="188">
        <v>125.59964483820595</v>
      </c>
      <c r="AY42" s="188">
        <v>138.24869825890119</v>
      </c>
      <c r="AZ42" s="188">
        <v>156.09507742676459</v>
      </c>
      <c r="BA42" s="188">
        <v>165.66165535163051</v>
      </c>
      <c r="BB42" s="187">
        <v>173.01706017357083</v>
      </c>
      <c r="BC42" s="187"/>
      <c r="BD42" s="188">
        <v>1.5529659272030856</v>
      </c>
      <c r="BE42" s="188">
        <v>1.7093451624809444</v>
      </c>
      <c r="BF42" s="188">
        <v>1.9299765633313342</v>
      </c>
      <c r="BG42" s="188">
        <v>2.0482931249974619</v>
      </c>
      <c r="BH42" s="187">
        <v>2.1392252626807844</v>
      </c>
    </row>
    <row r="43" spans="1:60" x14ac:dyDescent="0.2">
      <c r="A43" s="90" t="str">
        <f>$A$15</f>
        <v>50-54</v>
      </c>
      <c r="B43" s="188">
        <v>151.76046321416865</v>
      </c>
      <c r="C43" s="188">
        <v>142.31942173288223</v>
      </c>
      <c r="D43" s="188">
        <v>119.93293116047923</v>
      </c>
      <c r="E43" s="188">
        <v>88.171156371964599</v>
      </c>
      <c r="F43" s="187">
        <v>63.180524219714144</v>
      </c>
      <c r="G43" s="187"/>
      <c r="H43" s="188">
        <v>72.199699301024509</v>
      </c>
      <c r="I43" s="188">
        <v>67.708117557824508</v>
      </c>
      <c r="J43" s="188">
        <v>57.057834143300127</v>
      </c>
      <c r="K43" s="188">
        <v>41.9472270479773</v>
      </c>
      <c r="L43" s="187">
        <v>30.058003326770649</v>
      </c>
      <c r="M43" s="187"/>
      <c r="N43" s="188">
        <v>79.560763913144157</v>
      </c>
      <c r="O43" s="188">
        <v>74.611304175057768</v>
      </c>
      <c r="P43" s="188">
        <v>62.875097017179108</v>
      </c>
      <c r="Q43" s="188">
        <v>46.223929323987292</v>
      </c>
      <c r="R43" s="187">
        <v>33.122520892943498</v>
      </c>
      <c r="S43" s="187"/>
      <c r="T43" s="188">
        <v>0</v>
      </c>
      <c r="U43" s="188">
        <v>0</v>
      </c>
      <c r="V43" s="188">
        <v>0</v>
      </c>
      <c r="W43" s="188">
        <v>0</v>
      </c>
      <c r="X43" s="187">
        <v>0</v>
      </c>
      <c r="Y43" s="90" t="str">
        <f>$A$15</f>
        <v>50-54</v>
      </c>
      <c r="Z43" s="188">
        <v>124.24614829379526</v>
      </c>
      <c r="AA43" s="188">
        <v>130.25908800461309</v>
      </c>
      <c r="AB43" s="188">
        <v>149.14503167899258</v>
      </c>
      <c r="AC43" s="188">
        <v>157.9913676435533</v>
      </c>
      <c r="AD43" s="187">
        <v>164.67380902817911</v>
      </c>
      <c r="AE43" s="187"/>
      <c r="AF43" s="188">
        <v>117.87817168097233</v>
      </c>
      <c r="AG43" s="188">
        <v>123.5828772613132</v>
      </c>
      <c r="AH43" s="188">
        <v>141.50083699823233</v>
      </c>
      <c r="AI43" s="188">
        <v>149.89384905562815</v>
      </c>
      <c r="AJ43" s="187">
        <v>156.23374286788874</v>
      </c>
      <c r="AK43" s="187"/>
      <c r="AL43" s="188">
        <v>6.3679766128229192</v>
      </c>
      <c r="AM43" s="188">
        <v>6.6762107432998921</v>
      </c>
      <c r="AN43" s="188">
        <v>7.6441946807602736</v>
      </c>
      <c r="AO43" s="188">
        <v>8.0975185879251441</v>
      </c>
      <c r="AP43" s="187">
        <v>8.4400661602903408</v>
      </c>
      <c r="AQ43" s="90" t="str">
        <f>$A$15</f>
        <v>50-54</v>
      </c>
      <c r="AR43" s="188">
        <v>92.988388492036123</v>
      </c>
      <c r="AS43" s="188">
        <v>110.77949026250468</v>
      </c>
      <c r="AT43" s="188">
        <v>137.77303716052822</v>
      </c>
      <c r="AU43" s="188">
        <v>148.29147598448213</v>
      </c>
      <c r="AV43" s="187">
        <v>157.07466675210676</v>
      </c>
      <c r="AW43" s="187"/>
      <c r="AX43" s="188">
        <v>92.202593366663635</v>
      </c>
      <c r="AY43" s="188">
        <v>109.84331382664183</v>
      </c>
      <c r="AZ43" s="188">
        <v>136.60872759410435</v>
      </c>
      <c r="BA43" s="188">
        <v>147.03823447333156</v>
      </c>
      <c r="BB43" s="187">
        <v>155.74724028806634</v>
      </c>
      <c r="BC43" s="187"/>
      <c r="BD43" s="188">
        <v>0.78579512537246932</v>
      </c>
      <c r="BE43" s="188">
        <v>0.93617643586283261</v>
      </c>
      <c r="BF43" s="188">
        <v>1.1643095664238496</v>
      </c>
      <c r="BG43" s="188">
        <v>1.2532415111505675</v>
      </c>
      <c r="BH43" s="187">
        <v>1.3274264640404241</v>
      </c>
    </row>
    <row r="44" spans="1:60" x14ac:dyDescent="0.2">
      <c r="A44" s="90" t="str">
        <f>$A$16</f>
        <v>55-59</v>
      </c>
      <c r="B44" s="188">
        <v>164.06581424258854</v>
      </c>
      <c r="C44" s="188">
        <v>150.69890471648134</v>
      </c>
      <c r="D44" s="188">
        <v>139.62009278798115</v>
      </c>
      <c r="E44" s="188">
        <v>115.66738771483223</v>
      </c>
      <c r="F44" s="187">
        <v>84.578879253283077</v>
      </c>
      <c r="G44" s="187"/>
      <c r="H44" s="188">
        <v>83.472280270866776</v>
      </c>
      <c r="I44" s="188">
        <v>76.671543299949803</v>
      </c>
      <c r="J44" s="188">
        <v>71.034930306068375</v>
      </c>
      <c r="K44" s="188">
        <v>58.848447605981825</v>
      </c>
      <c r="L44" s="187">
        <v>43.031510173276651</v>
      </c>
      <c r="M44" s="187"/>
      <c r="N44" s="188">
        <v>80.593533971721769</v>
      </c>
      <c r="O44" s="188">
        <v>74.027361416531534</v>
      </c>
      <c r="P44" s="188">
        <v>68.585162481912789</v>
      </c>
      <c r="Q44" s="188">
        <v>56.818940108850398</v>
      </c>
      <c r="R44" s="187">
        <v>41.547369080006419</v>
      </c>
      <c r="S44" s="187"/>
      <c r="T44" s="188">
        <v>0</v>
      </c>
      <c r="U44" s="188">
        <v>0</v>
      </c>
      <c r="V44" s="188">
        <v>0</v>
      </c>
      <c r="W44" s="188">
        <v>0</v>
      </c>
      <c r="X44" s="187">
        <v>0</v>
      </c>
      <c r="Y44" s="90" t="str">
        <f>$A$16</f>
        <v>55-59</v>
      </c>
      <c r="Z44" s="188">
        <v>103.85146408829428</v>
      </c>
      <c r="AA44" s="188">
        <v>105.31706169001831</v>
      </c>
      <c r="AB44" s="188">
        <v>133.62564527254057</v>
      </c>
      <c r="AC44" s="188">
        <v>158.51241512029338</v>
      </c>
      <c r="AD44" s="187">
        <v>167.67684572688086</v>
      </c>
      <c r="AE44" s="187"/>
      <c r="AF44" s="188">
        <v>97.635306286684369</v>
      </c>
      <c r="AG44" s="188">
        <v>99.013227711577329</v>
      </c>
      <c r="AH44" s="188">
        <v>125.62736470938835</v>
      </c>
      <c r="AI44" s="188">
        <v>149.02451048118331</v>
      </c>
      <c r="AJ44" s="187">
        <v>157.64040037339234</v>
      </c>
      <c r="AK44" s="187"/>
      <c r="AL44" s="188">
        <v>6.2161578016099055</v>
      </c>
      <c r="AM44" s="188">
        <v>6.3038339784409745</v>
      </c>
      <c r="AN44" s="188">
        <v>7.9982805631522167</v>
      </c>
      <c r="AO44" s="188">
        <v>9.4879046391100914</v>
      </c>
      <c r="AP44" s="187">
        <v>10.036445353488508</v>
      </c>
      <c r="AQ44" s="90" t="str">
        <f>$A$16</f>
        <v>55-59</v>
      </c>
      <c r="AR44" s="188">
        <v>71.118721669117207</v>
      </c>
      <c r="AS44" s="188">
        <v>89.960033593500384</v>
      </c>
      <c r="AT44" s="188">
        <v>106.67026193947827</v>
      </c>
      <c r="AU44" s="188">
        <v>129.27319716487438</v>
      </c>
      <c r="AV44" s="187">
        <v>139.76427501983605</v>
      </c>
      <c r="AW44" s="187"/>
      <c r="AX44" s="188">
        <v>70.361656937121666</v>
      </c>
      <c r="AY44" s="188">
        <v>89.002383349993565</v>
      </c>
      <c r="AZ44" s="188">
        <v>105.53473797538304</v>
      </c>
      <c r="BA44" s="188">
        <v>127.89702319588957</v>
      </c>
      <c r="BB44" s="187">
        <v>138.27638669068557</v>
      </c>
      <c r="BC44" s="187"/>
      <c r="BD44" s="188">
        <v>0.75706473199554847</v>
      </c>
      <c r="BE44" s="188">
        <v>0.95765024350680805</v>
      </c>
      <c r="BF44" s="188">
        <v>1.1355239640952357</v>
      </c>
      <c r="BG44" s="188">
        <v>1.3761739689848116</v>
      </c>
      <c r="BH44" s="187">
        <v>1.4878883291504774</v>
      </c>
    </row>
    <row r="45" spans="1:60" x14ac:dyDescent="0.2">
      <c r="A45" s="90" t="str">
        <f>$A$17</f>
        <v>60-64</v>
      </c>
      <c r="B45" s="188">
        <v>165.06537455422799</v>
      </c>
      <c r="C45" s="188">
        <v>167.88674816060211</v>
      </c>
      <c r="D45" s="188">
        <v>145.42540941137864</v>
      </c>
      <c r="E45" s="188">
        <v>125.57390015162404</v>
      </c>
      <c r="F45" s="187">
        <v>98.802245415285199</v>
      </c>
      <c r="G45" s="187"/>
      <c r="H45" s="188">
        <v>93.553123450841682</v>
      </c>
      <c r="I45" s="188">
        <v>95.15219797521867</v>
      </c>
      <c r="J45" s="188">
        <v>82.421896218232547</v>
      </c>
      <c r="K45" s="188">
        <v>71.170799052200323</v>
      </c>
      <c r="L45" s="187">
        <v>55.997543894228997</v>
      </c>
      <c r="M45" s="187"/>
      <c r="N45" s="188">
        <v>71.512251103386319</v>
      </c>
      <c r="O45" s="188">
        <v>72.734550185383426</v>
      </c>
      <c r="P45" s="188">
        <v>63.003513193146112</v>
      </c>
      <c r="Q45" s="188">
        <v>54.403101099423715</v>
      </c>
      <c r="R45" s="187">
        <v>42.804701521056209</v>
      </c>
      <c r="S45" s="187"/>
      <c r="T45" s="188">
        <v>0</v>
      </c>
      <c r="U45" s="188">
        <v>0</v>
      </c>
      <c r="V45" s="188">
        <v>0</v>
      </c>
      <c r="W45" s="188">
        <v>0</v>
      </c>
      <c r="X45" s="187">
        <v>0</v>
      </c>
      <c r="Y45" s="90" t="str">
        <f>$A$17</f>
        <v>60-64</v>
      </c>
      <c r="Z45" s="188">
        <v>78.364072036445037</v>
      </c>
      <c r="AA45" s="188">
        <v>85.048861618755822</v>
      </c>
      <c r="AB45" s="188">
        <v>109.18459242485633</v>
      </c>
      <c r="AC45" s="188">
        <v>137.4151283547578</v>
      </c>
      <c r="AD45" s="187">
        <v>160.29275934647907</v>
      </c>
      <c r="AE45" s="187"/>
      <c r="AF45" s="188">
        <v>73.870615721664365</v>
      </c>
      <c r="AG45" s="188">
        <v>80.172077906886543</v>
      </c>
      <c r="AH45" s="188">
        <v>102.92385352478725</v>
      </c>
      <c r="AI45" s="188">
        <v>129.53569602307752</v>
      </c>
      <c r="AJ45" s="187">
        <v>151.10146214371721</v>
      </c>
      <c r="AK45" s="187"/>
      <c r="AL45" s="188">
        <v>4.4934563147806799</v>
      </c>
      <c r="AM45" s="188">
        <v>4.8767837118692912</v>
      </c>
      <c r="AN45" s="188">
        <v>6.2607389000690823</v>
      </c>
      <c r="AO45" s="188">
        <v>7.8794323316802695</v>
      </c>
      <c r="AP45" s="187">
        <v>9.191297202761854</v>
      </c>
      <c r="AQ45" s="90" t="str">
        <f>$A$17</f>
        <v>60-64</v>
      </c>
      <c r="AR45" s="188">
        <v>56.310553409327007</v>
      </c>
      <c r="AS45" s="188">
        <v>67.870390220642065</v>
      </c>
      <c r="AT45" s="188">
        <v>84.024998163765019</v>
      </c>
      <c r="AU45" s="188">
        <v>110.21797149361819</v>
      </c>
      <c r="AV45" s="187">
        <v>138.11699523823569</v>
      </c>
      <c r="AW45" s="187"/>
      <c r="AX45" s="188">
        <v>55.169107221716523</v>
      </c>
      <c r="AY45" s="188">
        <v>66.494660625358861</v>
      </c>
      <c r="AZ45" s="188">
        <v>82.321847901242236</v>
      </c>
      <c r="BA45" s="188">
        <v>107.98385950823412</v>
      </c>
      <c r="BB45" s="187">
        <v>135.3173815226985</v>
      </c>
      <c r="BC45" s="187"/>
      <c r="BD45" s="188">
        <v>1.1414461876104915</v>
      </c>
      <c r="BE45" s="188">
        <v>1.375729595283202</v>
      </c>
      <c r="BF45" s="188">
        <v>1.7031502625227839</v>
      </c>
      <c r="BG45" s="188">
        <v>2.2341119853840721</v>
      </c>
      <c r="BH45" s="187">
        <v>2.7996137155371672</v>
      </c>
    </row>
    <row r="46" spans="1:60" x14ac:dyDescent="0.2">
      <c r="A46" s="90" t="str">
        <f>$A$18</f>
        <v>65+</v>
      </c>
      <c r="B46" s="188">
        <v>684.22019433015396</v>
      </c>
      <c r="C46" s="188">
        <v>659.7220549729019</v>
      </c>
      <c r="D46" s="188">
        <v>597.6874930135458</v>
      </c>
      <c r="E46" s="188">
        <v>516.4377556390009</v>
      </c>
      <c r="F46" s="187">
        <v>432.27609064150056</v>
      </c>
      <c r="G46" s="189"/>
      <c r="H46" s="188">
        <v>489.85248018008991</v>
      </c>
      <c r="I46" s="188">
        <v>472.31354432994846</v>
      </c>
      <c r="J46" s="188">
        <v>427.90128288186639</v>
      </c>
      <c r="K46" s="188">
        <v>369.73229781992757</v>
      </c>
      <c r="L46" s="187">
        <v>309.47859548147727</v>
      </c>
      <c r="M46" s="189"/>
      <c r="N46" s="188">
        <v>194.3677141500641</v>
      </c>
      <c r="O46" s="188">
        <v>187.40851064295344</v>
      </c>
      <c r="P46" s="188">
        <v>169.78621013167941</v>
      </c>
      <c r="Q46" s="188">
        <v>146.70545781907333</v>
      </c>
      <c r="R46" s="187">
        <v>122.79749516002329</v>
      </c>
      <c r="S46" s="189"/>
      <c r="T46" s="189">
        <v>0</v>
      </c>
      <c r="U46" s="189">
        <v>0</v>
      </c>
      <c r="V46" s="189">
        <v>0</v>
      </c>
      <c r="W46" s="189">
        <v>0</v>
      </c>
      <c r="X46" s="189">
        <v>0</v>
      </c>
      <c r="Y46" s="90" t="str">
        <f>$A$18</f>
        <v>65+</v>
      </c>
      <c r="Z46" s="188">
        <v>229.30721305756543</v>
      </c>
      <c r="AA46" s="188">
        <v>242.95644971788712</v>
      </c>
      <c r="AB46" s="188">
        <v>324.13328439256134</v>
      </c>
      <c r="AC46" s="188">
        <v>392.98454329955848</v>
      </c>
      <c r="AD46" s="187">
        <v>471.20711273861792</v>
      </c>
      <c r="AE46" s="189"/>
      <c r="AF46" s="188">
        <v>216.90901867585666</v>
      </c>
      <c r="AG46" s="188">
        <v>229.82037680573097</v>
      </c>
      <c r="AH46" s="188">
        <v>306.60805056907492</v>
      </c>
      <c r="AI46" s="188">
        <v>371.73671710382393</v>
      </c>
      <c r="AJ46" s="187">
        <v>445.72999049974806</v>
      </c>
      <c r="AK46" s="189"/>
      <c r="AL46" s="188">
        <v>12.398194381708771</v>
      </c>
      <c r="AM46" s="188">
        <v>13.136072912156155</v>
      </c>
      <c r="AN46" s="188">
        <v>17.525233823486392</v>
      </c>
      <c r="AO46" s="188">
        <v>21.247826195734497</v>
      </c>
      <c r="AP46" s="187">
        <v>25.477122238869928</v>
      </c>
      <c r="AQ46" s="90" t="str">
        <f>$A$18</f>
        <v>65+</v>
      </c>
      <c r="AR46" s="188">
        <v>145.26459261228058</v>
      </c>
      <c r="AS46" s="188">
        <v>173.26549530921105</v>
      </c>
      <c r="AT46" s="188">
        <v>233.46822259389299</v>
      </c>
      <c r="AU46" s="188">
        <v>332.65670106144069</v>
      </c>
      <c r="AV46" s="187">
        <v>456.31479661988146</v>
      </c>
      <c r="AW46" s="189"/>
      <c r="AX46" s="188">
        <v>143.74209408925086</v>
      </c>
      <c r="AY46" s="188">
        <v>171.44937059191324</v>
      </c>
      <c r="AZ46" s="188">
        <v>231.02121966409953</v>
      </c>
      <c r="BA46" s="188">
        <v>329.17005716327628</v>
      </c>
      <c r="BB46" s="187">
        <v>451.53195718650386</v>
      </c>
      <c r="BC46" s="189"/>
      <c r="BD46" s="188">
        <v>1.5224985230297139</v>
      </c>
      <c r="BE46" s="188">
        <v>1.8161247172978172</v>
      </c>
      <c r="BF46" s="188">
        <v>2.4470029297934355</v>
      </c>
      <c r="BG46" s="188">
        <v>3.4866438981643779</v>
      </c>
      <c r="BH46" s="187">
        <v>4.7828394333776503</v>
      </c>
    </row>
    <row r="47" spans="1:60" x14ac:dyDescent="0.2">
      <c r="A47" s="95"/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Y47" s="95"/>
      <c r="Z47" s="190"/>
      <c r="AA47" s="190"/>
      <c r="AB47" s="190"/>
      <c r="AC47" s="190"/>
      <c r="AD47" s="190"/>
      <c r="AE47" s="190"/>
      <c r="AF47" s="190"/>
      <c r="AG47" s="190"/>
      <c r="AH47" s="190"/>
      <c r="AI47" s="190"/>
      <c r="AJ47" s="190"/>
      <c r="AK47" s="190"/>
      <c r="AL47" s="190"/>
      <c r="AM47" s="190"/>
      <c r="AN47" s="190"/>
      <c r="AO47" s="190"/>
      <c r="AP47" s="190"/>
      <c r="AQ47" s="95"/>
      <c r="AR47" s="190"/>
      <c r="AS47" s="190"/>
      <c r="AT47" s="190"/>
      <c r="AU47" s="190"/>
      <c r="AV47" s="190"/>
      <c r="AW47" s="190"/>
      <c r="AX47" s="190"/>
      <c r="AY47" s="190"/>
      <c r="AZ47" s="190"/>
      <c r="BA47" s="190"/>
      <c r="BB47" s="190"/>
      <c r="BC47" s="190"/>
      <c r="BD47" s="190"/>
      <c r="BE47" s="190"/>
      <c r="BF47" s="190"/>
      <c r="BG47" s="190"/>
      <c r="BH47" s="190"/>
    </row>
    <row r="48" spans="1:60" x14ac:dyDescent="0.2">
      <c r="B48" s="93"/>
      <c r="C48" s="93"/>
      <c r="D48" s="93"/>
      <c r="E48" s="93"/>
      <c r="Z48" s="93"/>
      <c r="AA48" s="93"/>
      <c r="AB48" s="93"/>
      <c r="AC48" s="93"/>
      <c r="AR48" s="93"/>
      <c r="AS48" s="93"/>
      <c r="AT48" s="93"/>
      <c r="AU48" s="93"/>
    </row>
    <row r="49" spans="1:60" ht="15.75" x14ac:dyDescent="0.25">
      <c r="A49" s="18" t="str">
        <f>CONCATENATE("Basic Table 2b  Labour Force by Gender, Age Group and ISCED Qualification, ",Info!B8,", ",$B$5,"-",$F$5)</f>
        <v>Basic Table 2b  Labour Force by Gender, Age Group and ISCED Qualification, , 2008-2025</v>
      </c>
      <c r="Y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1" t="s">
        <v>13</v>
      </c>
      <c r="X50" s="381"/>
      <c r="AP50" s="182" t="str">
        <f>AP2</f>
        <v>Levels (000s)</v>
      </c>
      <c r="BH50" s="182" t="str">
        <f>BH2</f>
        <v>Levels (000s)</v>
      </c>
    </row>
    <row r="51" spans="1:60" x14ac:dyDescent="0.2">
      <c r="A51" s="117" t="s">
        <v>102</v>
      </c>
      <c r="B51" s="183" t="str">
        <f>B3</f>
        <v>All Low qualifications</v>
      </c>
      <c r="C51" s="183"/>
      <c r="D51" s="184"/>
      <c r="E51" s="183"/>
      <c r="F51" s="183"/>
      <c r="G51" s="117"/>
      <c r="H51" s="183" t="str">
        <f>H3</f>
        <v>Pre-primary education</v>
      </c>
      <c r="I51" s="183"/>
      <c r="J51" s="183"/>
      <c r="K51" s="183"/>
      <c r="L51" s="183"/>
      <c r="M51" s="117"/>
      <c r="N51" s="183" t="str">
        <f>N3</f>
        <v>Primary education (1st stage basic)</v>
      </c>
      <c r="O51" s="183"/>
      <c r="P51" s="183"/>
      <c r="Q51" s="183"/>
      <c r="R51" s="183"/>
      <c r="S51" s="117"/>
      <c r="T51" s="387" t="str">
        <f>T3</f>
        <v>Lower secondary education (2nd stage basic)</v>
      </c>
      <c r="U51" s="387"/>
      <c r="V51" s="387"/>
      <c r="W51" s="387"/>
      <c r="X51" s="387"/>
      <c r="Y51" s="117" t="s">
        <v>102</v>
      </c>
      <c r="Z51" s="183" t="str">
        <f>Z3</f>
        <v>All Medium qualifications</v>
      </c>
      <c r="AA51" s="183"/>
      <c r="AB51" s="184"/>
      <c r="AC51" s="183"/>
      <c r="AD51" s="183"/>
      <c r="AE51" s="117"/>
      <c r="AF51" s="183" t="str">
        <f>AF3</f>
        <v>Upper secondary education</v>
      </c>
      <c r="AG51" s="183"/>
      <c r="AH51" s="183"/>
      <c r="AI51" s="183"/>
      <c r="AJ51" s="183"/>
      <c r="AK51" s="117"/>
      <c r="AL51" s="183" t="str">
        <f>AL3</f>
        <v>Post-secondary non-tertiary education</v>
      </c>
      <c r="AM51" s="183"/>
      <c r="AN51" s="183"/>
      <c r="AO51" s="183"/>
      <c r="AP51" s="183"/>
      <c r="AQ51" s="117" t="s">
        <v>102</v>
      </c>
      <c r="AR51" s="183" t="str">
        <f>AR3</f>
        <v>All High qualifications</v>
      </c>
      <c r="AS51" s="183"/>
      <c r="AT51" s="184"/>
      <c r="AU51" s="183"/>
      <c r="AV51" s="183"/>
      <c r="AW51" s="117"/>
      <c r="AX51" s="183" t="str">
        <f>AX3</f>
        <v>First stage of tertiary education</v>
      </c>
      <c r="AY51" s="183"/>
      <c r="AZ51" s="183"/>
      <c r="BA51" s="183"/>
      <c r="BB51" s="183"/>
      <c r="BC51" s="117"/>
      <c r="BD51" s="183" t="str">
        <f>BD3</f>
        <v>Second stage of tertiary education</v>
      </c>
      <c r="BE51" s="183"/>
      <c r="BF51" s="183"/>
      <c r="BG51" s="183"/>
      <c r="BH51" s="183"/>
    </row>
    <row r="52" spans="1:60" x14ac:dyDescent="0.2">
      <c r="A52" s="179" t="s">
        <v>104</v>
      </c>
      <c r="B52" s="185"/>
      <c r="C52" s="185"/>
      <c r="D52" s="185"/>
      <c r="E52" s="185"/>
      <c r="F52" s="185"/>
      <c r="G52" s="91"/>
      <c r="H52" s="185"/>
      <c r="I52" s="185"/>
      <c r="J52" s="185"/>
      <c r="K52" s="185"/>
      <c r="L52" s="185"/>
      <c r="M52" s="91"/>
      <c r="N52" s="185"/>
      <c r="O52" s="185"/>
      <c r="P52" s="185"/>
      <c r="Q52" s="185"/>
      <c r="R52" s="185"/>
      <c r="S52" s="91"/>
      <c r="T52" s="185"/>
      <c r="U52" s="185"/>
      <c r="V52" s="185"/>
      <c r="W52" s="185"/>
      <c r="X52" s="185"/>
      <c r="Y52" s="179" t="s">
        <v>104</v>
      </c>
      <c r="Z52" s="185"/>
      <c r="AA52" s="185"/>
      <c r="AB52" s="185"/>
      <c r="AC52" s="185"/>
      <c r="AD52" s="185"/>
      <c r="AE52" s="91"/>
      <c r="AF52" s="185"/>
      <c r="AG52" s="185"/>
      <c r="AH52" s="185"/>
      <c r="AI52" s="185"/>
      <c r="AJ52" s="185"/>
      <c r="AK52" s="91"/>
      <c r="AL52" s="185"/>
      <c r="AM52" s="185"/>
      <c r="AN52" s="185"/>
      <c r="AO52" s="185"/>
      <c r="AP52" s="185"/>
      <c r="AQ52" s="179" t="s">
        <v>104</v>
      </c>
      <c r="AR52" s="185"/>
      <c r="AS52" s="185"/>
      <c r="AT52" s="185"/>
      <c r="AU52" s="185"/>
      <c r="AV52" s="185"/>
      <c r="AW52" s="91"/>
      <c r="AX52" s="185"/>
      <c r="AY52" s="185"/>
      <c r="AZ52" s="185"/>
      <c r="BA52" s="185"/>
      <c r="BB52" s="185"/>
      <c r="BC52" s="91"/>
      <c r="BD52" s="185"/>
      <c r="BE52" s="185"/>
      <c r="BF52" s="185"/>
      <c r="BG52" s="185"/>
      <c r="BH52" s="185"/>
    </row>
    <row r="53" spans="1:60" x14ac:dyDescent="0.2">
      <c r="A53" s="178"/>
      <c r="B53" s="186">
        <v>2008</v>
      </c>
      <c r="C53" s="186">
        <v>2010</v>
      </c>
      <c r="D53" s="186">
        <v>2012</v>
      </c>
      <c r="E53" s="186">
        <v>2015</v>
      </c>
      <c r="F53" s="179">
        <v>2020</v>
      </c>
      <c r="G53" s="119"/>
      <c r="H53" s="119">
        <f>B53</f>
        <v>2008</v>
      </c>
      <c r="I53" s="119">
        <f>C53</f>
        <v>2010</v>
      </c>
      <c r="J53" s="119">
        <f>D53</f>
        <v>2012</v>
      </c>
      <c r="K53" s="119">
        <f>E53</f>
        <v>2015</v>
      </c>
      <c r="L53" s="119">
        <f>F53</f>
        <v>2020</v>
      </c>
      <c r="M53" s="119"/>
      <c r="N53" s="119">
        <f>B53</f>
        <v>2008</v>
      </c>
      <c r="O53" s="119">
        <f>C53</f>
        <v>2010</v>
      </c>
      <c r="P53" s="119">
        <f>D53</f>
        <v>2012</v>
      </c>
      <c r="Q53" s="119">
        <f>E53</f>
        <v>2015</v>
      </c>
      <c r="R53" s="119">
        <f>F53</f>
        <v>2020</v>
      </c>
      <c r="S53" s="119"/>
      <c r="T53" s="119">
        <f>B53</f>
        <v>2008</v>
      </c>
      <c r="U53" s="119">
        <f>C53</f>
        <v>2010</v>
      </c>
      <c r="V53" s="119">
        <f>D53</f>
        <v>2012</v>
      </c>
      <c r="W53" s="119">
        <f>E53</f>
        <v>2015</v>
      </c>
      <c r="X53" s="119">
        <f>F53</f>
        <v>2020</v>
      </c>
      <c r="Y53" s="178"/>
      <c r="Z53" s="186">
        <v>2008</v>
      </c>
      <c r="AA53" s="186">
        <v>2010</v>
      </c>
      <c r="AB53" s="186">
        <v>2012</v>
      </c>
      <c r="AC53" s="186">
        <v>2015</v>
      </c>
      <c r="AD53" s="179">
        <v>2020</v>
      </c>
      <c r="AE53" s="119"/>
      <c r="AF53" s="119">
        <f>Z53</f>
        <v>2008</v>
      </c>
      <c r="AG53" s="119">
        <f>AA53</f>
        <v>2010</v>
      </c>
      <c r="AH53" s="119">
        <f>AB53</f>
        <v>2012</v>
      </c>
      <c r="AI53" s="119">
        <f>AC53</f>
        <v>2015</v>
      </c>
      <c r="AJ53" s="119">
        <f>AD53</f>
        <v>2020</v>
      </c>
      <c r="AK53" s="119"/>
      <c r="AL53" s="119">
        <f>Z53</f>
        <v>2008</v>
      </c>
      <c r="AM53" s="119">
        <f>AA53</f>
        <v>2010</v>
      </c>
      <c r="AN53" s="119">
        <f>AB53</f>
        <v>2012</v>
      </c>
      <c r="AO53" s="119">
        <f>AC53</f>
        <v>2015</v>
      </c>
      <c r="AP53" s="119">
        <f>AD53</f>
        <v>2020</v>
      </c>
      <c r="AQ53" s="178"/>
      <c r="AR53" s="186">
        <v>2008</v>
      </c>
      <c r="AS53" s="186">
        <v>2010</v>
      </c>
      <c r="AT53" s="186">
        <v>2012</v>
      </c>
      <c r="AU53" s="186">
        <v>2015</v>
      </c>
      <c r="AV53" s="179">
        <v>2020</v>
      </c>
      <c r="AW53" s="119"/>
      <c r="AX53" s="119">
        <f>AR53</f>
        <v>2008</v>
      </c>
      <c r="AY53" s="119">
        <f>AS53</f>
        <v>2010</v>
      </c>
      <c r="AZ53" s="119">
        <f>AT53</f>
        <v>2012</v>
      </c>
      <c r="BA53" s="119">
        <f>AU53</f>
        <v>2015</v>
      </c>
      <c r="BB53" s="119">
        <f>AV53</f>
        <v>2020</v>
      </c>
      <c r="BC53" s="119"/>
      <c r="BD53" s="119">
        <f>AR53</f>
        <v>2008</v>
      </c>
      <c r="BE53" s="119">
        <f>AS53</f>
        <v>2010</v>
      </c>
      <c r="BF53" s="119">
        <f>AT53</f>
        <v>2012</v>
      </c>
      <c r="BG53" s="119">
        <f>AU53</f>
        <v>2015</v>
      </c>
      <c r="BH53" s="119">
        <f>AV53</f>
        <v>2020</v>
      </c>
    </row>
    <row r="54" spans="1:60" x14ac:dyDescent="0.2">
      <c r="A54" s="113" t="str">
        <f>A6</f>
        <v>Males and females</v>
      </c>
      <c r="F54" s="187"/>
      <c r="G54" s="187"/>
      <c r="H54" s="187"/>
      <c r="I54" s="187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Y54" s="113" t="str">
        <f>Y6</f>
        <v>Males and females</v>
      </c>
      <c r="AD54" s="187"/>
      <c r="AE54" s="187"/>
      <c r="AF54" s="187"/>
      <c r="AG54" s="187"/>
      <c r="AH54" s="187"/>
      <c r="AI54" s="187"/>
      <c r="AJ54" s="187"/>
      <c r="AK54" s="187"/>
      <c r="AL54" s="187"/>
      <c r="AM54" s="187"/>
      <c r="AN54" s="187"/>
      <c r="AO54" s="187"/>
      <c r="AP54" s="187"/>
      <c r="AQ54" s="113" t="str">
        <f>AQ6</f>
        <v>Males and females</v>
      </c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</row>
    <row r="55" spans="1:60" x14ac:dyDescent="0.2">
      <c r="A55" s="90" t="str">
        <f>A7</f>
        <v>15+</v>
      </c>
      <c r="B55" s="188">
        <f>SUM(B69,B83)</f>
        <v>1091.4118992738524</v>
      </c>
      <c r="C55" s="188">
        <f t="shared" ref="C55:F55" si="43">SUM(C69,C83)</f>
        <v>1100.0037861102892</v>
      </c>
      <c r="D55" s="188">
        <f t="shared" si="43"/>
        <v>916.42301941602898</v>
      </c>
      <c r="E55" s="188">
        <f t="shared" si="43"/>
        <v>787.47393586094222</v>
      </c>
      <c r="F55" s="188">
        <f t="shared" si="43"/>
        <v>647.93759918436888</v>
      </c>
      <c r="G55" s="187"/>
      <c r="H55" s="188">
        <f>SUM(H69,H83)</f>
        <v>362.47383711398129</v>
      </c>
      <c r="I55" s="188">
        <f t="shared" ref="I55:L55" si="44">SUM(I69,I83)</f>
        <v>367.09230695546</v>
      </c>
      <c r="J55" s="188">
        <f t="shared" si="44"/>
        <v>309.04252665358638</v>
      </c>
      <c r="K55" s="188">
        <f t="shared" si="44"/>
        <v>265.71661758383789</v>
      </c>
      <c r="L55" s="188">
        <f t="shared" si="44"/>
        <v>217.36047114432725</v>
      </c>
      <c r="M55" s="187"/>
      <c r="N55" s="188">
        <f>SUM(N69,N83)</f>
        <v>728.93806215987115</v>
      </c>
      <c r="O55" s="188">
        <f t="shared" ref="O55:R55" si="45">SUM(O69,O83)</f>
        <v>732.91147915482918</v>
      </c>
      <c r="P55" s="188">
        <f t="shared" si="45"/>
        <v>607.3804927624426</v>
      </c>
      <c r="Q55" s="188">
        <f t="shared" si="45"/>
        <v>521.75731827710433</v>
      </c>
      <c r="R55" s="188">
        <f t="shared" si="45"/>
        <v>430.57712804004166</v>
      </c>
      <c r="S55" s="187"/>
      <c r="T55" s="188">
        <f>SUM(T69,T83)</f>
        <v>0</v>
      </c>
      <c r="U55" s="188">
        <f t="shared" ref="U55:X55" si="46">SUM(U69,U83)</f>
        <v>0</v>
      </c>
      <c r="V55" s="188">
        <f t="shared" si="46"/>
        <v>0</v>
      </c>
      <c r="W55" s="188">
        <f t="shared" si="46"/>
        <v>0</v>
      </c>
      <c r="X55" s="188">
        <f t="shared" si="46"/>
        <v>0</v>
      </c>
      <c r="Y55" s="90" t="str">
        <f>Y7</f>
        <v>15+</v>
      </c>
      <c r="Z55" s="188">
        <f>SUM(Z69,Z83)</f>
        <v>1946.6117047650587</v>
      </c>
      <c r="AA55" s="188">
        <f t="shared" ref="AA55:AD55" si="47">SUM(AA69,AA83)</f>
        <v>1898.9657890695435</v>
      </c>
      <c r="AB55" s="188">
        <f t="shared" si="47"/>
        <v>1962.8308563745852</v>
      </c>
      <c r="AC55" s="188">
        <f t="shared" si="47"/>
        <v>2069.7042275623553</v>
      </c>
      <c r="AD55" s="188">
        <f t="shared" si="47"/>
        <v>2170.6375884387007</v>
      </c>
      <c r="AE55" s="187"/>
      <c r="AF55" s="188">
        <f>SUM(AF69,AF83)</f>
        <v>1824.1912882451829</v>
      </c>
      <c r="AG55" s="188">
        <f t="shared" ref="AG55:AJ55" si="48">SUM(AG69,AG83)</f>
        <v>1779.7966268394514</v>
      </c>
      <c r="AH55" s="188">
        <f t="shared" si="48"/>
        <v>1839.9843516955048</v>
      </c>
      <c r="AI55" s="188">
        <f t="shared" si="48"/>
        <v>1940.4817534613794</v>
      </c>
      <c r="AJ55" s="188">
        <f t="shared" si="48"/>
        <v>2035.5057599780253</v>
      </c>
      <c r="AK55" s="187"/>
      <c r="AL55" s="188">
        <f>SUM(AL69,AL83)</f>
        <v>122.42041651987563</v>
      </c>
      <c r="AM55" s="188">
        <f t="shared" ref="AM55:AP55" si="49">SUM(AM69,AM83)</f>
        <v>119.16916223009233</v>
      </c>
      <c r="AN55" s="188">
        <f t="shared" si="49"/>
        <v>122.84650467908108</v>
      </c>
      <c r="AO55" s="188">
        <f t="shared" si="49"/>
        <v>129.22247410097572</v>
      </c>
      <c r="AP55" s="188">
        <f t="shared" si="49"/>
        <v>135.13182846067508</v>
      </c>
      <c r="AQ55" s="90" t="str">
        <f>AQ7</f>
        <v>15+</v>
      </c>
      <c r="AR55" s="188">
        <f>SUM(AR69,AR83)</f>
        <v>1748.2863959610891</v>
      </c>
      <c r="AS55" s="188">
        <f t="shared" ref="AS55:AV55" si="50">SUM(AS69,AS83)</f>
        <v>1906.3674248201669</v>
      </c>
      <c r="AT55" s="188">
        <f t="shared" si="50"/>
        <v>2115.1681242093855</v>
      </c>
      <c r="AU55" s="188">
        <f t="shared" si="50"/>
        <v>2318.0908365767018</v>
      </c>
      <c r="AV55" s="188">
        <f t="shared" si="50"/>
        <v>2521.4978123769306</v>
      </c>
      <c r="AW55" s="187"/>
      <c r="AX55" s="188">
        <f>SUM(AX69,AX83)</f>
        <v>1717.00572023467</v>
      </c>
      <c r="AY55" s="188">
        <f t="shared" ref="AY55:BB55" si="51">SUM(AY69,AY83)</f>
        <v>1871.5654118320501</v>
      </c>
      <c r="AZ55" s="188">
        <f t="shared" si="51"/>
        <v>2075.3669628743173</v>
      </c>
      <c r="BA55" s="188">
        <f t="shared" si="51"/>
        <v>2274.1381911334825</v>
      </c>
      <c r="BB55" s="188">
        <f t="shared" si="51"/>
        <v>2472.9509757013893</v>
      </c>
      <c r="BC55" s="187"/>
      <c r="BD55" s="188">
        <f>SUM(BD69,BD83)</f>
        <v>31.280675726418963</v>
      </c>
      <c r="BE55" s="188">
        <f t="shared" ref="BE55:BH55" si="52">SUM(BE69,BE83)</f>
        <v>34.676945501519299</v>
      </c>
      <c r="BF55" s="188">
        <f t="shared" si="52"/>
        <v>39.483123423895734</v>
      </c>
      <c r="BG55" s="188">
        <f t="shared" si="52"/>
        <v>43.95264544321995</v>
      </c>
      <c r="BH55" s="188">
        <f t="shared" si="52"/>
        <v>48.546836675541741</v>
      </c>
    </row>
    <row r="56" spans="1:60" x14ac:dyDescent="0.2">
      <c r="A56" s="90" t="str">
        <f t="shared" ref="A56:A66" si="53">A8</f>
        <v>15-19</v>
      </c>
      <c r="B56" s="188">
        <f t="shared" ref="B56:F66" si="54">SUM(B70,B84)</f>
        <v>33.922484918096792</v>
      </c>
      <c r="C56" s="188">
        <f t="shared" si="54"/>
        <v>33.428963380218356</v>
      </c>
      <c r="D56" s="188">
        <f t="shared" si="54"/>
        <v>25.618579168305843</v>
      </c>
      <c r="E56" s="188">
        <f t="shared" si="54"/>
        <v>27.576564899958772</v>
      </c>
      <c r="F56" s="188">
        <f t="shared" si="54"/>
        <v>31.444379921686618</v>
      </c>
      <c r="G56" s="187"/>
      <c r="H56" s="188">
        <f t="shared" ref="H56:L66" si="55">SUM(H70,H84)</f>
        <v>7.8573198535721822</v>
      </c>
      <c r="I56" s="188">
        <f t="shared" si="55"/>
        <v>7.5672034937247652</v>
      </c>
      <c r="J56" s="188">
        <f t="shared" si="55"/>
        <v>5.7747610908860949</v>
      </c>
      <c r="K56" s="188">
        <f t="shared" si="55"/>
        <v>6.3040880162625772</v>
      </c>
      <c r="L56" s="188">
        <f t="shared" si="55"/>
        <v>7.2506410354839996</v>
      </c>
      <c r="M56" s="187"/>
      <c r="N56" s="188">
        <f t="shared" ref="N56:R66" si="56">SUM(N70,N84)</f>
        <v>26.065165064524606</v>
      </c>
      <c r="O56" s="188">
        <f t="shared" si="56"/>
        <v>25.861759886493594</v>
      </c>
      <c r="P56" s="188">
        <f t="shared" si="56"/>
        <v>19.843818077419751</v>
      </c>
      <c r="Q56" s="188">
        <f t="shared" si="56"/>
        <v>21.272476883696193</v>
      </c>
      <c r="R56" s="188">
        <f t="shared" si="56"/>
        <v>24.193738886202624</v>
      </c>
      <c r="S56" s="187"/>
      <c r="T56" s="188">
        <f t="shared" ref="T56:X66" si="57">SUM(T70,T84)</f>
        <v>0</v>
      </c>
      <c r="U56" s="188">
        <f t="shared" si="57"/>
        <v>0</v>
      </c>
      <c r="V56" s="188">
        <f t="shared" si="57"/>
        <v>0</v>
      </c>
      <c r="W56" s="188">
        <f t="shared" si="57"/>
        <v>0</v>
      </c>
      <c r="X56" s="188">
        <f t="shared" si="57"/>
        <v>0</v>
      </c>
      <c r="Y56" s="90" t="str">
        <f t="shared" ref="Y56:Y66" si="58">Y8</f>
        <v>15-19</v>
      </c>
      <c r="Z56" s="188">
        <f t="shared" ref="Z56:AD66" si="59">SUM(Z70,Z84)</f>
        <v>28.669275921467221</v>
      </c>
      <c r="AA56" s="188">
        <f t="shared" si="59"/>
        <v>24.94017830051537</v>
      </c>
      <c r="AB56" s="188">
        <f t="shared" si="59"/>
        <v>22.096171672766943</v>
      </c>
      <c r="AC56" s="188">
        <f t="shared" si="59"/>
        <v>24.369923731987864</v>
      </c>
      <c r="AD56" s="188">
        <f t="shared" si="59"/>
        <v>28.847750118738247</v>
      </c>
      <c r="AE56" s="187"/>
      <c r="AF56" s="188">
        <f t="shared" ref="AF56:AJ66" si="60">SUM(AF70,AF84)</f>
        <v>27.131107622890386</v>
      </c>
      <c r="AG56" s="188">
        <f t="shared" si="60"/>
        <v>23.604856528669352</v>
      </c>
      <c r="AH56" s="188">
        <f t="shared" si="60"/>
        <v>20.910693259755835</v>
      </c>
      <c r="AI56" s="188">
        <f t="shared" si="60"/>
        <v>23.061501302502187</v>
      </c>
      <c r="AJ56" s="188">
        <f t="shared" si="60"/>
        <v>27.298051224460476</v>
      </c>
      <c r="AK56" s="187"/>
      <c r="AL56" s="188">
        <f t="shared" ref="AL56:AP66" si="61">SUM(AL70,AL84)</f>
        <v>1.538168298576831</v>
      </c>
      <c r="AM56" s="188">
        <f t="shared" si="61"/>
        <v>1.3353217718460186</v>
      </c>
      <c r="AN56" s="188">
        <f t="shared" si="61"/>
        <v>1.185478413011108</v>
      </c>
      <c r="AO56" s="188">
        <f t="shared" si="61"/>
        <v>1.3084224294856792</v>
      </c>
      <c r="AP56" s="188">
        <f t="shared" si="61"/>
        <v>1.5496988942777667</v>
      </c>
      <c r="AQ56" s="90" t="str">
        <f t="shared" ref="AQ56:AQ66" si="62">AQ8</f>
        <v>15-19</v>
      </c>
      <c r="AR56" s="188">
        <f t="shared" ref="AR56:AV66" si="63">SUM(AR70,AR84)</f>
        <v>0.22323916043599393</v>
      </c>
      <c r="AS56" s="188">
        <f t="shared" si="63"/>
        <v>0.23185831926626108</v>
      </c>
      <c r="AT56" s="188">
        <f t="shared" si="63"/>
        <v>0.31924915892721956</v>
      </c>
      <c r="AU56" s="188">
        <f t="shared" si="63"/>
        <v>0.32851136805335357</v>
      </c>
      <c r="AV56" s="188">
        <f t="shared" si="63"/>
        <v>0.36386995957513524</v>
      </c>
      <c r="AW56" s="187"/>
      <c r="AX56" s="188">
        <f t="shared" ref="AX56:BB66" si="64">SUM(AX70,AX84)</f>
        <v>0.18942213461700935</v>
      </c>
      <c r="AY56" s="188">
        <f t="shared" si="64"/>
        <v>7.0679138418197798E-2</v>
      </c>
      <c r="AZ56" s="188">
        <f t="shared" si="64"/>
        <v>8.014133599071727E-4</v>
      </c>
      <c r="BA56" s="188">
        <f t="shared" si="64"/>
        <v>0.32647088949339453</v>
      </c>
      <c r="BB56" s="188">
        <f t="shared" si="64"/>
        <v>0.3602016521563422</v>
      </c>
      <c r="BC56" s="187"/>
      <c r="BD56" s="188">
        <f t="shared" ref="BD56:BH66" si="65">SUM(BD70,BD84)</f>
        <v>3.3817025818984561E-2</v>
      </c>
      <c r="BE56" s="188">
        <f t="shared" si="65"/>
        <v>3.6111694250642229E-2</v>
      </c>
      <c r="BF56" s="188">
        <f t="shared" si="65"/>
        <v>4.0983439475890718E-4</v>
      </c>
      <c r="BG56" s="188">
        <f t="shared" si="65"/>
        <v>2.0404785599590159E-3</v>
      </c>
      <c r="BH56" s="188">
        <f t="shared" si="65"/>
        <v>3.6683074187930289E-3</v>
      </c>
    </row>
    <row r="57" spans="1:60" x14ac:dyDescent="0.2">
      <c r="A57" s="90" t="str">
        <f t="shared" si="53"/>
        <v>20-24</v>
      </c>
      <c r="B57" s="188">
        <f t="shared" si="54"/>
        <v>69.997446885450401</v>
      </c>
      <c r="C57" s="188">
        <f t="shared" si="54"/>
        <v>73.885251785075525</v>
      </c>
      <c r="D57" s="188">
        <f t="shared" si="54"/>
        <v>60.82748778551305</v>
      </c>
      <c r="E57" s="188">
        <f t="shared" si="54"/>
        <v>52.336025748722321</v>
      </c>
      <c r="F57" s="188">
        <f t="shared" si="54"/>
        <v>47.838308330484821</v>
      </c>
      <c r="G57" s="187"/>
      <c r="H57" s="188">
        <f t="shared" si="55"/>
        <v>17.50666245872462</v>
      </c>
      <c r="I57" s="188">
        <f t="shared" si="55"/>
        <v>18.316843567871658</v>
      </c>
      <c r="J57" s="188">
        <f t="shared" si="55"/>
        <v>14.976024192054551</v>
      </c>
      <c r="K57" s="188">
        <f t="shared" si="55"/>
        <v>12.905149968073884</v>
      </c>
      <c r="L57" s="188">
        <f t="shared" si="55"/>
        <v>11.781306690276619</v>
      </c>
      <c r="M57" s="187"/>
      <c r="N57" s="188">
        <f t="shared" si="56"/>
        <v>52.490784426725781</v>
      </c>
      <c r="O57" s="188">
        <f t="shared" si="56"/>
        <v>55.568408217203867</v>
      </c>
      <c r="P57" s="188">
        <f t="shared" si="56"/>
        <v>45.851463593458497</v>
      </c>
      <c r="Q57" s="188">
        <f t="shared" si="56"/>
        <v>39.430875780648435</v>
      </c>
      <c r="R57" s="188">
        <f t="shared" si="56"/>
        <v>36.057001640208199</v>
      </c>
      <c r="S57" s="187"/>
      <c r="T57" s="188">
        <f t="shared" si="57"/>
        <v>0</v>
      </c>
      <c r="U57" s="188">
        <f t="shared" si="57"/>
        <v>0</v>
      </c>
      <c r="V57" s="188">
        <f t="shared" si="57"/>
        <v>0</v>
      </c>
      <c r="W57" s="188">
        <f t="shared" si="57"/>
        <v>0</v>
      </c>
      <c r="X57" s="188">
        <f t="shared" si="57"/>
        <v>0</v>
      </c>
      <c r="Y57" s="90" t="str">
        <f t="shared" si="58"/>
        <v>20-24</v>
      </c>
      <c r="Z57" s="188">
        <f t="shared" si="59"/>
        <v>200.63056393547677</v>
      </c>
      <c r="AA57" s="188">
        <f t="shared" si="59"/>
        <v>200.10878986052779</v>
      </c>
      <c r="AB57" s="188">
        <f t="shared" si="59"/>
        <v>192.82988811096317</v>
      </c>
      <c r="AC57" s="188">
        <f t="shared" si="59"/>
        <v>182.24243827723632</v>
      </c>
      <c r="AD57" s="188">
        <f t="shared" si="59"/>
        <v>183.10832552939812</v>
      </c>
      <c r="AE57" s="187"/>
      <c r="AF57" s="188">
        <f t="shared" si="60"/>
        <v>184.4013377657671</v>
      </c>
      <c r="AG57" s="188">
        <f t="shared" si="60"/>
        <v>183.88709709012173</v>
      </c>
      <c r="AH57" s="188">
        <f t="shared" si="60"/>
        <v>177.34938200988924</v>
      </c>
      <c r="AI57" s="188">
        <f t="shared" si="60"/>
        <v>167.58221623961009</v>
      </c>
      <c r="AJ57" s="188">
        <f t="shared" si="60"/>
        <v>168.42784713146324</v>
      </c>
      <c r="AK57" s="187"/>
      <c r="AL57" s="188">
        <f t="shared" si="61"/>
        <v>16.229226169709651</v>
      </c>
      <c r="AM57" s="188">
        <f t="shared" si="61"/>
        <v>16.221692770406051</v>
      </c>
      <c r="AN57" s="188">
        <f t="shared" si="61"/>
        <v>15.480506101073939</v>
      </c>
      <c r="AO57" s="188">
        <f t="shared" si="61"/>
        <v>14.660222037626259</v>
      </c>
      <c r="AP57" s="188">
        <f t="shared" si="61"/>
        <v>14.680478397934866</v>
      </c>
      <c r="AQ57" s="90" t="str">
        <f t="shared" si="62"/>
        <v>20-24</v>
      </c>
      <c r="AR57" s="188">
        <f t="shared" si="63"/>
        <v>100.04998917907284</v>
      </c>
      <c r="AS57" s="188">
        <f t="shared" si="63"/>
        <v>94.987958354396682</v>
      </c>
      <c r="AT57" s="188">
        <f t="shared" si="63"/>
        <v>103.98462410352381</v>
      </c>
      <c r="AU57" s="188">
        <f t="shared" si="63"/>
        <v>110.10453597404138</v>
      </c>
      <c r="AV57" s="188">
        <f t="shared" si="63"/>
        <v>122.21236614011708</v>
      </c>
      <c r="AW57" s="187"/>
      <c r="AX57" s="188">
        <f t="shared" si="64"/>
        <v>99.830703255982527</v>
      </c>
      <c r="AY57" s="188">
        <f t="shared" si="64"/>
        <v>94.78083623451991</v>
      </c>
      <c r="AZ57" s="188">
        <f t="shared" si="64"/>
        <v>103.75807484517797</v>
      </c>
      <c r="BA57" s="188">
        <f t="shared" si="64"/>
        <v>109.86373714713562</v>
      </c>
      <c r="BB57" s="188">
        <f t="shared" si="64"/>
        <v>121.94555113721529</v>
      </c>
      <c r="BC57" s="187"/>
      <c r="BD57" s="188">
        <f t="shared" si="65"/>
        <v>0.21928592309030701</v>
      </c>
      <c r="BE57" s="188">
        <f t="shared" si="65"/>
        <v>0.20712211987677406</v>
      </c>
      <c r="BF57" s="188">
        <f t="shared" si="65"/>
        <v>0.2265492583458453</v>
      </c>
      <c r="BG57" s="188">
        <f t="shared" si="65"/>
        <v>0.24079882690576235</v>
      </c>
      <c r="BH57" s="188">
        <f t="shared" si="65"/>
        <v>0.26681500290179178</v>
      </c>
    </row>
    <row r="58" spans="1:60" x14ac:dyDescent="0.2">
      <c r="A58" s="90" t="str">
        <f t="shared" si="53"/>
        <v>25-29</v>
      </c>
      <c r="B58" s="188">
        <f t="shared" si="54"/>
        <v>83.10566032859262</v>
      </c>
      <c r="C58" s="188">
        <f t="shared" si="54"/>
        <v>92.922114197332945</v>
      </c>
      <c r="D58" s="188">
        <f t="shared" si="54"/>
        <v>81.756122550300972</v>
      </c>
      <c r="E58" s="188">
        <f t="shared" si="54"/>
        <v>81.088950586198422</v>
      </c>
      <c r="F58" s="188">
        <f t="shared" si="54"/>
        <v>71.085865926883031</v>
      </c>
      <c r="G58" s="187"/>
      <c r="H58" s="188">
        <f t="shared" si="55"/>
        <v>23.608107087454297</v>
      </c>
      <c r="I58" s="188">
        <f t="shared" si="55"/>
        <v>26.378552793035944</v>
      </c>
      <c r="J58" s="188">
        <f t="shared" si="55"/>
        <v>23.222779194804581</v>
      </c>
      <c r="K58" s="188">
        <f t="shared" si="55"/>
        <v>23.044303745971408</v>
      </c>
      <c r="L58" s="188">
        <f t="shared" si="55"/>
        <v>20.194793417876976</v>
      </c>
      <c r="M58" s="187"/>
      <c r="N58" s="188">
        <f t="shared" si="56"/>
        <v>59.49755324113832</v>
      </c>
      <c r="O58" s="188">
        <f t="shared" si="56"/>
        <v>66.543561404296995</v>
      </c>
      <c r="P58" s="188">
        <f t="shared" si="56"/>
        <v>58.533343355496399</v>
      </c>
      <c r="Q58" s="188">
        <f t="shared" si="56"/>
        <v>58.04464684022701</v>
      </c>
      <c r="R58" s="188">
        <f t="shared" si="56"/>
        <v>50.891072509006051</v>
      </c>
      <c r="S58" s="187"/>
      <c r="T58" s="188">
        <f t="shared" si="57"/>
        <v>0</v>
      </c>
      <c r="U58" s="188">
        <f t="shared" si="57"/>
        <v>0</v>
      </c>
      <c r="V58" s="188">
        <f t="shared" si="57"/>
        <v>0</v>
      </c>
      <c r="W58" s="188">
        <f t="shared" si="57"/>
        <v>0</v>
      </c>
      <c r="X58" s="188">
        <f t="shared" si="57"/>
        <v>0</v>
      </c>
      <c r="Y58" s="90" t="str">
        <f t="shared" si="58"/>
        <v>25-29</v>
      </c>
      <c r="Z58" s="188">
        <f t="shared" si="59"/>
        <v>253.52682972521137</v>
      </c>
      <c r="AA58" s="188">
        <f t="shared" si="59"/>
        <v>234.83645593614608</v>
      </c>
      <c r="AB58" s="188">
        <f t="shared" si="59"/>
        <v>239.38100582652388</v>
      </c>
      <c r="AC58" s="188">
        <f t="shared" si="59"/>
        <v>250.47379611646011</v>
      </c>
      <c r="AD58" s="188">
        <f t="shared" si="59"/>
        <v>242.75774055369266</v>
      </c>
      <c r="AE58" s="187"/>
      <c r="AF58" s="188">
        <f t="shared" si="60"/>
        <v>233.96361796129568</v>
      </c>
      <c r="AG58" s="188">
        <f t="shared" si="60"/>
        <v>216.69951214512702</v>
      </c>
      <c r="AH58" s="188">
        <f t="shared" si="60"/>
        <v>220.99938766367791</v>
      </c>
      <c r="AI58" s="188">
        <f t="shared" si="60"/>
        <v>231.32962388195671</v>
      </c>
      <c r="AJ58" s="188">
        <f t="shared" si="60"/>
        <v>224.27741219211396</v>
      </c>
      <c r="AK58" s="187"/>
      <c r="AL58" s="188">
        <f t="shared" si="61"/>
        <v>19.563211763915717</v>
      </c>
      <c r="AM58" s="188">
        <f t="shared" si="61"/>
        <v>18.13694379101905</v>
      </c>
      <c r="AN58" s="188">
        <f t="shared" si="61"/>
        <v>18.381618162845992</v>
      </c>
      <c r="AO58" s="188">
        <f t="shared" si="61"/>
        <v>19.144172234503415</v>
      </c>
      <c r="AP58" s="188">
        <f t="shared" si="61"/>
        <v>18.480328361578685</v>
      </c>
      <c r="AQ58" s="90" t="str">
        <f t="shared" si="62"/>
        <v>25-29</v>
      </c>
      <c r="AR58" s="188">
        <f t="shared" si="63"/>
        <v>268.657509946196</v>
      </c>
      <c r="AS58" s="188">
        <f t="shared" si="63"/>
        <v>278.23442986652105</v>
      </c>
      <c r="AT58" s="188">
        <f t="shared" si="63"/>
        <v>292.29787162317513</v>
      </c>
      <c r="AU58" s="188">
        <f t="shared" si="63"/>
        <v>322.87025329734149</v>
      </c>
      <c r="AV58" s="188">
        <f t="shared" si="63"/>
        <v>330.34739351942437</v>
      </c>
      <c r="AW58" s="187"/>
      <c r="AX58" s="188">
        <f t="shared" si="64"/>
        <v>266.3288913677211</v>
      </c>
      <c r="AY58" s="188">
        <f t="shared" si="64"/>
        <v>275.82018573820613</v>
      </c>
      <c r="AZ58" s="188">
        <f t="shared" si="64"/>
        <v>289.76922026464791</v>
      </c>
      <c r="BA58" s="188">
        <f t="shared" si="64"/>
        <v>320.08257546262871</v>
      </c>
      <c r="BB58" s="188">
        <f t="shared" si="64"/>
        <v>327.50130630655138</v>
      </c>
      <c r="BC58" s="187"/>
      <c r="BD58" s="188">
        <f t="shared" si="65"/>
        <v>2.3286185784749271</v>
      </c>
      <c r="BE58" s="188">
        <f t="shared" si="65"/>
        <v>2.414244128314877</v>
      </c>
      <c r="BF58" s="188">
        <f t="shared" si="65"/>
        <v>2.5286513585272092</v>
      </c>
      <c r="BG58" s="188">
        <f t="shared" si="65"/>
        <v>2.7876778347128019</v>
      </c>
      <c r="BH58" s="188">
        <f t="shared" si="65"/>
        <v>2.8460872128729875</v>
      </c>
    </row>
    <row r="59" spans="1:60" x14ac:dyDescent="0.2">
      <c r="A59" s="90" t="str">
        <f t="shared" si="53"/>
        <v>30-34</v>
      </c>
      <c r="B59" s="188">
        <f t="shared" si="54"/>
        <v>88.294623576316411</v>
      </c>
      <c r="C59" s="188">
        <f t="shared" si="54"/>
        <v>89.184182813705448</v>
      </c>
      <c r="D59" s="188">
        <f t="shared" si="54"/>
        <v>78.82086492460455</v>
      </c>
      <c r="E59" s="188">
        <f t="shared" si="54"/>
        <v>73.409248466261431</v>
      </c>
      <c r="F59" s="188">
        <f t="shared" si="54"/>
        <v>62.433211012240555</v>
      </c>
      <c r="G59" s="187"/>
      <c r="H59" s="188">
        <f t="shared" si="55"/>
        <v>28.30985950772898</v>
      </c>
      <c r="I59" s="188">
        <f t="shared" si="55"/>
        <v>28.523912034677551</v>
      </c>
      <c r="J59" s="188">
        <f t="shared" si="55"/>
        <v>25.261997348079788</v>
      </c>
      <c r="K59" s="188">
        <f t="shared" si="55"/>
        <v>23.527246978251746</v>
      </c>
      <c r="L59" s="188">
        <f t="shared" si="55"/>
        <v>20.017532858379102</v>
      </c>
      <c r="M59" s="187"/>
      <c r="N59" s="188">
        <f t="shared" si="56"/>
        <v>59.984764068587438</v>
      </c>
      <c r="O59" s="188">
        <f t="shared" si="56"/>
        <v>60.660270779027904</v>
      </c>
      <c r="P59" s="188">
        <f t="shared" si="56"/>
        <v>53.558867576524761</v>
      </c>
      <c r="Q59" s="188">
        <f t="shared" si="56"/>
        <v>49.882001488009664</v>
      </c>
      <c r="R59" s="188">
        <f t="shared" si="56"/>
        <v>42.41567815386145</v>
      </c>
      <c r="S59" s="187"/>
      <c r="T59" s="188">
        <f t="shared" si="57"/>
        <v>0</v>
      </c>
      <c r="U59" s="188">
        <f t="shared" si="57"/>
        <v>0</v>
      </c>
      <c r="V59" s="188">
        <f t="shared" si="57"/>
        <v>0</v>
      </c>
      <c r="W59" s="188">
        <f t="shared" si="57"/>
        <v>0</v>
      </c>
      <c r="X59" s="188">
        <f t="shared" si="57"/>
        <v>0</v>
      </c>
      <c r="Y59" s="90" t="str">
        <f t="shared" si="58"/>
        <v>30-34</v>
      </c>
      <c r="Z59" s="188">
        <f t="shared" si="59"/>
        <v>252.02853262692997</v>
      </c>
      <c r="AA59" s="188">
        <f t="shared" si="59"/>
        <v>241.95757229192009</v>
      </c>
      <c r="AB59" s="188">
        <f t="shared" si="59"/>
        <v>250.36416862690376</v>
      </c>
      <c r="AC59" s="188">
        <f t="shared" si="59"/>
        <v>260.01917178438288</v>
      </c>
      <c r="AD59" s="188">
        <f t="shared" si="59"/>
        <v>277.87154542964436</v>
      </c>
      <c r="AE59" s="187"/>
      <c r="AF59" s="188">
        <f t="shared" si="60"/>
        <v>233.37617479742303</v>
      </c>
      <c r="AG59" s="188">
        <f t="shared" si="60"/>
        <v>224.1436906659363</v>
      </c>
      <c r="AH59" s="188">
        <f t="shared" si="60"/>
        <v>231.98013090632361</v>
      </c>
      <c r="AI59" s="188">
        <f t="shared" si="60"/>
        <v>240.99879756210669</v>
      </c>
      <c r="AJ59" s="188">
        <f t="shared" si="60"/>
        <v>257.66322853004982</v>
      </c>
      <c r="AK59" s="187"/>
      <c r="AL59" s="188">
        <f t="shared" si="61"/>
        <v>18.65235782950694</v>
      </c>
      <c r="AM59" s="188">
        <f t="shared" si="61"/>
        <v>17.813881625983782</v>
      </c>
      <c r="AN59" s="188">
        <f t="shared" si="61"/>
        <v>18.384037720580174</v>
      </c>
      <c r="AO59" s="188">
        <f t="shared" si="61"/>
        <v>19.02037422227616</v>
      </c>
      <c r="AP59" s="188">
        <f t="shared" si="61"/>
        <v>20.208316899594564</v>
      </c>
      <c r="AQ59" s="90" t="str">
        <f t="shared" si="62"/>
        <v>30-34</v>
      </c>
      <c r="AR59" s="188">
        <f t="shared" si="63"/>
        <v>280.69384379675364</v>
      </c>
      <c r="AS59" s="188">
        <f t="shared" si="63"/>
        <v>298.74624489437451</v>
      </c>
      <c r="AT59" s="188">
        <f t="shared" si="63"/>
        <v>315.83096644849167</v>
      </c>
      <c r="AU59" s="188">
        <f t="shared" si="63"/>
        <v>342.31857974935576</v>
      </c>
      <c r="AV59" s="188">
        <f t="shared" si="63"/>
        <v>384.08524355811511</v>
      </c>
      <c r="AW59" s="187"/>
      <c r="AX59" s="188">
        <f t="shared" si="64"/>
        <v>275.62991148902091</v>
      </c>
      <c r="AY59" s="188">
        <f t="shared" si="64"/>
        <v>293.35345054546065</v>
      </c>
      <c r="AZ59" s="188">
        <f t="shared" si="64"/>
        <v>310.17909296528001</v>
      </c>
      <c r="BA59" s="188">
        <f t="shared" si="64"/>
        <v>336.2348278556392</v>
      </c>
      <c r="BB59" s="188">
        <f t="shared" si="64"/>
        <v>377.23616137901718</v>
      </c>
      <c r="BC59" s="187"/>
      <c r="BD59" s="188">
        <f t="shared" si="65"/>
        <v>5.063932307732685</v>
      </c>
      <c r="BE59" s="188">
        <f t="shared" si="65"/>
        <v>5.3927943489138421</v>
      </c>
      <c r="BF59" s="188">
        <f t="shared" si="65"/>
        <v>5.6518734832116824</v>
      </c>
      <c r="BG59" s="188">
        <f t="shared" si="65"/>
        <v>6.0837518937165616</v>
      </c>
      <c r="BH59" s="188">
        <f t="shared" si="65"/>
        <v>6.8490821790979144</v>
      </c>
    </row>
    <row r="60" spans="1:60" x14ac:dyDescent="0.2">
      <c r="A60" s="90" t="str">
        <f t="shared" si="53"/>
        <v>35-39</v>
      </c>
      <c r="B60" s="188">
        <f t="shared" si="54"/>
        <v>116.40573165092457</v>
      </c>
      <c r="C60" s="188">
        <f t="shared" si="54"/>
        <v>111.62087650319086</v>
      </c>
      <c r="D60" s="188">
        <f t="shared" si="54"/>
        <v>87.010674497835979</v>
      </c>
      <c r="E60" s="188">
        <f t="shared" si="54"/>
        <v>72.169455639072808</v>
      </c>
      <c r="F60" s="188">
        <f t="shared" si="54"/>
        <v>56.078787071994824</v>
      </c>
      <c r="G60" s="187"/>
      <c r="H60" s="188">
        <f t="shared" si="55"/>
        <v>35.263117567908004</v>
      </c>
      <c r="I60" s="188">
        <f t="shared" si="55"/>
        <v>33.826936328651151</v>
      </c>
      <c r="J60" s="188">
        <f t="shared" si="55"/>
        <v>26.372888660399127</v>
      </c>
      <c r="K60" s="188">
        <f t="shared" si="55"/>
        <v>21.873558995262968</v>
      </c>
      <c r="L60" s="188">
        <f t="shared" si="55"/>
        <v>16.999346797068803</v>
      </c>
      <c r="M60" s="187"/>
      <c r="N60" s="188">
        <f t="shared" si="56"/>
        <v>81.142614083016582</v>
      </c>
      <c r="O60" s="188">
        <f t="shared" si="56"/>
        <v>77.793940174539699</v>
      </c>
      <c r="P60" s="188">
        <f t="shared" si="56"/>
        <v>60.637785837436844</v>
      </c>
      <c r="Q60" s="188">
        <f t="shared" si="56"/>
        <v>50.29589664380984</v>
      </c>
      <c r="R60" s="188">
        <f t="shared" si="56"/>
        <v>39.079440274926021</v>
      </c>
      <c r="S60" s="187"/>
      <c r="T60" s="188">
        <f t="shared" si="57"/>
        <v>0</v>
      </c>
      <c r="U60" s="188">
        <f t="shared" si="57"/>
        <v>0</v>
      </c>
      <c r="V60" s="188">
        <f t="shared" si="57"/>
        <v>0</v>
      </c>
      <c r="W60" s="188">
        <f t="shared" si="57"/>
        <v>0</v>
      </c>
      <c r="X60" s="188">
        <f t="shared" si="57"/>
        <v>0</v>
      </c>
      <c r="Y60" s="90" t="str">
        <f t="shared" si="58"/>
        <v>35-39</v>
      </c>
      <c r="Z60" s="188">
        <f t="shared" si="59"/>
        <v>292.69516984616689</v>
      </c>
      <c r="AA60" s="188">
        <f t="shared" si="59"/>
        <v>264.43124011815416</v>
      </c>
      <c r="AB60" s="188">
        <f t="shared" si="59"/>
        <v>249.36383456629306</v>
      </c>
      <c r="AC60" s="188">
        <f t="shared" si="59"/>
        <v>265.62693121403328</v>
      </c>
      <c r="AD60" s="188">
        <f t="shared" si="59"/>
        <v>281.01300955525153</v>
      </c>
      <c r="AE60" s="187"/>
      <c r="AF60" s="188">
        <f t="shared" si="60"/>
        <v>274.90708265744615</v>
      </c>
      <c r="AG60" s="188">
        <f t="shared" si="60"/>
        <v>248.33674178769135</v>
      </c>
      <c r="AH60" s="188">
        <f t="shared" si="60"/>
        <v>234.22524163699583</v>
      </c>
      <c r="AI60" s="188">
        <f t="shared" si="60"/>
        <v>249.52613818829445</v>
      </c>
      <c r="AJ60" s="188">
        <f t="shared" si="60"/>
        <v>264.00561865600736</v>
      </c>
      <c r="AK60" s="187"/>
      <c r="AL60" s="188">
        <f t="shared" si="61"/>
        <v>17.788087188720716</v>
      </c>
      <c r="AM60" s="188">
        <f t="shared" si="61"/>
        <v>16.094498330462777</v>
      </c>
      <c r="AN60" s="188">
        <f t="shared" si="61"/>
        <v>15.138592929297266</v>
      </c>
      <c r="AO60" s="188">
        <f t="shared" si="61"/>
        <v>16.100793025738767</v>
      </c>
      <c r="AP60" s="188">
        <f t="shared" si="61"/>
        <v>17.007390899244211</v>
      </c>
      <c r="AQ60" s="90" t="str">
        <f t="shared" si="62"/>
        <v>35-39</v>
      </c>
      <c r="AR60" s="188">
        <f t="shared" si="63"/>
        <v>271.17009850290862</v>
      </c>
      <c r="AS60" s="188">
        <f t="shared" si="63"/>
        <v>299.350883378655</v>
      </c>
      <c r="AT60" s="188">
        <f t="shared" si="63"/>
        <v>309.54249093587089</v>
      </c>
      <c r="AU60" s="188">
        <f t="shared" si="63"/>
        <v>347.30661314689394</v>
      </c>
      <c r="AV60" s="188">
        <f t="shared" si="63"/>
        <v>383.85620337275361</v>
      </c>
      <c r="AW60" s="187"/>
      <c r="AX60" s="188">
        <f t="shared" si="64"/>
        <v>266.39031937491359</v>
      </c>
      <c r="AY60" s="188">
        <f t="shared" si="64"/>
        <v>294.09970734798696</v>
      </c>
      <c r="AZ60" s="188">
        <f t="shared" si="64"/>
        <v>304.18685308252333</v>
      </c>
      <c r="BA60" s="188">
        <f t="shared" si="64"/>
        <v>341.32613291295013</v>
      </c>
      <c r="BB60" s="188">
        <f t="shared" si="64"/>
        <v>377.26357305597628</v>
      </c>
      <c r="BC60" s="187"/>
      <c r="BD60" s="188">
        <f t="shared" si="65"/>
        <v>4.7797791279950284</v>
      </c>
      <c r="BE60" s="188">
        <f t="shared" si="65"/>
        <v>5.2511760306679776</v>
      </c>
      <c r="BF60" s="188">
        <f t="shared" si="65"/>
        <v>5.3556378533475719</v>
      </c>
      <c r="BG60" s="188">
        <f t="shared" si="65"/>
        <v>5.9804802339438368</v>
      </c>
      <c r="BH60" s="188">
        <f t="shared" si="65"/>
        <v>6.5926303167773872</v>
      </c>
    </row>
    <row r="61" spans="1:60" x14ac:dyDescent="0.2">
      <c r="A61" s="90" t="str">
        <f t="shared" si="53"/>
        <v>40-44</v>
      </c>
      <c r="B61" s="188">
        <f t="shared" si="54"/>
        <v>156.26741886428681</v>
      </c>
      <c r="C61" s="188">
        <f t="shared" si="54"/>
        <v>138.06633532257501</v>
      </c>
      <c r="D61" s="188">
        <f t="shared" si="54"/>
        <v>102.04230405027101</v>
      </c>
      <c r="E61" s="188">
        <f t="shared" si="54"/>
        <v>72.607670352464169</v>
      </c>
      <c r="F61" s="188">
        <f t="shared" si="54"/>
        <v>53.870397558877769</v>
      </c>
      <c r="G61" s="187"/>
      <c r="H61" s="188">
        <f t="shared" si="55"/>
        <v>49.7957894254127</v>
      </c>
      <c r="I61" s="188">
        <f t="shared" si="55"/>
        <v>43.898270250594351</v>
      </c>
      <c r="J61" s="188">
        <f t="shared" si="55"/>
        <v>32.409044993954737</v>
      </c>
      <c r="K61" s="188">
        <f t="shared" si="55"/>
        <v>23.036152368803652</v>
      </c>
      <c r="L61" s="188">
        <f t="shared" si="55"/>
        <v>17.053911147098564</v>
      </c>
      <c r="M61" s="187"/>
      <c r="N61" s="188">
        <f t="shared" si="56"/>
        <v>106.47162943887409</v>
      </c>
      <c r="O61" s="188">
        <f t="shared" si="56"/>
        <v>94.168065071980649</v>
      </c>
      <c r="P61" s="188">
        <f t="shared" si="56"/>
        <v>69.633259056316291</v>
      </c>
      <c r="Q61" s="188">
        <f t="shared" si="56"/>
        <v>49.571517983660513</v>
      </c>
      <c r="R61" s="188">
        <f t="shared" si="56"/>
        <v>36.816486411779202</v>
      </c>
      <c r="S61" s="187"/>
      <c r="T61" s="188">
        <f t="shared" si="57"/>
        <v>0</v>
      </c>
      <c r="U61" s="188">
        <f t="shared" si="57"/>
        <v>0</v>
      </c>
      <c r="V61" s="188">
        <f t="shared" si="57"/>
        <v>0</v>
      </c>
      <c r="W61" s="188">
        <f t="shared" si="57"/>
        <v>0</v>
      </c>
      <c r="X61" s="188">
        <f t="shared" si="57"/>
        <v>0</v>
      </c>
      <c r="Y61" s="90" t="str">
        <f t="shared" si="58"/>
        <v>40-44</v>
      </c>
      <c r="Z61" s="188">
        <f t="shared" si="59"/>
        <v>297.53049844792429</v>
      </c>
      <c r="AA61" s="188">
        <f t="shared" si="59"/>
        <v>279.21152782576593</v>
      </c>
      <c r="AB61" s="188">
        <f t="shared" si="59"/>
        <v>264.15997152705989</v>
      </c>
      <c r="AC61" s="188">
        <f t="shared" si="59"/>
        <v>265.769688987834</v>
      </c>
      <c r="AD61" s="188">
        <f t="shared" si="59"/>
        <v>285.38300501207038</v>
      </c>
      <c r="AE61" s="187"/>
      <c r="AF61" s="188">
        <f t="shared" si="60"/>
        <v>281.6051488677208</v>
      </c>
      <c r="AG61" s="188">
        <f t="shared" si="60"/>
        <v>264.27565335337636</v>
      </c>
      <c r="AH61" s="188">
        <f t="shared" si="60"/>
        <v>250.06064702096575</v>
      </c>
      <c r="AI61" s="188">
        <f t="shared" si="60"/>
        <v>251.59948400746447</v>
      </c>
      <c r="AJ61" s="188">
        <f t="shared" si="60"/>
        <v>270.1868670204085</v>
      </c>
      <c r="AK61" s="187"/>
      <c r="AL61" s="188">
        <f t="shared" si="61"/>
        <v>15.925349580203488</v>
      </c>
      <c r="AM61" s="188">
        <f t="shared" si="61"/>
        <v>14.935874472389486</v>
      </c>
      <c r="AN61" s="188">
        <f t="shared" si="61"/>
        <v>14.099324506094138</v>
      </c>
      <c r="AO61" s="188">
        <f t="shared" si="61"/>
        <v>14.170204980369528</v>
      </c>
      <c r="AP61" s="188">
        <f t="shared" si="61"/>
        <v>15.196137991661878</v>
      </c>
      <c r="AQ61" s="90" t="str">
        <f t="shared" si="62"/>
        <v>40-44</v>
      </c>
      <c r="AR61" s="188">
        <f t="shared" si="63"/>
        <v>254.53008268778893</v>
      </c>
      <c r="AS61" s="188">
        <f t="shared" si="63"/>
        <v>277.04113685165908</v>
      </c>
      <c r="AT61" s="188">
        <f t="shared" si="63"/>
        <v>302.03972442266905</v>
      </c>
      <c r="AU61" s="188">
        <f t="shared" si="63"/>
        <v>315.32964065970185</v>
      </c>
      <c r="AV61" s="188">
        <f t="shared" si="63"/>
        <v>349.0545974290518</v>
      </c>
      <c r="AW61" s="187"/>
      <c r="AX61" s="188">
        <f t="shared" si="64"/>
        <v>250.24828407721705</v>
      </c>
      <c r="AY61" s="188">
        <f t="shared" si="64"/>
        <v>272.4224484468516</v>
      </c>
      <c r="AZ61" s="188">
        <f t="shared" si="64"/>
        <v>297.01618494130969</v>
      </c>
      <c r="BA61" s="188">
        <f t="shared" si="64"/>
        <v>310.0976851562209</v>
      </c>
      <c r="BB61" s="188">
        <f t="shared" si="64"/>
        <v>343.26501484324086</v>
      </c>
      <c r="BC61" s="187"/>
      <c r="BD61" s="188">
        <f t="shared" si="65"/>
        <v>4.2817986105719035</v>
      </c>
      <c r="BE61" s="188">
        <f t="shared" si="65"/>
        <v>4.6186884048075676</v>
      </c>
      <c r="BF61" s="188">
        <f t="shared" si="65"/>
        <v>5.0235394813593235</v>
      </c>
      <c r="BG61" s="188">
        <f t="shared" si="65"/>
        <v>5.2319555034809255</v>
      </c>
      <c r="BH61" s="188">
        <f t="shared" si="65"/>
        <v>5.7895825858109662</v>
      </c>
    </row>
    <row r="62" spans="1:60" x14ac:dyDescent="0.2">
      <c r="A62" s="90" t="str">
        <f t="shared" si="53"/>
        <v>45-49</v>
      </c>
      <c r="B62" s="188">
        <f t="shared" si="54"/>
        <v>192.10532237663983</v>
      </c>
      <c r="C62" s="188">
        <f t="shared" si="54"/>
        <v>181.7014990686323</v>
      </c>
      <c r="D62" s="188">
        <f t="shared" si="54"/>
        <v>125.84366969436242</v>
      </c>
      <c r="E62" s="188">
        <f t="shared" si="54"/>
        <v>94.413771810554039</v>
      </c>
      <c r="F62" s="188">
        <f t="shared" si="54"/>
        <v>69.482068956144474</v>
      </c>
      <c r="G62" s="187"/>
      <c r="H62" s="188">
        <f t="shared" si="55"/>
        <v>63.114524104301118</v>
      </c>
      <c r="I62" s="188">
        <f t="shared" si="55"/>
        <v>59.680357878773279</v>
      </c>
      <c r="J62" s="188">
        <f t="shared" si="55"/>
        <v>41.135830568231285</v>
      </c>
      <c r="K62" s="188">
        <f t="shared" si="55"/>
        <v>30.734675124538327</v>
      </c>
      <c r="L62" s="188">
        <f t="shared" si="55"/>
        <v>22.525760365918362</v>
      </c>
      <c r="M62" s="187"/>
      <c r="N62" s="188">
        <f t="shared" si="56"/>
        <v>128.99079827233871</v>
      </c>
      <c r="O62" s="188">
        <f t="shared" si="56"/>
        <v>122.02114118985901</v>
      </c>
      <c r="P62" s="188">
        <f t="shared" si="56"/>
        <v>84.707839126131134</v>
      </c>
      <c r="Q62" s="188">
        <f t="shared" si="56"/>
        <v>63.679096686015725</v>
      </c>
      <c r="R62" s="188">
        <f t="shared" si="56"/>
        <v>46.956308590226101</v>
      </c>
      <c r="S62" s="187"/>
      <c r="T62" s="188">
        <f t="shared" si="57"/>
        <v>0</v>
      </c>
      <c r="U62" s="188">
        <f t="shared" si="57"/>
        <v>0</v>
      </c>
      <c r="V62" s="188">
        <f t="shared" si="57"/>
        <v>0</v>
      </c>
      <c r="W62" s="188">
        <f t="shared" si="57"/>
        <v>0</v>
      </c>
      <c r="X62" s="188">
        <f t="shared" si="57"/>
        <v>0</v>
      </c>
      <c r="Y62" s="90" t="str">
        <f t="shared" si="58"/>
        <v>45-49</v>
      </c>
      <c r="Z62" s="188">
        <f t="shared" si="59"/>
        <v>259.3931665564873</v>
      </c>
      <c r="AA62" s="188">
        <f t="shared" si="59"/>
        <v>259.85569110569543</v>
      </c>
      <c r="AB62" s="188">
        <f t="shared" si="59"/>
        <v>276.06033600610709</v>
      </c>
      <c r="AC62" s="188">
        <f t="shared" si="59"/>
        <v>283.54672387522641</v>
      </c>
      <c r="AD62" s="188">
        <f t="shared" si="59"/>
        <v>287.849736988811</v>
      </c>
      <c r="AE62" s="187"/>
      <c r="AF62" s="188">
        <f t="shared" si="60"/>
        <v>247.30603323034916</v>
      </c>
      <c r="AG62" s="188">
        <f t="shared" si="60"/>
        <v>247.7788871489098</v>
      </c>
      <c r="AH62" s="188">
        <f t="shared" si="60"/>
        <v>263.21646229283618</v>
      </c>
      <c r="AI62" s="188">
        <f t="shared" si="60"/>
        <v>270.34872282364341</v>
      </c>
      <c r="AJ62" s="188">
        <f t="shared" si="60"/>
        <v>274.44279780539426</v>
      </c>
      <c r="AK62" s="187"/>
      <c r="AL62" s="188">
        <f t="shared" si="61"/>
        <v>12.087133326138117</v>
      </c>
      <c r="AM62" s="188">
        <f t="shared" si="61"/>
        <v>12.076803956785602</v>
      </c>
      <c r="AN62" s="188">
        <f t="shared" si="61"/>
        <v>12.84387371327092</v>
      </c>
      <c r="AO62" s="188">
        <f t="shared" si="61"/>
        <v>13.198001051582985</v>
      </c>
      <c r="AP62" s="188">
        <f t="shared" si="61"/>
        <v>13.40693918341676</v>
      </c>
      <c r="AQ62" s="90" t="str">
        <f t="shared" si="62"/>
        <v>45-49</v>
      </c>
      <c r="AR62" s="188">
        <f t="shared" si="63"/>
        <v>233.19851106687287</v>
      </c>
      <c r="AS62" s="188">
        <f t="shared" si="63"/>
        <v>255.42780982567223</v>
      </c>
      <c r="AT62" s="188">
        <f t="shared" si="63"/>
        <v>278.84899429953055</v>
      </c>
      <c r="AU62" s="188">
        <f t="shared" si="63"/>
        <v>292.33350431421957</v>
      </c>
      <c r="AV62" s="188">
        <f t="shared" si="63"/>
        <v>302.44819405504461</v>
      </c>
      <c r="AW62" s="187"/>
      <c r="AX62" s="188">
        <f t="shared" si="64"/>
        <v>228.81453920689103</v>
      </c>
      <c r="AY62" s="188">
        <f t="shared" si="64"/>
        <v>250.65558136759938</v>
      </c>
      <c r="AZ62" s="188">
        <f t="shared" si="64"/>
        <v>273.711876568962</v>
      </c>
      <c r="BA62" s="188">
        <f t="shared" si="64"/>
        <v>286.97795838324782</v>
      </c>
      <c r="BB62" s="188">
        <f t="shared" si="64"/>
        <v>296.93591992657696</v>
      </c>
      <c r="BC62" s="187"/>
      <c r="BD62" s="188">
        <f t="shared" si="65"/>
        <v>4.3839718599818829</v>
      </c>
      <c r="BE62" s="188">
        <f t="shared" si="65"/>
        <v>4.7722284580728216</v>
      </c>
      <c r="BF62" s="188">
        <f t="shared" si="65"/>
        <v>5.1371177305685114</v>
      </c>
      <c r="BG62" s="188">
        <f t="shared" si="65"/>
        <v>5.3555459309717897</v>
      </c>
      <c r="BH62" s="188">
        <f t="shared" si="65"/>
        <v>5.5122741284676167</v>
      </c>
    </row>
    <row r="63" spans="1:60" x14ac:dyDescent="0.2">
      <c r="A63" s="90" t="str">
        <f t="shared" si="53"/>
        <v>50-54</v>
      </c>
      <c r="B63" s="188">
        <f t="shared" si="54"/>
        <v>185.40604857322711</v>
      </c>
      <c r="C63" s="188">
        <f t="shared" si="54"/>
        <v>192.72292557560411</v>
      </c>
      <c r="D63" s="188">
        <f t="shared" si="54"/>
        <v>162.16719193834749</v>
      </c>
      <c r="E63" s="188">
        <f t="shared" si="54"/>
        <v>133.41410305220273</v>
      </c>
      <c r="F63" s="188">
        <f t="shared" si="54"/>
        <v>106.3528116102037</v>
      </c>
      <c r="G63" s="187"/>
      <c r="H63" s="188">
        <f t="shared" si="55"/>
        <v>66.691082872087563</v>
      </c>
      <c r="I63" s="188">
        <f t="shared" si="55"/>
        <v>69.308339401755902</v>
      </c>
      <c r="J63" s="188">
        <f t="shared" si="55"/>
        <v>58.294203339386414</v>
      </c>
      <c r="K63" s="188">
        <f t="shared" si="55"/>
        <v>47.904759864066669</v>
      </c>
      <c r="L63" s="188">
        <f t="shared" si="55"/>
        <v>38.151642732729172</v>
      </c>
      <c r="M63" s="187"/>
      <c r="N63" s="188">
        <f t="shared" si="56"/>
        <v>118.71496570113956</v>
      </c>
      <c r="O63" s="188">
        <f t="shared" si="56"/>
        <v>123.41458617384822</v>
      </c>
      <c r="P63" s="188">
        <f t="shared" si="56"/>
        <v>103.87298859896106</v>
      </c>
      <c r="Q63" s="188">
        <f t="shared" si="56"/>
        <v>85.509343188136071</v>
      </c>
      <c r="R63" s="188">
        <f t="shared" si="56"/>
        <v>68.201168877474544</v>
      </c>
      <c r="S63" s="187"/>
      <c r="T63" s="188">
        <f t="shared" si="57"/>
        <v>0</v>
      </c>
      <c r="U63" s="188">
        <f t="shared" si="57"/>
        <v>0</v>
      </c>
      <c r="V63" s="188">
        <f t="shared" si="57"/>
        <v>0</v>
      </c>
      <c r="W63" s="188">
        <f t="shared" si="57"/>
        <v>0</v>
      </c>
      <c r="X63" s="188">
        <f t="shared" si="57"/>
        <v>0</v>
      </c>
      <c r="Y63" s="90" t="str">
        <f t="shared" si="58"/>
        <v>50-54</v>
      </c>
      <c r="Z63" s="188">
        <f t="shared" si="59"/>
        <v>200.15705088001573</v>
      </c>
      <c r="AA63" s="188">
        <f t="shared" si="59"/>
        <v>218.54573674510601</v>
      </c>
      <c r="AB63" s="188">
        <f t="shared" si="59"/>
        <v>239.21960647496348</v>
      </c>
      <c r="AC63" s="188">
        <f t="shared" si="59"/>
        <v>257.81605841504751</v>
      </c>
      <c r="AD63" s="188">
        <f t="shared" si="59"/>
        <v>271.65581059286012</v>
      </c>
      <c r="AE63" s="187"/>
      <c r="AF63" s="188">
        <f t="shared" si="60"/>
        <v>190.04078964826027</v>
      </c>
      <c r="AG63" s="188">
        <f t="shared" si="60"/>
        <v>207.46488432579588</v>
      </c>
      <c r="AH63" s="188">
        <f t="shared" si="60"/>
        <v>227.09664617165495</v>
      </c>
      <c r="AI63" s="188">
        <f t="shared" si="60"/>
        <v>244.71475666454</v>
      </c>
      <c r="AJ63" s="188">
        <f t="shared" si="60"/>
        <v>257.79476785525156</v>
      </c>
      <c r="AK63" s="187"/>
      <c r="AL63" s="188">
        <f t="shared" si="61"/>
        <v>10.116261231755457</v>
      </c>
      <c r="AM63" s="188">
        <f t="shared" si="61"/>
        <v>11.080852419310158</v>
      </c>
      <c r="AN63" s="188">
        <f t="shared" si="61"/>
        <v>12.122960303308531</v>
      </c>
      <c r="AO63" s="188">
        <f t="shared" si="61"/>
        <v>13.101301750507519</v>
      </c>
      <c r="AP63" s="188">
        <f t="shared" si="61"/>
        <v>13.861042737608585</v>
      </c>
      <c r="AQ63" s="90" t="str">
        <f t="shared" si="62"/>
        <v>50-54</v>
      </c>
      <c r="AR63" s="188">
        <f t="shared" si="63"/>
        <v>172.51190054675715</v>
      </c>
      <c r="AS63" s="188">
        <f t="shared" si="63"/>
        <v>201.44733767928977</v>
      </c>
      <c r="AT63" s="188">
        <f t="shared" si="63"/>
        <v>243.89220158668905</v>
      </c>
      <c r="AU63" s="188">
        <f t="shared" si="63"/>
        <v>263.09583853274978</v>
      </c>
      <c r="AV63" s="188">
        <f t="shared" si="63"/>
        <v>278.2843777969361</v>
      </c>
      <c r="AW63" s="187"/>
      <c r="AX63" s="188">
        <f t="shared" si="64"/>
        <v>168.88787751101148</v>
      </c>
      <c r="AY63" s="188">
        <f t="shared" si="64"/>
        <v>197.35794837642953</v>
      </c>
      <c r="AZ63" s="188">
        <f t="shared" si="64"/>
        <v>238.9340888070729</v>
      </c>
      <c r="BA63" s="188">
        <f t="shared" si="64"/>
        <v>257.81671276903228</v>
      </c>
      <c r="BB63" s="188">
        <f t="shared" si="64"/>
        <v>272.79729732120262</v>
      </c>
      <c r="BC63" s="187"/>
      <c r="BD63" s="188">
        <f t="shared" si="65"/>
        <v>3.6240230357456578</v>
      </c>
      <c r="BE63" s="188">
        <f t="shared" si="65"/>
        <v>4.0893893028602495</v>
      </c>
      <c r="BF63" s="188">
        <f t="shared" si="65"/>
        <v>4.958112779616183</v>
      </c>
      <c r="BG63" s="188">
        <f t="shared" si="65"/>
        <v>5.2791257637175608</v>
      </c>
      <c r="BH63" s="188">
        <f t="shared" si="65"/>
        <v>5.4870804757334763</v>
      </c>
    </row>
    <row r="64" spans="1:60" x14ac:dyDescent="0.2">
      <c r="A64" s="90" t="str">
        <f t="shared" si="53"/>
        <v>55-59</v>
      </c>
      <c r="B64" s="188">
        <f t="shared" si="54"/>
        <v>118.1352024705036</v>
      </c>
      <c r="C64" s="188">
        <f t="shared" si="54"/>
        <v>125.51688761373863</v>
      </c>
      <c r="D64" s="188">
        <f t="shared" si="54"/>
        <v>135.69347634171973</v>
      </c>
      <c r="E64" s="188">
        <f t="shared" si="54"/>
        <v>127.61999627132217</v>
      </c>
      <c r="F64" s="188">
        <f t="shared" si="54"/>
        <v>103.83680807778796</v>
      </c>
      <c r="G64" s="187"/>
      <c r="H64" s="188">
        <f t="shared" si="55"/>
        <v>47.020085047969616</v>
      </c>
      <c r="I64" s="188">
        <f t="shared" si="55"/>
        <v>49.942017947737568</v>
      </c>
      <c r="J64" s="188">
        <f t="shared" si="55"/>
        <v>53.996980542501134</v>
      </c>
      <c r="K64" s="188">
        <f t="shared" si="55"/>
        <v>50.765369807184982</v>
      </c>
      <c r="L64" s="188">
        <f t="shared" si="55"/>
        <v>41.29898124275995</v>
      </c>
      <c r="M64" s="187"/>
      <c r="N64" s="188">
        <f t="shared" si="56"/>
        <v>71.115117422534013</v>
      </c>
      <c r="O64" s="188">
        <f t="shared" si="56"/>
        <v>75.574869666001078</v>
      </c>
      <c r="P64" s="188">
        <f t="shared" si="56"/>
        <v>81.696495799218582</v>
      </c>
      <c r="Q64" s="188">
        <f t="shared" si="56"/>
        <v>76.854626464137169</v>
      </c>
      <c r="R64" s="188">
        <f t="shared" si="56"/>
        <v>62.537826835028014</v>
      </c>
      <c r="S64" s="187"/>
      <c r="T64" s="188">
        <f t="shared" si="57"/>
        <v>0</v>
      </c>
      <c r="U64" s="188">
        <f t="shared" si="57"/>
        <v>0</v>
      </c>
      <c r="V64" s="188">
        <f t="shared" si="57"/>
        <v>0</v>
      </c>
      <c r="W64" s="188">
        <f t="shared" si="57"/>
        <v>0</v>
      </c>
      <c r="X64" s="188">
        <f t="shared" si="57"/>
        <v>0</v>
      </c>
      <c r="Y64" s="90" t="str">
        <f t="shared" si="58"/>
        <v>55-59</v>
      </c>
      <c r="Z64" s="188">
        <f t="shared" si="59"/>
        <v>122.81319674265731</v>
      </c>
      <c r="AA64" s="188">
        <f t="shared" si="59"/>
        <v>127.76576484388534</v>
      </c>
      <c r="AB64" s="188">
        <f t="shared" si="59"/>
        <v>167.56934646025536</v>
      </c>
      <c r="AC64" s="188">
        <f t="shared" si="59"/>
        <v>201.55893986495374</v>
      </c>
      <c r="AD64" s="188">
        <f t="shared" si="59"/>
        <v>218.03560485524812</v>
      </c>
      <c r="AE64" s="187"/>
      <c r="AF64" s="188">
        <f t="shared" si="60"/>
        <v>115.33146461461402</v>
      </c>
      <c r="AG64" s="188">
        <f t="shared" si="60"/>
        <v>119.93869463814224</v>
      </c>
      <c r="AH64" s="188">
        <f t="shared" si="60"/>
        <v>157.20305952301629</v>
      </c>
      <c r="AI64" s="188">
        <f t="shared" si="60"/>
        <v>189.09467188304029</v>
      </c>
      <c r="AJ64" s="188">
        <f t="shared" si="60"/>
        <v>204.52603798057652</v>
      </c>
      <c r="AK64" s="187"/>
      <c r="AL64" s="188">
        <f t="shared" si="61"/>
        <v>7.4817321280432685</v>
      </c>
      <c r="AM64" s="188">
        <f t="shared" si="61"/>
        <v>7.8270702057431016</v>
      </c>
      <c r="AN64" s="188">
        <f t="shared" si="61"/>
        <v>10.366286937239055</v>
      </c>
      <c r="AO64" s="188">
        <f t="shared" si="61"/>
        <v>12.464267981913423</v>
      </c>
      <c r="AP64" s="188">
        <f t="shared" si="61"/>
        <v>13.509566874671609</v>
      </c>
      <c r="AQ64" s="90" t="str">
        <f t="shared" si="62"/>
        <v>55-59</v>
      </c>
      <c r="AR64" s="188">
        <f t="shared" si="63"/>
        <v>115.94160078683907</v>
      </c>
      <c r="AS64" s="188">
        <f t="shared" si="63"/>
        <v>135.51634754237602</v>
      </c>
      <c r="AT64" s="188">
        <f t="shared" si="63"/>
        <v>177.65217719802493</v>
      </c>
      <c r="AU64" s="188">
        <f t="shared" si="63"/>
        <v>208.31606386372408</v>
      </c>
      <c r="AV64" s="188">
        <f t="shared" si="63"/>
        <v>226.8625870669639</v>
      </c>
      <c r="AW64" s="187"/>
      <c r="AX64" s="188">
        <f t="shared" si="64"/>
        <v>112.73432150536409</v>
      </c>
      <c r="AY64" s="188">
        <f t="shared" si="64"/>
        <v>131.84828185573497</v>
      </c>
      <c r="AZ64" s="188">
        <f t="shared" si="64"/>
        <v>173.0031356627903</v>
      </c>
      <c r="BA64" s="188">
        <f t="shared" si="64"/>
        <v>202.93168009516813</v>
      </c>
      <c r="BB64" s="188">
        <f t="shared" si="64"/>
        <v>221.04132666504691</v>
      </c>
      <c r="BC64" s="187"/>
      <c r="BD64" s="188">
        <f t="shared" si="65"/>
        <v>3.2072792814749906</v>
      </c>
      <c r="BE64" s="188">
        <f t="shared" si="65"/>
        <v>3.6680656866410524</v>
      </c>
      <c r="BF64" s="188">
        <f t="shared" si="65"/>
        <v>4.6490415352346357</v>
      </c>
      <c r="BG64" s="188">
        <f t="shared" si="65"/>
        <v>5.3843837685559581</v>
      </c>
      <c r="BH64" s="188">
        <f t="shared" si="65"/>
        <v>5.8212604019169705</v>
      </c>
    </row>
    <row r="65" spans="1:60" x14ac:dyDescent="0.2">
      <c r="A65" s="90" t="str">
        <f t="shared" si="53"/>
        <v>60-64</v>
      </c>
      <c r="B65" s="188">
        <f t="shared" si="54"/>
        <v>35.823218463615042</v>
      </c>
      <c r="C65" s="188">
        <f t="shared" si="54"/>
        <v>44.494263253571226</v>
      </c>
      <c r="D65" s="188">
        <f t="shared" si="54"/>
        <v>41.613632960941956</v>
      </c>
      <c r="E65" s="188">
        <f t="shared" si="54"/>
        <v>40.934965671055551</v>
      </c>
      <c r="F65" s="188">
        <f t="shared" si="54"/>
        <v>35.667541570413341</v>
      </c>
      <c r="G65" s="187"/>
      <c r="H65" s="188">
        <f t="shared" si="55"/>
        <v>16.931856207862616</v>
      </c>
      <c r="I65" s="188">
        <f t="shared" si="55"/>
        <v>21.062717164219428</v>
      </c>
      <c r="J65" s="188">
        <f t="shared" si="55"/>
        <v>19.717624343517112</v>
      </c>
      <c r="K65" s="188">
        <f t="shared" si="55"/>
        <v>19.381394399502241</v>
      </c>
      <c r="L65" s="188">
        <f t="shared" si="55"/>
        <v>16.879614538550584</v>
      </c>
      <c r="M65" s="187"/>
      <c r="N65" s="188">
        <f t="shared" si="56"/>
        <v>18.891362255752426</v>
      </c>
      <c r="O65" s="188">
        <f t="shared" si="56"/>
        <v>23.431546089351805</v>
      </c>
      <c r="P65" s="188">
        <f t="shared" si="56"/>
        <v>21.89600861742484</v>
      </c>
      <c r="Q65" s="188">
        <f t="shared" si="56"/>
        <v>21.553571271553317</v>
      </c>
      <c r="R65" s="188">
        <f t="shared" si="56"/>
        <v>18.787927031862754</v>
      </c>
      <c r="S65" s="187"/>
      <c r="T65" s="188">
        <f t="shared" si="57"/>
        <v>0</v>
      </c>
      <c r="U65" s="188">
        <f t="shared" si="57"/>
        <v>0</v>
      </c>
      <c r="V65" s="188">
        <f t="shared" si="57"/>
        <v>0</v>
      </c>
      <c r="W65" s="188">
        <f t="shared" si="57"/>
        <v>0</v>
      </c>
      <c r="X65" s="188">
        <f t="shared" si="57"/>
        <v>0</v>
      </c>
      <c r="Y65" s="90" t="str">
        <f t="shared" si="58"/>
        <v>60-64</v>
      </c>
      <c r="Z65" s="188">
        <f t="shared" si="59"/>
        <v>31.343339667083313</v>
      </c>
      <c r="AA65" s="188">
        <f t="shared" si="59"/>
        <v>37.400907742954743</v>
      </c>
      <c r="AB65" s="188">
        <f t="shared" si="59"/>
        <v>50.777770478130293</v>
      </c>
      <c r="AC65" s="188">
        <f t="shared" si="59"/>
        <v>66.266094080470012</v>
      </c>
      <c r="AD65" s="188">
        <f t="shared" si="59"/>
        <v>80.260766484007178</v>
      </c>
      <c r="AE65" s="187"/>
      <c r="AF65" s="188">
        <f t="shared" si="60"/>
        <v>29.203027553951088</v>
      </c>
      <c r="AG65" s="188">
        <f t="shared" si="60"/>
        <v>34.871395449563813</v>
      </c>
      <c r="AH65" s="188">
        <f t="shared" si="60"/>
        <v>47.209555911882788</v>
      </c>
      <c r="AI65" s="188">
        <f t="shared" si="60"/>
        <v>61.600974211672487</v>
      </c>
      <c r="AJ65" s="188">
        <f t="shared" si="60"/>
        <v>74.607227360463867</v>
      </c>
      <c r="AK65" s="187"/>
      <c r="AL65" s="188">
        <f t="shared" si="61"/>
        <v>2.1403121131322234</v>
      </c>
      <c r="AM65" s="188">
        <f t="shared" si="61"/>
        <v>2.5295122933909324</v>
      </c>
      <c r="AN65" s="188">
        <f t="shared" si="61"/>
        <v>3.5682145662475118</v>
      </c>
      <c r="AO65" s="188">
        <f t="shared" si="61"/>
        <v>4.6651198687975111</v>
      </c>
      <c r="AP65" s="188">
        <f t="shared" si="61"/>
        <v>5.6535391235433075</v>
      </c>
      <c r="AQ65" s="90" t="str">
        <f t="shared" si="62"/>
        <v>60-64</v>
      </c>
      <c r="AR65" s="188">
        <f t="shared" si="63"/>
        <v>38.517441869301649</v>
      </c>
      <c r="AS65" s="188">
        <f t="shared" si="63"/>
        <v>53.191829003474027</v>
      </c>
      <c r="AT65" s="188">
        <f t="shared" si="63"/>
        <v>71.393596560927747</v>
      </c>
      <c r="AU65" s="188">
        <f t="shared" si="63"/>
        <v>92.303940248474447</v>
      </c>
      <c r="AV65" s="188">
        <f t="shared" si="63"/>
        <v>113.97169194557949</v>
      </c>
      <c r="AW65" s="187"/>
      <c r="AX65" s="188">
        <f t="shared" si="64"/>
        <v>35.940957081944205</v>
      </c>
      <c r="AY65" s="188">
        <f t="shared" si="64"/>
        <v>49.626732053099445</v>
      </c>
      <c r="AZ65" s="188">
        <f t="shared" si="64"/>
        <v>66.596362264723197</v>
      </c>
      <c r="BA65" s="188">
        <f t="shared" si="64"/>
        <v>86.098448390329622</v>
      </c>
      <c r="BB65" s="188">
        <f t="shared" si="64"/>
        <v>106.3052407990122</v>
      </c>
      <c r="BC65" s="187"/>
      <c r="BD65" s="188">
        <f t="shared" si="65"/>
        <v>2.5764847873574377</v>
      </c>
      <c r="BE65" s="188">
        <f t="shared" si="65"/>
        <v>3.5650969503745911</v>
      </c>
      <c r="BF65" s="188">
        <f t="shared" si="65"/>
        <v>4.7972342962045555</v>
      </c>
      <c r="BG65" s="188">
        <f t="shared" si="65"/>
        <v>6.2054918581448213</v>
      </c>
      <c r="BH65" s="188">
        <f t="shared" si="65"/>
        <v>7.6664511465673009</v>
      </c>
    </row>
    <row r="66" spans="1:60" x14ac:dyDescent="0.2">
      <c r="A66" s="90" t="str">
        <f t="shared" si="53"/>
        <v>65+</v>
      </c>
      <c r="B66" s="188">
        <f t="shared" si="54"/>
        <v>11.948741166199174</v>
      </c>
      <c r="C66" s="188">
        <f t="shared" si="54"/>
        <v>16.460486596644937</v>
      </c>
      <c r="D66" s="188">
        <f t="shared" si="54"/>
        <v>15.029015503825972</v>
      </c>
      <c r="E66" s="188">
        <f t="shared" si="54"/>
        <v>11.903183363129848</v>
      </c>
      <c r="F66" s="188">
        <f t="shared" si="54"/>
        <v>9.8474191476518342</v>
      </c>
      <c r="G66" s="187"/>
      <c r="H66" s="188">
        <f t="shared" si="55"/>
        <v>6.3754329809595625</v>
      </c>
      <c r="I66" s="188">
        <f t="shared" si="55"/>
        <v>8.5871560944185141</v>
      </c>
      <c r="J66" s="188">
        <f t="shared" si="55"/>
        <v>7.8803923797716067</v>
      </c>
      <c r="K66" s="188">
        <f t="shared" si="55"/>
        <v>6.2399183159193861</v>
      </c>
      <c r="L66" s="188">
        <f t="shared" si="55"/>
        <v>5.2069403181851044</v>
      </c>
      <c r="M66" s="187"/>
      <c r="N66" s="188">
        <f t="shared" si="56"/>
        <v>5.5733081852396102</v>
      </c>
      <c r="O66" s="188">
        <f t="shared" si="56"/>
        <v>7.8733305022264224</v>
      </c>
      <c r="P66" s="188">
        <f t="shared" si="56"/>
        <v>7.1486231240543656</v>
      </c>
      <c r="Q66" s="188">
        <f t="shared" si="56"/>
        <v>5.6632650472104613</v>
      </c>
      <c r="R66" s="188">
        <f t="shared" si="56"/>
        <v>4.6404788294667298</v>
      </c>
      <c r="S66" s="187"/>
      <c r="T66" s="188">
        <f t="shared" si="57"/>
        <v>0</v>
      </c>
      <c r="U66" s="188">
        <f t="shared" si="57"/>
        <v>0</v>
      </c>
      <c r="V66" s="188">
        <f t="shared" si="57"/>
        <v>0</v>
      </c>
      <c r="W66" s="188">
        <f t="shared" si="57"/>
        <v>0</v>
      </c>
      <c r="X66" s="188">
        <f t="shared" si="57"/>
        <v>0</v>
      </c>
      <c r="Y66" s="90" t="str">
        <f t="shared" si="58"/>
        <v>65+</v>
      </c>
      <c r="Z66" s="188">
        <f t="shared" si="59"/>
        <v>7.8240804156386137</v>
      </c>
      <c r="AA66" s="188">
        <f t="shared" si="59"/>
        <v>9.9119242988728669</v>
      </c>
      <c r="AB66" s="188">
        <f t="shared" si="59"/>
        <v>11.008756624618567</v>
      </c>
      <c r="AC66" s="188">
        <f t="shared" si="59"/>
        <v>12.01446121472337</v>
      </c>
      <c r="AD66" s="188">
        <f t="shared" si="59"/>
        <v>13.854293318978709</v>
      </c>
      <c r="AE66" s="187"/>
      <c r="AF66" s="188">
        <f t="shared" si="60"/>
        <v>6.9255035254653912</v>
      </c>
      <c r="AG66" s="188">
        <f t="shared" si="60"/>
        <v>8.7952137061175186</v>
      </c>
      <c r="AH66" s="188">
        <f t="shared" si="60"/>
        <v>9.7331452985061144</v>
      </c>
      <c r="AI66" s="188">
        <f t="shared" si="60"/>
        <v>10.624866696548906</v>
      </c>
      <c r="AJ66" s="188">
        <f t="shared" si="60"/>
        <v>12.275904221835862</v>
      </c>
      <c r="AK66" s="187"/>
      <c r="AL66" s="188">
        <f t="shared" si="61"/>
        <v>0.89857689017322329</v>
      </c>
      <c r="AM66" s="188">
        <f t="shared" si="61"/>
        <v>1.1167105927553487</v>
      </c>
      <c r="AN66" s="188">
        <f t="shared" si="61"/>
        <v>1.2756113261124509</v>
      </c>
      <c r="AO66" s="188">
        <f t="shared" si="61"/>
        <v>1.389594518174466</v>
      </c>
      <c r="AP66" s="188">
        <f t="shared" si="61"/>
        <v>1.5783890971428471</v>
      </c>
      <c r="AQ66" s="90" t="str">
        <f t="shared" si="62"/>
        <v>65+</v>
      </c>
      <c r="AR66" s="188">
        <f t="shared" si="63"/>
        <v>12.792178418162218</v>
      </c>
      <c r="AS66" s="188">
        <f t="shared" si="63"/>
        <v>12.19158910448219</v>
      </c>
      <c r="AT66" s="188">
        <f t="shared" si="63"/>
        <v>19.366227871555463</v>
      </c>
      <c r="AU66" s="188">
        <f t="shared" si="63"/>
        <v>23.78335542214678</v>
      </c>
      <c r="AV66" s="188">
        <f t="shared" si="63"/>
        <v>30.011287533369462</v>
      </c>
      <c r="AW66" s="187"/>
      <c r="AX66" s="188">
        <f t="shared" si="64"/>
        <v>12.010493229987055</v>
      </c>
      <c r="AY66" s="188">
        <f t="shared" si="64"/>
        <v>11.529560727743291</v>
      </c>
      <c r="AZ66" s="188">
        <f t="shared" si="64"/>
        <v>18.211272058470012</v>
      </c>
      <c r="BA66" s="188">
        <f t="shared" si="64"/>
        <v>22.381962071636803</v>
      </c>
      <c r="BB66" s="188">
        <f t="shared" si="64"/>
        <v>28.299382615392936</v>
      </c>
      <c r="BC66" s="187"/>
      <c r="BD66" s="188">
        <f t="shared" si="65"/>
        <v>0.78168518817516097</v>
      </c>
      <c r="BE66" s="188">
        <f t="shared" si="65"/>
        <v>0.66202837673890058</v>
      </c>
      <c r="BF66" s="188">
        <f t="shared" si="65"/>
        <v>1.1549558130854503</v>
      </c>
      <c r="BG66" s="188">
        <f t="shared" si="65"/>
        <v>1.4013933505099772</v>
      </c>
      <c r="BH66" s="188">
        <f t="shared" si="65"/>
        <v>1.7119049179765302</v>
      </c>
    </row>
    <row r="67" spans="1:60" x14ac:dyDescent="0.2">
      <c r="B67" s="188"/>
      <c r="C67" s="188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93"/>
      <c r="U67" s="93"/>
      <c r="V67" s="93"/>
      <c r="W67" s="93"/>
      <c r="X67" s="93"/>
      <c r="Z67" s="188"/>
      <c r="AA67" s="188"/>
      <c r="AB67" s="187"/>
      <c r="AC67" s="187"/>
      <c r="AD67" s="187"/>
      <c r="AE67" s="187"/>
      <c r="AF67" s="187"/>
      <c r="AG67" s="187"/>
      <c r="AH67" s="187"/>
      <c r="AI67" s="187"/>
      <c r="AJ67" s="187"/>
      <c r="AK67" s="187"/>
      <c r="AL67" s="187"/>
      <c r="AM67" s="187"/>
      <c r="AN67" s="187"/>
      <c r="AO67" s="187"/>
      <c r="AP67" s="187"/>
      <c r="AR67" s="188"/>
      <c r="AS67" s="188"/>
      <c r="AT67" s="187"/>
      <c r="AU67" s="187"/>
      <c r="AV67" s="187"/>
      <c r="AW67" s="187"/>
      <c r="AX67" s="187"/>
      <c r="AY67" s="187"/>
      <c r="AZ67" s="187"/>
      <c r="BA67" s="187"/>
      <c r="BB67" s="187"/>
      <c r="BC67" s="187"/>
      <c r="BD67" s="187"/>
      <c r="BE67" s="187"/>
      <c r="BF67" s="187"/>
      <c r="BG67" s="187"/>
      <c r="BH67" s="187"/>
    </row>
    <row r="68" spans="1:60" x14ac:dyDescent="0.2">
      <c r="A68" s="113" t="str">
        <f>A20</f>
        <v>Males</v>
      </c>
      <c r="B68" s="93"/>
      <c r="C68" s="93"/>
      <c r="D68" s="93"/>
      <c r="E68" s="93"/>
      <c r="F68" s="188"/>
      <c r="G68" s="188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93"/>
      <c r="U68" s="93"/>
      <c r="V68" s="93"/>
      <c r="W68" s="93"/>
      <c r="X68" s="93"/>
      <c r="Y68" s="113" t="str">
        <f>Y20</f>
        <v>Males</v>
      </c>
      <c r="Z68" s="93"/>
      <c r="AA68" s="93"/>
      <c r="AB68" s="93"/>
      <c r="AC68" s="93"/>
      <c r="AD68" s="188"/>
      <c r="AE68" s="188"/>
      <c r="AF68" s="188"/>
      <c r="AG68" s="188"/>
      <c r="AH68" s="188"/>
      <c r="AI68" s="188"/>
      <c r="AJ68" s="188"/>
      <c r="AK68" s="188"/>
      <c r="AL68" s="188"/>
      <c r="AM68" s="188"/>
      <c r="AN68" s="188"/>
      <c r="AO68" s="188"/>
      <c r="AP68" s="188"/>
      <c r="AQ68" s="113" t="str">
        <f>AQ20</f>
        <v>Males</v>
      </c>
      <c r="AR68" s="93"/>
      <c r="AS68" s="93"/>
      <c r="AT68" s="93"/>
      <c r="AU68" s="93"/>
      <c r="AV68" s="188"/>
      <c r="AW68" s="188"/>
      <c r="AX68" s="188"/>
      <c r="AY68" s="188"/>
      <c r="AZ68" s="188"/>
      <c r="BA68" s="188"/>
      <c r="BB68" s="188"/>
      <c r="BC68" s="188"/>
      <c r="BD68" s="188"/>
      <c r="BE68" s="188"/>
      <c r="BF68" s="188"/>
      <c r="BG68" s="188"/>
      <c r="BH68" s="188"/>
    </row>
    <row r="69" spans="1:60" x14ac:dyDescent="0.2">
      <c r="A69" s="90" t="str">
        <f>A21</f>
        <v>15+</v>
      </c>
      <c r="B69" s="188">
        <f>SUM(B70:B80)</f>
        <v>668.34829787442732</v>
      </c>
      <c r="C69" s="188">
        <f t="shared" ref="C69:F69" si="66">SUM(C70:C80)</f>
        <v>679.97434318708918</v>
      </c>
      <c r="D69" s="188">
        <f t="shared" si="66"/>
        <v>576.0987188576471</v>
      </c>
      <c r="E69" s="188">
        <f t="shared" si="66"/>
        <v>506.60924483387572</v>
      </c>
      <c r="F69" s="188">
        <f t="shared" si="66"/>
        <v>424.17079532170612</v>
      </c>
      <c r="G69" s="188"/>
      <c r="H69" s="188">
        <f>SUM(H70:H80)</f>
        <v>216.57689663424574</v>
      </c>
      <c r="I69" s="188">
        <f t="shared" ref="I69:L69" si="67">SUM(I70:I80)</f>
        <v>222.01749682244036</v>
      </c>
      <c r="J69" s="188">
        <f t="shared" si="67"/>
        <v>189.97263257060061</v>
      </c>
      <c r="K69" s="188">
        <f t="shared" si="67"/>
        <v>168.03119397716577</v>
      </c>
      <c r="L69" s="188">
        <f t="shared" si="67"/>
        <v>140.23377379308036</v>
      </c>
      <c r="M69" s="188"/>
      <c r="N69" s="188">
        <f>SUM(N70:N80)</f>
        <v>451.77140124018155</v>
      </c>
      <c r="O69" s="188">
        <f t="shared" ref="O69:R69" si="68">SUM(O70:O80)</f>
        <v>457.95684636464887</v>
      </c>
      <c r="P69" s="188">
        <f t="shared" si="68"/>
        <v>386.12608628704652</v>
      </c>
      <c r="Q69" s="188">
        <f t="shared" si="68"/>
        <v>338.57805085670992</v>
      </c>
      <c r="R69" s="188">
        <f t="shared" si="68"/>
        <v>283.93702152862579</v>
      </c>
      <c r="S69" s="188"/>
      <c r="T69" s="188">
        <f>SUM(T70:T80)</f>
        <v>0</v>
      </c>
      <c r="U69" s="188">
        <f t="shared" ref="U69:X69" si="69">SUM(U70:U80)</f>
        <v>0</v>
      </c>
      <c r="V69" s="188">
        <f t="shared" si="69"/>
        <v>0</v>
      </c>
      <c r="W69" s="188">
        <f t="shared" si="69"/>
        <v>0</v>
      </c>
      <c r="X69" s="188">
        <f t="shared" si="69"/>
        <v>0</v>
      </c>
      <c r="Y69" s="90" t="str">
        <f>Y21</f>
        <v>15+</v>
      </c>
      <c r="Z69" s="188">
        <f>SUM(Z70:Z80)</f>
        <v>1110.8221091376672</v>
      </c>
      <c r="AA69" s="188">
        <f t="shared" ref="AA69:AD69" si="70">SUM(AA70:AA80)</f>
        <v>1081.2462760791657</v>
      </c>
      <c r="AB69" s="188">
        <f t="shared" si="70"/>
        <v>1129.3696341240161</v>
      </c>
      <c r="AC69" s="188">
        <f t="shared" si="70"/>
        <v>1196.947412591609</v>
      </c>
      <c r="AD69" s="188">
        <f t="shared" si="70"/>
        <v>1263.8735341848089</v>
      </c>
      <c r="AE69" s="188"/>
      <c r="AF69" s="188">
        <f>SUM(AF70:AF80)</f>
        <v>1048.6925402059803</v>
      </c>
      <c r="AG69" s="188">
        <f t="shared" ref="AG69:AJ69" si="71">SUM(AG70:AG80)</f>
        <v>1020.9879008290815</v>
      </c>
      <c r="AH69" s="188">
        <f t="shared" si="71"/>
        <v>1066.4680897558023</v>
      </c>
      <c r="AI69" s="188">
        <f t="shared" si="71"/>
        <v>1130.4132844970143</v>
      </c>
      <c r="AJ69" s="188">
        <f t="shared" si="71"/>
        <v>1193.6123831216405</v>
      </c>
      <c r="AK69" s="188"/>
      <c r="AL69" s="188">
        <f>SUM(AL70:AL80)</f>
        <v>62.12956893168694</v>
      </c>
      <c r="AM69" s="188">
        <f t="shared" ref="AM69:AP69" si="72">SUM(AM70:AM80)</f>
        <v>60.258375250084285</v>
      </c>
      <c r="AN69" s="188">
        <f t="shared" si="72"/>
        <v>62.90154436821414</v>
      </c>
      <c r="AO69" s="188">
        <f t="shared" si="72"/>
        <v>66.534128094594536</v>
      </c>
      <c r="AP69" s="188">
        <f t="shared" si="72"/>
        <v>70.261151063168086</v>
      </c>
      <c r="AQ69" s="90" t="str">
        <f>AQ21</f>
        <v>15+</v>
      </c>
      <c r="AR69" s="188">
        <f>SUM(AR70:AR80)</f>
        <v>858.87759298790547</v>
      </c>
      <c r="AS69" s="188">
        <f t="shared" ref="AS69:AV69" si="73">SUM(AS70:AS80)</f>
        <v>924.03238073374484</v>
      </c>
      <c r="AT69" s="188">
        <f t="shared" si="73"/>
        <v>1006.6636470183364</v>
      </c>
      <c r="AU69" s="188">
        <f t="shared" si="73"/>
        <v>1087.2593425745151</v>
      </c>
      <c r="AV69" s="188">
        <f t="shared" si="73"/>
        <v>1172.5296704934854</v>
      </c>
      <c r="AW69" s="188"/>
      <c r="AX69" s="188">
        <f>SUM(AX70:AX80)</f>
        <v>837.25747303433036</v>
      </c>
      <c r="AY69" s="188">
        <f t="shared" ref="AY69:BB69" si="74">SUM(AY70:AY80)</f>
        <v>900.46119959493876</v>
      </c>
      <c r="AZ69" s="188">
        <f t="shared" si="74"/>
        <v>980.19920817165428</v>
      </c>
      <c r="BA69" s="188">
        <f t="shared" si="74"/>
        <v>1058.1193206787443</v>
      </c>
      <c r="BB69" s="188">
        <f t="shared" si="74"/>
        <v>1140.618907885826</v>
      </c>
      <c r="BC69" s="188"/>
      <c r="BD69" s="188">
        <f>SUM(BD70:BD80)</f>
        <v>21.620119953575205</v>
      </c>
      <c r="BE69" s="188">
        <f t="shared" ref="BE69:BH69" si="75">SUM(BE70:BE80)</f>
        <v>23.571181138806118</v>
      </c>
      <c r="BF69" s="188">
        <f t="shared" si="75"/>
        <v>26.464438846682153</v>
      </c>
      <c r="BG69" s="188">
        <f t="shared" si="75"/>
        <v>29.140021895771127</v>
      </c>
      <c r="BH69" s="188">
        <f t="shared" si="75"/>
        <v>31.910762607659223</v>
      </c>
    </row>
    <row r="70" spans="1:60" x14ac:dyDescent="0.2">
      <c r="A70" s="90" t="str">
        <f t="shared" ref="A70:A80" si="76">A22</f>
        <v>15-19</v>
      </c>
      <c r="B70" s="188">
        <v>21.970306906103936</v>
      </c>
      <c r="C70" s="188">
        <v>20.026076119996116</v>
      </c>
      <c r="D70" s="188">
        <v>15.121179094017016</v>
      </c>
      <c r="E70" s="188">
        <v>17.089485140563891</v>
      </c>
      <c r="F70" s="187">
        <v>20.063648634933156</v>
      </c>
      <c r="G70" s="188"/>
      <c r="H70" s="188">
        <v>5.926181505924986</v>
      </c>
      <c r="I70" s="188">
        <v>5.4017609070647374</v>
      </c>
      <c r="J70" s="188">
        <v>4.0787280675207782</v>
      </c>
      <c r="K70" s="188">
        <v>4.6096697076419106</v>
      </c>
      <c r="L70" s="187">
        <v>5.4118921208641293</v>
      </c>
      <c r="M70" s="188"/>
      <c r="N70" s="188">
        <v>16.044125400178949</v>
      </c>
      <c r="O70" s="188">
        <v>14.624315212931378</v>
      </c>
      <c r="P70" s="188">
        <v>11.04245102649624</v>
      </c>
      <c r="Q70" s="188">
        <v>12.479815432921979</v>
      </c>
      <c r="R70" s="187">
        <v>14.651756514069028</v>
      </c>
      <c r="S70" s="188"/>
      <c r="T70" s="188">
        <v>0</v>
      </c>
      <c r="U70" s="188">
        <v>0</v>
      </c>
      <c r="V70" s="188">
        <v>0</v>
      </c>
      <c r="W70" s="188">
        <v>0</v>
      </c>
      <c r="X70" s="187">
        <v>0</v>
      </c>
      <c r="Y70" s="90" t="str">
        <f t="shared" ref="Y70:Y80" si="77">Y22</f>
        <v>15-19</v>
      </c>
      <c r="Z70" s="188">
        <v>17.840683082880268</v>
      </c>
      <c r="AA70" s="188">
        <v>14.680133047335039</v>
      </c>
      <c r="AB70" s="188">
        <v>13.72560965822832</v>
      </c>
      <c r="AC70" s="188">
        <v>15.436484788467865</v>
      </c>
      <c r="AD70" s="187">
        <v>18.541508530812692</v>
      </c>
      <c r="AE70" s="188"/>
      <c r="AF70" s="188">
        <v>16.8611671563519</v>
      </c>
      <c r="AG70" s="188">
        <v>13.874168165612016</v>
      </c>
      <c r="AH70" s="188">
        <v>12.972040867641711</v>
      </c>
      <c r="AI70" s="188">
        <v>14.588974970800006</v>
      </c>
      <c r="AJ70" s="187">
        <v>17.523528875034817</v>
      </c>
      <c r="AK70" s="188"/>
      <c r="AL70" s="188">
        <v>0.9795159265283645</v>
      </c>
      <c r="AM70" s="188">
        <v>0.80596488172302239</v>
      </c>
      <c r="AN70" s="188">
        <v>0.75356879058660964</v>
      </c>
      <c r="AO70" s="188">
        <v>0.84750981766786149</v>
      </c>
      <c r="AP70" s="187">
        <v>1.0179796557778724</v>
      </c>
      <c r="AQ70" s="90" t="str">
        <f t="shared" ref="AQ70:AQ80" si="78">AQ22</f>
        <v>15-19</v>
      </c>
      <c r="AR70" s="188">
        <v>0.10001001101580378</v>
      </c>
      <c r="AS70" s="188">
        <v>0.10679083266884004</v>
      </c>
      <c r="AT70" s="188">
        <v>1.2112477546660798E-3</v>
      </c>
      <c r="AU70" s="188">
        <v>6.0300709682370914E-3</v>
      </c>
      <c r="AV70" s="187">
        <v>1.0842834254153347E-2</v>
      </c>
      <c r="AW70" s="188"/>
      <c r="AX70" s="188">
        <v>6.6192985196819223E-2</v>
      </c>
      <c r="AY70" s="188">
        <v>7.0679138418197798E-2</v>
      </c>
      <c r="AZ70" s="188">
        <v>8.014133599071727E-4</v>
      </c>
      <c r="BA70" s="188">
        <v>3.9895924082780755E-3</v>
      </c>
      <c r="BB70" s="187">
        <v>7.1745268353603188E-3</v>
      </c>
      <c r="BC70" s="188"/>
      <c r="BD70" s="188">
        <v>3.3817025818984561E-2</v>
      </c>
      <c r="BE70" s="188">
        <v>3.6111694250642229E-2</v>
      </c>
      <c r="BF70" s="188">
        <v>4.0983439475890718E-4</v>
      </c>
      <c r="BG70" s="188">
        <v>2.0404785599590159E-3</v>
      </c>
      <c r="BH70" s="187">
        <v>3.6683074187930289E-3</v>
      </c>
    </row>
    <row r="71" spans="1:60" x14ac:dyDescent="0.2">
      <c r="A71" s="90" t="str">
        <f t="shared" si="76"/>
        <v>20-24</v>
      </c>
      <c r="B71" s="188">
        <v>42.835372944962316</v>
      </c>
      <c r="C71" s="188">
        <v>48.066292311616593</v>
      </c>
      <c r="D71" s="188">
        <v>41.397068793006476</v>
      </c>
      <c r="E71" s="188">
        <v>35.270255608267561</v>
      </c>
      <c r="F71" s="187">
        <v>32.498817128536295</v>
      </c>
      <c r="G71" s="188"/>
      <c r="H71" s="188">
        <v>9.7684866793085128</v>
      </c>
      <c r="I71" s="188">
        <v>10.961327650529908</v>
      </c>
      <c r="J71" s="188">
        <v>9.4404947503411645</v>
      </c>
      <c r="K71" s="188">
        <v>8.0432844087857056</v>
      </c>
      <c r="L71" s="187">
        <v>7.4112487352797149</v>
      </c>
      <c r="M71" s="188"/>
      <c r="N71" s="188">
        <v>33.0668862656538</v>
      </c>
      <c r="O71" s="188">
        <v>37.104964661086683</v>
      </c>
      <c r="P71" s="188">
        <v>31.956574042665309</v>
      </c>
      <c r="Q71" s="188">
        <v>27.226971199481849</v>
      </c>
      <c r="R71" s="187">
        <v>25.087568393256582</v>
      </c>
      <c r="S71" s="188"/>
      <c r="T71" s="188">
        <v>0</v>
      </c>
      <c r="U71" s="188">
        <v>0</v>
      </c>
      <c r="V71" s="188">
        <v>0</v>
      </c>
      <c r="W71" s="188">
        <v>0</v>
      </c>
      <c r="X71" s="187">
        <v>0</v>
      </c>
      <c r="Y71" s="90" t="str">
        <f t="shared" si="77"/>
        <v>20-24</v>
      </c>
      <c r="Z71" s="188">
        <v>117.60066097337621</v>
      </c>
      <c r="AA71" s="188">
        <v>116.00972577437592</v>
      </c>
      <c r="AB71" s="188">
        <v>117.37387172072432</v>
      </c>
      <c r="AC71" s="188">
        <v>109.8328571099937</v>
      </c>
      <c r="AD71" s="187">
        <v>112.18324785696579</v>
      </c>
      <c r="AE71" s="188"/>
      <c r="AF71" s="188">
        <v>109.40519835653062</v>
      </c>
      <c r="AG71" s="188">
        <v>107.92518380300695</v>
      </c>
      <c r="AH71" s="188">
        <v>109.19423291573709</v>
      </c>
      <c r="AI71" s="188">
        <v>102.17877037651678</v>
      </c>
      <c r="AJ71" s="187">
        <v>104.36530258032673</v>
      </c>
      <c r="AK71" s="188"/>
      <c r="AL71" s="188">
        <v>8.1954626168455889</v>
      </c>
      <c r="AM71" s="188">
        <v>8.0845419713689743</v>
      </c>
      <c r="AN71" s="188">
        <v>8.1796388049872402</v>
      </c>
      <c r="AO71" s="188">
        <v>7.6540867334769196</v>
      </c>
      <c r="AP71" s="187">
        <v>7.8179452766390698</v>
      </c>
      <c r="AQ71" s="90" t="str">
        <f t="shared" si="78"/>
        <v>20-24</v>
      </c>
      <c r="AR71" s="188">
        <v>35.953966081661484</v>
      </c>
      <c r="AS71" s="188">
        <v>35.412981914007489</v>
      </c>
      <c r="AT71" s="188">
        <v>39.05605948626922</v>
      </c>
      <c r="AU71" s="188">
        <v>40.227887281738759</v>
      </c>
      <c r="AV71" s="187">
        <v>45.244935014497926</v>
      </c>
      <c r="AW71" s="188"/>
      <c r="AX71" s="188">
        <v>35.894388197223741</v>
      </c>
      <c r="AY71" s="188">
        <v>35.354282498596831</v>
      </c>
      <c r="AZ71" s="188">
        <v>38.991316542918099</v>
      </c>
      <c r="BA71" s="188">
        <v>40.161217830179162</v>
      </c>
      <c r="BB71" s="187">
        <v>45.169897221289091</v>
      </c>
      <c r="BC71" s="188"/>
      <c r="BD71" s="188">
        <v>5.9577884437741695E-2</v>
      </c>
      <c r="BE71" s="188">
        <v>5.8699415410650713E-2</v>
      </c>
      <c r="BF71" s="188">
        <v>6.4742943351118576E-2</v>
      </c>
      <c r="BG71" s="188">
        <v>6.6669451559595388E-2</v>
      </c>
      <c r="BH71" s="187">
        <v>7.5037793208839618E-2</v>
      </c>
    </row>
    <row r="72" spans="1:60" x14ac:dyDescent="0.2">
      <c r="A72" s="90" t="str">
        <f t="shared" si="76"/>
        <v>25-29</v>
      </c>
      <c r="B72" s="188">
        <v>54.132987761997782</v>
      </c>
      <c r="C72" s="188">
        <v>59.30277365778997</v>
      </c>
      <c r="D72" s="188">
        <v>53.119400404129237</v>
      </c>
      <c r="E72" s="188">
        <v>53.434184420591016</v>
      </c>
      <c r="F72" s="187">
        <v>46.384829749714591</v>
      </c>
      <c r="G72" s="188"/>
      <c r="H72" s="188">
        <v>15.657402965414564</v>
      </c>
      <c r="I72" s="188">
        <v>17.15271266465906</v>
      </c>
      <c r="J72" s="188">
        <v>15.364227768456015</v>
      </c>
      <c r="K72" s="188">
        <v>15.455258797856304</v>
      </c>
      <c r="L72" s="187">
        <v>13.416311066916181</v>
      </c>
      <c r="M72" s="188"/>
      <c r="N72" s="188">
        <v>38.47558479658322</v>
      </c>
      <c r="O72" s="188">
        <v>42.150060993130907</v>
      </c>
      <c r="P72" s="188">
        <v>37.755172635673226</v>
      </c>
      <c r="Q72" s="188">
        <v>37.978925622734714</v>
      </c>
      <c r="R72" s="187">
        <v>32.968518682798404</v>
      </c>
      <c r="S72" s="188"/>
      <c r="T72" s="188">
        <v>0</v>
      </c>
      <c r="U72" s="188">
        <v>0</v>
      </c>
      <c r="V72" s="188">
        <v>0</v>
      </c>
      <c r="W72" s="188">
        <v>0</v>
      </c>
      <c r="X72" s="187">
        <v>0</v>
      </c>
      <c r="Y72" s="90" t="str">
        <f t="shared" si="77"/>
        <v>25-29</v>
      </c>
      <c r="Z72" s="188">
        <v>149.16941523155822</v>
      </c>
      <c r="AA72" s="188">
        <v>137.65111832560171</v>
      </c>
      <c r="AB72" s="188">
        <v>143.78119393240843</v>
      </c>
      <c r="AC72" s="188">
        <v>153.35525074005449</v>
      </c>
      <c r="AD72" s="187">
        <v>151.04532202229836</v>
      </c>
      <c r="AE72" s="188"/>
      <c r="AF72" s="188">
        <v>139.54207798178672</v>
      </c>
      <c r="AG72" s="188">
        <v>128.76718250907044</v>
      </c>
      <c r="AH72" s="188">
        <v>134.50166828917818</v>
      </c>
      <c r="AI72" s="188">
        <v>143.4577811169944</v>
      </c>
      <c r="AJ72" s="187">
        <v>141.29698663959073</v>
      </c>
      <c r="AK72" s="188"/>
      <c r="AL72" s="188">
        <v>9.6273372497715179</v>
      </c>
      <c r="AM72" s="188">
        <v>8.8839358165312774</v>
      </c>
      <c r="AN72" s="188">
        <v>9.2795256432302509</v>
      </c>
      <c r="AO72" s="188">
        <v>9.8974696230601076</v>
      </c>
      <c r="AP72" s="187">
        <v>9.7483353827076193</v>
      </c>
      <c r="AQ72" s="90" t="str">
        <f t="shared" si="78"/>
        <v>25-29</v>
      </c>
      <c r="AR72" s="188">
        <v>114.08059700644398</v>
      </c>
      <c r="AS72" s="188">
        <v>119.54710801660832</v>
      </c>
      <c r="AT72" s="188">
        <v>121.54440566346231</v>
      </c>
      <c r="AU72" s="188">
        <v>131.36556483935448</v>
      </c>
      <c r="AV72" s="187">
        <v>131.1628482279871</v>
      </c>
      <c r="AW72" s="188"/>
      <c r="AX72" s="188">
        <v>112.96810261144897</v>
      </c>
      <c r="AY72" s="188">
        <v>118.38128469844733</v>
      </c>
      <c r="AZ72" s="188">
        <v>120.35910614116368</v>
      </c>
      <c r="BA72" s="188">
        <v>130.08456385999412</v>
      </c>
      <c r="BB72" s="187">
        <v>129.88383705598</v>
      </c>
      <c r="BC72" s="188"/>
      <c r="BD72" s="188">
        <v>1.1124943949950061</v>
      </c>
      <c r="BE72" s="188">
        <v>1.1658233181609874</v>
      </c>
      <c r="BF72" s="188">
        <v>1.1852995222986344</v>
      </c>
      <c r="BG72" s="188">
        <v>1.2810009793603585</v>
      </c>
      <c r="BH72" s="187">
        <v>1.2790111720071109</v>
      </c>
    </row>
    <row r="73" spans="1:60" x14ac:dyDescent="0.2">
      <c r="A73" s="90" t="str">
        <f t="shared" si="76"/>
        <v>30-34</v>
      </c>
      <c r="B73" s="188">
        <v>59.746194470013975</v>
      </c>
      <c r="C73" s="188">
        <v>55.826048413105191</v>
      </c>
      <c r="D73" s="188">
        <v>52.687517039427384</v>
      </c>
      <c r="E73" s="188">
        <v>49.043992638223799</v>
      </c>
      <c r="F73" s="187">
        <v>42.215560181056873</v>
      </c>
      <c r="G73" s="188"/>
      <c r="H73" s="188">
        <v>19.460449413601172</v>
      </c>
      <c r="I73" s="188">
        <v>18.183578385321248</v>
      </c>
      <c r="J73" s="188">
        <v>17.161250414897957</v>
      </c>
      <c r="K73" s="188">
        <v>15.974514770585094</v>
      </c>
      <c r="L73" s="187">
        <v>13.750439228926275</v>
      </c>
      <c r="M73" s="188"/>
      <c r="N73" s="188">
        <v>40.285745056412807</v>
      </c>
      <c r="O73" s="188">
        <v>37.642470027783951</v>
      </c>
      <c r="P73" s="188">
        <v>35.526266624529427</v>
      </c>
      <c r="Q73" s="188">
        <v>33.069477867638696</v>
      </c>
      <c r="R73" s="187">
        <v>28.465120952130594</v>
      </c>
      <c r="S73" s="188"/>
      <c r="T73" s="188">
        <v>0</v>
      </c>
      <c r="U73" s="188">
        <v>0</v>
      </c>
      <c r="V73" s="188">
        <v>0</v>
      </c>
      <c r="W73" s="188">
        <v>0</v>
      </c>
      <c r="X73" s="187">
        <v>0</v>
      </c>
      <c r="Y73" s="90" t="str">
        <f t="shared" si="77"/>
        <v>30-34</v>
      </c>
      <c r="Z73" s="188">
        <v>143.97550755975615</v>
      </c>
      <c r="AA73" s="188">
        <v>143.04692062923695</v>
      </c>
      <c r="AB73" s="188">
        <v>150.54112992034914</v>
      </c>
      <c r="AC73" s="188">
        <v>160.10889854017847</v>
      </c>
      <c r="AD73" s="187">
        <v>177.21576862141688</v>
      </c>
      <c r="AE73" s="188"/>
      <c r="AF73" s="188">
        <v>134.51151244341474</v>
      </c>
      <c r="AG73" s="188">
        <v>133.6439199496856</v>
      </c>
      <c r="AH73" s="188">
        <v>140.64555798795368</v>
      </c>
      <c r="AI73" s="188">
        <v>149.58441151968711</v>
      </c>
      <c r="AJ73" s="187">
        <v>165.5667550636862</v>
      </c>
      <c r="AK73" s="188"/>
      <c r="AL73" s="188">
        <v>9.4639951163413958</v>
      </c>
      <c r="AM73" s="188">
        <v>9.4030006795513597</v>
      </c>
      <c r="AN73" s="188">
        <v>9.8955719323954607</v>
      </c>
      <c r="AO73" s="188">
        <v>10.524487020491364</v>
      </c>
      <c r="AP73" s="187">
        <v>11.649013557730687</v>
      </c>
      <c r="AQ73" s="90" t="str">
        <f t="shared" si="78"/>
        <v>30-34</v>
      </c>
      <c r="AR73" s="188">
        <v>126.29229797022987</v>
      </c>
      <c r="AS73" s="188">
        <v>134.62703095765789</v>
      </c>
      <c r="AT73" s="188">
        <v>139.10335304022348</v>
      </c>
      <c r="AU73" s="188">
        <v>148.01810882159774</v>
      </c>
      <c r="AV73" s="187">
        <v>167.58267119752625</v>
      </c>
      <c r="AW73" s="188"/>
      <c r="AX73" s="188">
        <v>122.95073277336256</v>
      </c>
      <c r="AY73" s="188">
        <v>131.06497700319039</v>
      </c>
      <c r="AZ73" s="188">
        <v>135.42281890028266</v>
      </c>
      <c r="BA73" s="188">
        <v>144.10171770063747</v>
      </c>
      <c r="BB73" s="187">
        <v>163.14861509949301</v>
      </c>
      <c r="BC73" s="188"/>
      <c r="BD73" s="188">
        <v>3.3415651968673079</v>
      </c>
      <c r="BE73" s="188">
        <v>3.5620539544675016</v>
      </c>
      <c r="BF73" s="188">
        <v>3.6805341399408</v>
      </c>
      <c r="BG73" s="188">
        <v>3.9163911209602649</v>
      </c>
      <c r="BH73" s="187">
        <v>4.434056098033226</v>
      </c>
    </row>
    <row r="74" spans="1:60" x14ac:dyDescent="0.2">
      <c r="A74" s="90" t="str">
        <f t="shared" si="76"/>
        <v>35-39</v>
      </c>
      <c r="B74" s="188">
        <v>72.389274390689224</v>
      </c>
      <c r="C74" s="188">
        <v>71.644104598988108</v>
      </c>
      <c r="D74" s="188">
        <v>56.546565915153813</v>
      </c>
      <c r="E74" s="188">
        <v>46.727112769454443</v>
      </c>
      <c r="F74" s="187">
        <v>36.765389039064232</v>
      </c>
      <c r="G74" s="188"/>
      <c r="H74" s="188">
        <v>22.092351099930109</v>
      </c>
      <c r="I74" s="188">
        <v>21.864916566985048</v>
      </c>
      <c r="J74" s="188">
        <v>17.257326348768249</v>
      </c>
      <c r="K74" s="188">
        <v>14.26057413503738</v>
      </c>
      <c r="L74" s="187">
        <v>11.220343143702051</v>
      </c>
      <c r="M74" s="188"/>
      <c r="N74" s="188">
        <v>50.296923290759125</v>
      </c>
      <c r="O74" s="188">
        <v>49.779188032003056</v>
      </c>
      <c r="P74" s="188">
        <v>39.289239566385561</v>
      </c>
      <c r="Q74" s="188">
        <v>32.466538634417063</v>
      </c>
      <c r="R74" s="187">
        <v>25.545045895362183</v>
      </c>
      <c r="S74" s="188"/>
      <c r="T74" s="188">
        <v>0</v>
      </c>
      <c r="U74" s="188">
        <v>0</v>
      </c>
      <c r="V74" s="188">
        <v>0</v>
      </c>
      <c r="W74" s="188">
        <v>0</v>
      </c>
      <c r="X74" s="187">
        <v>0</v>
      </c>
      <c r="Y74" s="90" t="str">
        <f t="shared" si="77"/>
        <v>35-39</v>
      </c>
      <c r="Z74" s="188">
        <v>168.36341500024318</v>
      </c>
      <c r="AA74" s="188">
        <v>149.22804572146893</v>
      </c>
      <c r="AB74" s="188">
        <v>145.3653492467291</v>
      </c>
      <c r="AC74" s="188">
        <v>157.84177384899948</v>
      </c>
      <c r="AD74" s="187">
        <v>170.08164787734725</v>
      </c>
      <c r="AE74" s="188"/>
      <c r="AF74" s="188">
        <v>158.73056855159768</v>
      </c>
      <c r="AG74" s="188">
        <v>140.68998106739087</v>
      </c>
      <c r="AH74" s="188">
        <v>137.0482794654304</v>
      </c>
      <c r="AI74" s="188">
        <v>148.81088905475639</v>
      </c>
      <c r="AJ74" s="187">
        <v>160.35047022072709</v>
      </c>
      <c r="AK74" s="188"/>
      <c r="AL74" s="188">
        <v>9.632846448645493</v>
      </c>
      <c r="AM74" s="188">
        <v>8.53806465407804</v>
      </c>
      <c r="AN74" s="188">
        <v>8.3170697812987289</v>
      </c>
      <c r="AO74" s="188">
        <v>9.0308847942430752</v>
      </c>
      <c r="AP74" s="187">
        <v>9.7311776566201527</v>
      </c>
      <c r="AQ74" s="90" t="str">
        <f t="shared" si="78"/>
        <v>35-39</v>
      </c>
      <c r="AR74" s="188">
        <v>130.00931060906763</v>
      </c>
      <c r="AS74" s="188">
        <v>141.63984967954292</v>
      </c>
      <c r="AT74" s="188">
        <v>140.96708483811705</v>
      </c>
      <c r="AU74" s="188">
        <v>156.05411338154607</v>
      </c>
      <c r="AV74" s="187">
        <v>171.1889630835885</v>
      </c>
      <c r="AW74" s="188"/>
      <c r="AX74" s="188">
        <v>126.80367098267918</v>
      </c>
      <c r="AY74" s="188">
        <v>138.14739398786907</v>
      </c>
      <c r="AZ74" s="188">
        <v>137.49128574990962</v>
      </c>
      <c r="BA74" s="188">
        <v>152.20632202622306</v>
      </c>
      <c r="BB74" s="187">
        <v>166.96792004521947</v>
      </c>
      <c r="BC74" s="188"/>
      <c r="BD74" s="188">
        <v>3.2056396263884279</v>
      </c>
      <c r="BE74" s="188">
        <v>3.4924556916738441</v>
      </c>
      <c r="BF74" s="188">
        <v>3.4757990882074257</v>
      </c>
      <c r="BG74" s="188">
        <v>3.8477913553230336</v>
      </c>
      <c r="BH74" s="187">
        <v>4.2210430383690394</v>
      </c>
    </row>
    <row r="75" spans="1:60" x14ac:dyDescent="0.2">
      <c r="A75" s="90" t="str">
        <f t="shared" si="76"/>
        <v>40-44</v>
      </c>
      <c r="B75" s="188">
        <v>93.704921018490225</v>
      </c>
      <c r="C75" s="188">
        <v>86.025081460274208</v>
      </c>
      <c r="D75" s="188">
        <v>64.749495706932109</v>
      </c>
      <c r="E75" s="188">
        <v>46.877352399091471</v>
      </c>
      <c r="F75" s="187">
        <v>36.022235674570041</v>
      </c>
      <c r="G75" s="188"/>
      <c r="H75" s="188">
        <v>28.726825295106707</v>
      </c>
      <c r="I75" s="188">
        <v>26.372500122799597</v>
      </c>
      <c r="J75" s="188">
        <v>19.850090685545279</v>
      </c>
      <c r="K75" s="188">
        <v>14.37105615293013</v>
      </c>
      <c r="L75" s="187">
        <v>11.043233820019529</v>
      </c>
      <c r="M75" s="188"/>
      <c r="N75" s="188">
        <v>64.978095723383518</v>
      </c>
      <c r="O75" s="188">
        <v>59.652581337474615</v>
      </c>
      <c r="P75" s="188">
        <v>44.899405021386841</v>
      </c>
      <c r="Q75" s="188">
        <v>32.506296246161341</v>
      </c>
      <c r="R75" s="187">
        <v>24.979001854550507</v>
      </c>
      <c r="S75" s="188"/>
      <c r="T75" s="188">
        <v>0</v>
      </c>
      <c r="U75" s="188">
        <v>0</v>
      </c>
      <c r="V75" s="188">
        <v>0</v>
      </c>
      <c r="W75" s="188">
        <v>0</v>
      </c>
      <c r="X75" s="187">
        <v>0</v>
      </c>
      <c r="Y75" s="90" t="str">
        <f t="shared" si="77"/>
        <v>40-44</v>
      </c>
      <c r="Z75" s="188">
        <v>164.09838718909504</v>
      </c>
      <c r="AA75" s="188">
        <v>154.9023270474899</v>
      </c>
      <c r="AB75" s="188">
        <v>149.73668224901951</v>
      </c>
      <c r="AC75" s="188">
        <v>152.17875641282711</v>
      </c>
      <c r="AD75" s="187">
        <v>165.42214209784782</v>
      </c>
      <c r="AE75" s="188"/>
      <c r="AF75" s="188">
        <v>156.03959735584664</v>
      </c>
      <c r="AG75" s="188">
        <v>147.29512638226808</v>
      </c>
      <c r="AH75" s="188">
        <v>142.38323098553826</v>
      </c>
      <c r="AI75" s="188">
        <v>144.70535111932526</v>
      </c>
      <c r="AJ75" s="187">
        <v>157.29833296840684</v>
      </c>
      <c r="AK75" s="188"/>
      <c r="AL75" s="188">
        <v>8.0587898332483814</v>
      </c>
      <c r="AM75" s="188">
        <v>7.6072006652217956</v>
      </c>
      <c r="AN75" s="188">
        <v>7.3534512634812508</v>
      </c>
      <c r="AO75" s="188">
        <v>7.4734052935018527</v>
      </c>
      <c r="AP75" s="187">
        <v>8.1238091294409802</v>
      </c>
      <c r="AQ75" s="90" t="str">
        <f t="shared" si="78"/>
        <v>40-44</v>
      </c>
      <c r="AR75" s="188">
        <v>126.01269179241478</v>
      </c>
      <c r="AS75" s="188">
        <v>132.67959149223591</v>
      </c>
      <c r="AT75" s="188">
        <v>143.37582204404833</v>
      </c>
      <c r="AU75" s="188">
        <v>148.33089118808141</v>
      </c>
      <c r="AV75" s="187">
        <v>163.98362222758209</v>
      </c>
      <c r="AW75" s="188"/>
      <c r="AX75" s="188">
        <v>123.30009020573293</v>
      </c>
      <c r="AY75" s="188">
        <v>129.8235193902282</v>
      </c>
      <c r="AZ75" s="188">
        <v>140.28954114726304</v>
      </c>
      <c r="BA75" s="188">
        <v>145.13792831010065</v>
      </c>
      <c r="BB75" s="187">
        <v>160.4537346018306</v>
      </c>
      <c r="BC75" s="188"/>
      <c r="BD75" s="188">
        <v>2.7126015866818696</v>
      </c>
      <c r="BE75" s="188">
        <v>2.85607210200773</v>
      </c>
      <c r="BF75" s="188">
        <v>3.0862808967852815</v>
      </c>
      <c r="BG75" s="188">
        <v>3.1929628779807668</v>
      </c>
      <c r="BH75" s="187">
        <v>3.5298876257514915</v>
      </c>
    </row>
    <row r="76" spans="1:60" x14ac:dyDescent="0.2">
      <c r="A76" s="90" t="str">
        <f t="shared" si="76"/>
        <v>45-49</v>
      </c>
      <c r="B76" s="188">
        <v>115.30181592604359</v>
      </c>
      <c r="C76" s="188">
        <v>109.33182845391168</v>
      </c>
      <c r="D76" s="188">
        <v>79.086091683348073</v>
      </c>
      <c r="E76" s="188">
        <v>61.499061829076247</v>
      </c>
      <c r="F76" s="187">
        <v>46.838498328679577</v>
      </c>
      <c r="G76" s="188"/>
      <c r="H76" s="188">
        <v>35.170555457916208</v>
      </c>
      <c r="I76" s="188">
        <v>33.349530919839154</v>
      </c>
      <c r="J76" s="188">
        <v>24.123666078720824</v>
      </c>
      <c r="K76" s="188">
        <v>18.759060670682956</v>
      </c>
      <c r="L76" s="187">
        <v>14.287158175019892</v>
      </c>
      <c r="M76" s="188"/>
      <c r="N76" s="188">
        <v>80.131260468127394</v>
      </c>
      <c r="O76" s="188">
        <v>75.982297534072529</v>
      </c>
      <c r="P76" s="188">
        <v>54.962425604627256</v>
      </c>
      <c r="Q76" s="188">
        <v>42.740001158393298</v>
      </c>
      <c r="R76" s="187">
        <v>32.55134015365968</v>
      </c>
      <c r="S76" s="188"/>
      <c r="T76" s="188">
        <v>0</v>
      </c>
      <c r="U76" s="188">
        <v>0</v>
      </c>
      <c r="V76" s="188">
        <v>0</v>
      </c>
      <c r="W76" s="188">
        <v>0</v>
      </c>
      <c r="X76" s="187">
        <v>0</v>
      </c>
      <c r="Y76" s="90" t="str">
        <f t="shared" si="77"/>
        <v>45-49</v>
      </c>
      <c r="Z76" s="188">
        <v>139.47645471921948</v>
      </c>
      <c r="AA76" s="188">
        <v>142.31555594986082</v>
      </c>
      <c r="AB76" s="188">
        <v>150.05821621827403</v>
      </c>
      <c r="AC76" s="188">
        <v>153.64746661870106</v>
      </c>
      <c r="AD76" s="187">
        <v>155.27997647346041</v>
      </c>
      <c r="AE76" s="188"/>
      <c r="AF76" s="188">
        <v>133.76971424566429</v>
      </c>
      <c r="AG76" s="188">
        <v>136.49269012868396</v>
      </c>
      <c r="AH76" s="188">
        <v>143.91849594775999</v>
      </c>
      <c r="AI76" s="188">
        <v>147.36094259416896</v>
      </c>
      <c r="AJ76" s="187">
        <v>148.92665752037087</v>
      </c>
      <c r="AK76" s="188"/>
      <c r="AL76" s="188">
        <v>5.7067404735551852</v>
      </c>
      <c r="AM76" s="188">
        <v>5.8228658211768556</v>
      </c>
      <c r="AN76" s="188">
        <v>6.1397202705140401</v>
      </c>
      <c r="AO76" s="188">
        <v>6.2865240245320777</v>
      </c>
      <c r="AP76" s="187">
        <v>6.3533189530895484</v>
      </c>
      <c r="AQ76" s="90" t="str">
        <f t="shared" si="78"/>
        <v>45-49</v>
      </c>
      <c r="AR76" s="188">
        <v>120.1197293547369</v>
      </c>
      <c r="AS76" s="188">
        <v>129.44461559622746</v>
      </c>
      <c r="AT76" s="188">
        <v>136.0726920983779</v>
      </c>
      <c r="AU76" s="188">
        <v>140.49347155222273</v>
      </c>
      <c r="AV76" s="187">
        <v>143.29652519786003</v>
      </c>
      <c r="AW76" s="188"/>
      <c r="AX76" s="188">
        <v>117.05294273548799</v>
      </c>
      <c r="AY76" s="188">
        <v>126.13980543389869</v>
      </c>
      <c r="AZ76" s="188">
        <v>132.59867152271417</v>
      </c>
      <c r="BA76" s="188">
        <v>136.90652744386634</v>
      </c>
      <c r="BB76" s="187">
        <v>139.63803926200524</v>
      </c>
      <c r="BC76" s="188"/>
      <c r="BD76" s="188">
        <v>3.0667866192489188</v>
      </c>
      <c r="BE76" s="188">
        <v>3.3048101623287747</v>
      </c>
      <c r="BF76" s="188">
        <v>3.4740205756637477</v>
      </c>
      <c r="BG76" s="188">
        <v>3.5869441083564158</v>
      </c>
      <c r="BH76" s="187">
        <v>3.6584859358547694</v>
      </c>
    </row>
    <row r="77" spans="1:60" x14ac:dyDescent="0.2">
      <c r="A77" s="90" t="str">
        <f t="shared" si="76"/>
        <v>50-54</v>
      </c>
      <c r="B77" s="188">
        <v>111.27520275605481</v>
      </c>
      <c r="C77" s="188">
        <v>116.43002391638842</v>
      </c>
      <c r="D77" s="188">
        <v>99.298446084176007</v>
      </c>
      <c r="E77" s="188">
        <v>84.486604991419114</v>
      </c>
      <c r="F77" s="187">
        <v>69.243878653988489</v>
      </c>
      <c r="G77" s="188"/>
      <c r="H77" s="188">
        <v>39.173130960659876</v>
      </c>
      <c r="I77" s="188">
        <v>40.987832117041947</v>
      </c>
      <c r="J77" s="188">
        <v>34.956838880438383</v>
      </c>
      <c r="K77" s="188">
        <v>29.742505447101941</v>
      </c>
      <c r="L77" s="187">
        <v>24.376494465649984</v>
      </c>
      <c r="M77" s="188"/>
      <c r="N77" s="188">
        <v>72.102071795394934</v>
      </c>
      <c r="O77" s="188">
        <v>75.442191799346489</v>
      </c>
      <c r="P77" s="188">
        <v>64.34160720373761</v>
      </c>
      <c r="Q77" s="188">
        <v>54.74409954431718</v>
      </c>
      <c r="R77" s="187">
        <v>44.867384188338512</v>
      </c>
      <c r="S77" s="188"/>
      <c r="T77" s="188">
        <v>0</v>
      </c>
      <c r="U77" s="188">
        <v>0</v>
      </c>
      <c r="V77" s="188">
        <v>0</v>
      </c>
      <c r="W77" s="188">
        <v>0</v>
      </c>
      <c r="X77" s="187">
        <v>0</v>
      </c>
      <c r="Y77" s="90" t="str">
        <f t="shared" si="77"/>
        <v>50-54</v>
      </c>
      <c r="Z77" s="188">
        <v>113.3960574955765</v>
      </c>
      <c r="AA77" s="188">
        <v>121.59249637417638</v>
      </c>
      <c r="AB77" s="188">
        <v>133.48105449911949</v>
      </c>
      <c r="AC77" s="188">
        <v>141.58741797337134</v>
      </c>
      <c r="AD77" s="187">
        <v>145.63112009368126</v>
      </c>
      <c r="AE77" s="188"/>
      <c r="AF77" s="188">
        <v>108.44421929852143</v>
      </c>
      <c r="AG77" s="188">
        <v>116.28270261170104</v>
      </c>
      <c r="AH77" s="188">
        <v>127.65209448250005</v>
      </c>
      <c r="AI77" s="188">
        <v>135.40448983032255</v>
      </c>
      <c r="AJ77" s="187">
        <v>139.27159339268175</v>
      </c>
      <c r="AK77" s="188"/>
      <c r="AL77" s="188">
        <v>4.9518381970550793</v>
      </c>
      <c r="AM77" s="188">
        <v>5.3097937624753415</v>
      </c>
      <c r="AN77" s="188">
        <v>5.828960016619444</v>
      </c>
      <c r="AO77" s="188">
        <v>6.1829281430488319</v>
      </c>
      <c r="AP77" s="187">
        <v>6.3595267009995187</v>
      </c>
      <c r="AQ77" s="90" t="str">
        <f t="shared" si="78"/>
        <v>50-54</v>
      </c>
      <c r="AR77" s="188">
        <v>95.512739748368674</v>
      </c>
      <c r="AS77" s="188">
        <v>104.88647970943516</v>
      </c>
      <c r="AT77" s="188">
        <v>127.31949941670452</v>
      </c>
      <c r="AU77" s="188">
        <v>134.10597703520958</v>
      </c>
      <c r="AV77" s="187">
        <v>137.3260012523302</v>
      </c>
      <c r="AW77" s="188"/>
      <c r="AX77" s="188">
        <v>92.592908798161787</v>
      </c>
      <c r="AY77" s="188">
        <v>101.68009864647333</v>
      </c>
      <c r="AZ77" s="188">
        <v>123.42737975287275</v>
      </c>
      <c r="BA77" s="188">
        <v>130.00642315954263</v>
      </c>
      <c r="BB77" s="187">
        <v>133.12800670973192</v>
      </c>
      <c r="BC77" s="188"/>
      <c r="BD77" s="188">
        <v>2.9198309502068871</v>
      </c>
      <c r="BE77" s="188">
        <v>3.2063810629618299</v>
      </c>
      <c r="BF77" s="188">
        <v>3.892119663831775</v>
      </c>
      <c r="BG77" s="188">
        <v>4.0995538756669365</v>
      </c>
      <c r="BH77" s="187">
        <v>4.1979945425982796</v>
      </c>
    </row>
    <row r="78" spans="1:60" x14ac:dyDescent="0.2">
      <c r="A78" s="90" t="str">
        <f t="shared" si="76"/>
        <v>55-59</v>
      </c>
      <c r="B78" s="188">
        <v>68.012091171952278</v>
      </c>
      <c r="C78" s="188">
        <v>76.192899119068656</v>
      </c>
      <c r="D78" s="188">
        <v>80.959107437946358</v>
      </c>
      <c r="E78" s="188">
        <v>80.741803905128123</v>
      </c>
      <c r="F78" s="187">
        <v>67.11887912992232</v>
      </c>
      <c r="G78" s="188"/>
      <c r="H78" s="188">
        <v>26.951872424022827</v>
      </c>
      <c r="I78" s="188">
        <v>30.193746005149503</v>
      </c>
      <c r="J78" s="188">
        <v>32.082502271621657</v>
      </c>
      <c r="K78" s="188">
        <v>31.996398811217055</v>
      </c>
      <c r="L78" s="187">
        <v>26.597935178999514</v>
      </c>
      <c r="M78" s="188"/>
      <c r="N78" s="188">
        <v>41.060218747929468</v>
      </c>
      <c r="O78" s="188">
        <v>45.999153113919157</v>
      </c>
      <c r="P78" s="188">
        <v>48.876605166324701</v>
      </c>
      <c r="Q78" s="188">
        <v>48.74540509391106</v>
      </c>
      <c r="R78" s="187">
        <v>40.520943950922806</v>
      </c>
      <c r="S78" s="188"/>
      <c r="T78" s="188">
        <v>0</v>
      </c>
      <c r="U78" s="188">
        <v>0</v>
      </c>
      <c r="V78" s="188">
        <v>0</v>
      </c>
      <c r="W78" s="188">
        <v>0</v>
      </c>
      <c r="X78" s="187">
        <v>0</v>
      </c>
      <c r="Y78" s="90" t="str">
        <f t="shared" si="77"/>
        <v>55-59</v>
      </c>
      <c r="Z78" s="188">
        <v>72.790478327088792</v>
      </c>
      <c r="AA78" s="188">
        <v>72.824377516205331</v>
      </c>
      <c r="AB78" s="188">
        <v>88.796407596616632</v>
      </c>
      <c r="AC78" s="188">
        <v>107.12135329397736</v>
      </c>
      <c r="AD78" s="187">
        <v>114.12115272286486</v>
      </c>
      <c r="AE78" s="188"/>
      <c r="AF78" s="188">
        <v>68.801294834834081</v>
      </c>
      <c r="AG78" s="188">
        <v>68.83331603311845</v>
      </c>
      <c r="AH78" s="188">
        <v>83.930009776338608</v>
      </c>
      <c r="AI78" s="188">
        <v>101.25067814642075</v>
      </c>
      <c r="AJ78" s="187">
        <v>107.86683113473264</v>
      </c>
      <c r="AK78" s="188"/>
      <c r="AL78" s="188">
        <v>3.9891834922546994</v>
      </c>
      <c r="AM78" s="188">
        <v>3.9910614830868849</v>
      </c>
      <c r="AN78" s="188">
        <v>4.8663978202780056</v>
      </c>
      <c r="AO78" s="188">
        <v>5.8706751475565877</v>
      </c>
      <c r="AP78" s="187">
        <v>6.2543215881322256</v>
      </c>
      <c r="AQ78" s="90" t="str">
        <f t="shared" si="78"/>
        <v>55-59</v>
      </c>
      <c r="AR78" s="188">
        <v>71.997430500958913</v>
      </c>
      <c r="AS78" s="188">
        <v>80.286723364726001</v>
      </c>
      <c r="AT78" s="188">
        <v>97.623484965437029</v>
      </c>
      <c r="AU78" s="188">
        <v>111.25484280089452</v>
      </c>
      <c r="AV78" s="187">
        <v>119.13196814721282</v>
      </c>
      <c r="AW78" s="188"/>
      <c r="AX78" s="188">
        <v>69.435486947844097</v>
      </c>
      <c r="AY78" s="188">
        <v>77.429759529039274</v>
      </c>
      <c r="AZ78" s="188">
        <v>94.149691730122299</v>
      </c>
      <c r="BA78" s="188">
        <v>107.29594200979159</v>
      </c>
      <c r="BB78" s="187">
        <v>114.89276509261856</v>
      </c>
      <c r="BC78" s="188"/>
      <c r="BD78" s="188">
        <v>2.5619435531148169</v>
      </c>
      <c r="BE78" s="188">
        <v>2.8569638356867268</v>
      </c>
      <c r="BF78" s="188">
        <v>3.4737932353147438</v>
      </c>
      <c r="BG78" s="188">
        <v>3.9589007911029319</v>
      </c>
      <c r="BH78" s="187">
        <v>4.2392030545942614</v>
      </c>
    </row>
    <row r="79" spans="1:60" x14ac:dyDescent="0.2">
      <c r="A79" s="90" t="str">
        <f t="shared" si="76"/>
        <v>60-64</v>
      </c>
      <c r="B79" s="188">
        <v>22.058986538549966</v>
      </c>
      <c r="C79" s="188">
        <v>25.725899636040516</v>
      </c>
      <c r="D79" s="188">
        <v>23.105090180247199</v>
      </c>
      <c r="E79" s="188">
        <v>23.482130526076944</v>
      </c>
      <c r="F79" s="187">
        <v>20.863456754363423</v>
      </c>
      <c r="G79" s="188"/>
      <c r="H79" s="188">
        <v>10.261625462059436</v>
      </c>
      <c r="I79" s="188">
        <v>11.967431555445883</v>
      </c>
      <c r="J79" s="188">
        <v>10.748274288790256</v>
      </c>
      <c r="K79" s="188">
        <v>10.923637169620605</v>
      </c>
      <c r="L79" s="187">
        <v>9.7054628731438477</v>
      </c>
      <c r="M79" s="188"/>
      <c r="N79" s="188">
        <v>11.797361076490528</v>
      </c>
      <c r="O79" s="188">
        <v>13.758468080594636</v>
      </c>
      <c r="P79" s="188">
        <v>12.356815891456941</v>
      </c>
      <c r="Q79" s="188">
        <v>12.558493356456339</v>
      </c>
      <c r="R79" s="187">
        <v>11.157993881219575</v>
      </c>
      <c r="S79" s="188"/>
      <c r="T79" s="188">
        <v>0</v>
      </c>
      <c r="U79" s="188">
        <v>0</v>
      </c>
      <c r="V79" s="188">
        <v>0</v>
      </c>
      <c r="W79" s="188">
        <v>0</v>
      </c>
      <c r="X79" s="187">
        <v>0</v>
      </c>
      <c r="Y79" s="90" t="str">
        <f t="shared" si="77"/>
        <v>60-64</v>
      </c>
      <c r="Z79" s="188">
        <v>19.033134372987352</v>
      </c>
      <c r="AA79" s="188">
        <v>23.139563185511207</v>
      </c>
      <c r="AB79" s="188">
        <v>29.062611970564706</v>
      </c>
      <c r="AC79" s="188">
        <v>37.775985439184019</v>
      </c>
      <c r="AD79" s="187">
        <v>45.699503561805081</v>
      </c>
      <c r="AE79" s="188"/>
      <c r="AF79" s="188">
        <v>18.159098770843201</v>
      </c>
      <c r="AG79" s="188">
        <v>22.076986233291766</v>
      </c>
      <c r="AH79" s="188">
        <v>27.728037414140051</v>
      </c>
      <c r="AI79" s="188">
        <v>36.041367319946715</v>
      </c>
      <c r="AJ79" s="187">
        <v>43.600996459396789</v>
      </c>
      <c r="AK79" s="188"/>
      <c r="AL79" s="188">
        <v>0.87403560214415288</v>
      </c>
      <c r="AM79" s="188">
        <v>1.0625769522194444</v>
      </c>
      <c r="AN79" s="188">
        <v>1.3345745564246547</v>
      </c>
      <c r="AO79" s="188">
        <v>1.7346181192372983</v>
      </c>
      <c r="AP79" s="187">
        <v>2.0985071024082935</v>
      </c>
      <c r="AQ79" s="90" t="str">
        <f t="shared" si="78"/>
        <v>60-64</v>
      </c>
      <c r="AR79" s="188">
        <v>28.502879088462684</v>
      </c>
      <c r="AS79" s="188">
        <v>37.330537178448267</v>
      </c>
      <c r="AT79" s="188">
        <v>46.611297849188091</v>
      </c>
      <c r="AU79" s="188">
        <v>59.348884034739037</v>
      </c>
      <c r="AV79" s="187">
        <v>72.006039683831503</v>
      </c>
      <c r="AW79" s="188"/>
      <c r="AX79" s="188">
        <v>26.621847428232694</v>
      </c>
      <c r="AY79" s="188">
        <v>34.866929781336395</v>
      </c>
      <c r="AZ79" s="188">
        <v>43.535121181596431</v>
      </c>
      <c r="BA79" s="188">
        <v>55.432075117845166</v>
      </c>
      <c r="BB79" s="187">
        <v>67.253939495670267</v>
      </c>
      <c r="BC79" s="188"/>
      <c r="BD79" s="188">
        <v>1.881031660229987</v>
      </c>
      <c r="BE79" s="188">
        <v>2.463607397111879</v>
      </c>
      <c r="BF79" s="188">
        <v>3.0761766675916631</v>
      </c>
      <c r="BG79" s="188">
        <v>3.9168089168938671</v>
      </c>
      <c r="BH79" s="187">
        <v>4.7521001881612417</v>
      </c>
    </row>
    <row r="80" spans="1:60" x14ac:dyDescent="0.2">
      <c r="A80" s="90" t="str">
        <f t="shared" si="76"/>
        <v>65+</v>
      </c>
      <c r="B80" s="188">
        <v>6.9211439895691509</v>
      </c>
      <c r="C80" s="188">
        <v>11.403315499909841</v>
      </c>
      <c r="D80" s="188">
        <v>10.028756519263442</v>
      </c>
      <c r="E80" s="188">
        <v>7.9572606059831097</v>
      </c>
      <c r="F80" s="187">
        <v>6.1556020468771537</v>
      </c>
      <c r="G80" s="188"/>
      <c r="H80" s="188">
        <v>3.3880153703013169</v>
      </c>
      <c r="I80" s="188">
        <v>5.5821599276043257</v>
      </c>
      <c r="J80" s="188">
        <v>4.9092330155000692</v>
      </c>
      <c r="K80" s="188">
        <v>3.8952339057066752</v>
      </c>
      <c r="L80" s="187">
        <v>3.0132549845592425</v>
      </c>
      <c r="M80" s="188"/>
      <c r="N80" s="188">
        <v>3.5331286192678335</v>
      </c>
      <c r="O80" s="188">
        <v>5.8211555723055133</v>
      </c>
      <c r="P80" s="188">
        <v>5.1195235037633742</v>
      </c>
      <c r="Q80" s="188">
        <v>4.0620267002764345</v>
      </c>
      <c r="R80" s="187">
        <v>3.1423470623179108</v>
      </c>
      <c r="S80" s="188"/>
      <c r="T80" s="188">
        <v>0</v>
      </c>
      <c r="U80" s="188">
        <v>0</v>
      </c>
      <c r="V80" s="188">
        <v>0</v>
      </c>
      <c r="W80" s="188">
        <v>0</v>
      </c>
      <c r="X80" s="187">
        <v>0</v>
      </c>
      <c r="Y80" s="90" t="str">
        <f t="shared" si="77"/>
        <v>65+</v>
      </c>
      <c r="Z80" s="188">
        <v>5.0779151858860399</v>
      </c>
      <c r="AA80" s="188">
        <v>5.8560125079035359</v>
      </c>
      <c r="AB80" s="188">
        <v>7.4475071119826133</v>
      </c>
      <c r="AC80" s="188">
        <v>8.0611678258540653</v>
      </c>
      <c r="AD80" s="187">
        <v>8.6521443263082798</v>
      </c>
      <c r="AE80" s="188"/>
      <c r="AF80" s="188">
        <v>4.4280912105889678</v>
      </c>
      <c r="AG80" s="188">
        <v>5.1066439452522596</v>
      </c>
      <c r="AH80" s="188">
        <v>6.4944416235841498</v>
      </c>
      <c r="AI80" s="188">
        <v>7.0296284480755258</v>
      </c>
      <c r="AJ80" s="187">
        <v>7.5449282666861546</v>
      </c>
      <c r="AK80" s="188"/>
      <c r="AL80" s="188">
        <v>0.64982397529707225</v>
      </c>
      <c r="AM80" s="188">
        <v>0.74936856265127538</v>
      </c>
      <c r="AN80" s="188">
        <v>0.95306548839846261</v>
      </c>
      <c r="AO80" s="188">
        <v>1.03153937777854</v>
      </c>
      <c r="AP80" s="187">
        <v>1.1072160596221259</v>
      </c>
      <c r="AQ80" s="90" t="str">
        <f t="shared" si="78"/>
        <v>65+</v>
      </c>
      <c r="AR80" s="188">
        <v>10.295940824544813</v>
      </c>
      <c r="AS80" s="188">
        <v>8.0706719921866217</v>
      </c>
      <c r="AT80" s="188">
        <v>14.988736368753946</v>
      </c>
      <c r="AU80" s="188">
        <v>18.053571568162823</v>
      </c>
      <c r="AV80" s="187">
        <v>21.595253626814571</v>
      </c>
      <c r="AW80" s="188"/>
      <c r="AX80" s="188">
        <v>9.5711093689595526</v>
      </c>
      <c r="AY80" s="188">
        <v>7.5024694874410747</v>
      </c>
      <c r="AZ80" s="188">
        <v>13.933474089451744</v>
      </c>
      <c r="BA80" s="188">
        <v>16.782613628155822</v>
      </c>
      <c r="BB80" s="187">
        <v>20.07497877515241</v>
      </c>
      <c r="BC80" s="188"/>
      <c r="BD80" s="188">
        <v>0.72483145558525974</v>
      </c>
      <c r="BE80" s="188">
        <v>0.5682025047455489</v>
      </c>
      <c r="BF80" s="188">
        <v>1.0552622793022017</v>
      </c>
      <c r="BG80" s="188">
        <v>1.2709579400070001</v>
      </c>
      <c r="BH80" s="187">
        <v>1.5202748516621645</v>
      </c>
    </row>
    <row r="81" spans="1:60" x14ac:dyDescent="0.2"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7"/>
      <c r="P81" s="187"/>
      <c r="Q81" s="187"/>
      <c r="R81" s="187"/>
      <c r="S81" s="187"/>
      <c r="T81" s="93"/>
      <c r="U81" s="93"/>
      <c r="V81" s="93"/>
      <c r="W81" s="93"/>
      <c r="X81" s="93"/>
      <c r="Z81" s="187"/>
      <c r="AA81" s="187"/>
      <c r="AB81" s="187"/>
      <c r="AC81" s="187"/>
      <c r="AD81" s="187"/>
      <c r="AE81" s="187"/>
      <c r="AF81" s="187"/>
      <c r="AG81" s="187"/>
      <c r="AH81" s="187"/>
      <c r="AI81" s="187"/>
      <c r="AJ81" s="187"/>
      <c r="AK81" s="187"/>
      <c r="AL81" s="187"/>
      <c r="AM81" s="187"/>
      <c r="AN81" s="187"/>
      <c r="AO81" s="187"/>
      <c r="AP81" s="187"/>
      <c r="AR81" s="188"/>
      <c r="AS81" s="188"/>
      <c r="AT81" s="188"/>
      <c r="AU81" s="188"/>
      <c r="AV81" s="187"/>
      <c r="AW81" s="187"/>
      <c r="AX81" s="187"/>
      <c r="AY81" s="187"/>
      <c r="AZ81" s="187"/>
      <c r="BA81" s="187"/>
      <c r="BB81" s="187"/>
      <c r="BC81" s="187"/>
      <c r="BD81" s="187"/>
      <c r="BE81" s="187"/>
      <c r="BF81" s="187"/>
      <c r="BG81" s="187"/>
      <c r="BH81" s="187"/>
    </row>
    <row r="82" spans="1:60" x14ac:dyDescent="0.2">
      <c r="A82" s="113" t="str">
        <f>A34</f>
        <v>Females</v>
      </c>
      <c r="B82" s="187"/>
      <c r="C82" s="187"/>
      <c r="D82" s="187"/>
      <c r="E82" s="187"/>
      <c r="F82" s="187"/>
      <c r="G82" s="187"/>
      <c r="H82" s="187"/>
      <c r="I82" s="187"/>
      <c r="J82" s="187"/>
      <c r="K82" s="187"/>
      <c r="L82" s="187"/>
      <c r="M82" s="187"/>
      <c r="N82" s="187"/>
      <c r="O82" s="187"/>
      <c r="P82" s="187"/>
      <c r="Q82" s="187"/>
      <c r="R82" s="187"/>
      <c r="S82" s="187"/>
      <c r="T82" s="93"/>
      <c r="U82" s="93"/>
      <c r="V82" s="93"/>
      <c r="W82" s="93"/>
      <c r="X82" s="93"/>
      <c r="Y82" s="113" t="str">
        <f>Y34</f>
        <v>Females</v>
      </c>
      <c r="Z82" s="187"/>
      <c r="AA82" s="187"/>
      <c r="AB82" s="187"/>
      <c r="AC82" s="187"/>
      <c r="AD82" s="187"/>
      <c r="AE82" s="187"/>
      <c r="AF82" s="187"/>
      <c r="AG82" s="187"/>
      <c r="AH82" s="187"/>
      <c r="AI82" s="187"/>
      <c r="AJ82" s="187"/>
      <c r="AK82" s="187"/>
      <c r="AL82" s="187"/>
      <c r="AM82" s="187"/>
      <c r="AN82" s="187"/>
      <c r="AO82" s="187"/>
      <c r="AP82" s="187"/>
      <c r="AQ82" s="113" t="str">
        <f>AQ34</f>
        <v>Females</v>
      </c>
      <c r="AR82" s="93"/>
      <c r="AS82" s="93"/>
      <c r="AT82" s="93"/>
      <c r="AU82" s="93"/>
      <c r="AV82" s="187"/>
      <c r="AW82" s="187"/>
      <c r="AX82" s="187"/>
      <c r="AY82" s="187"/>
      <c r="AZ82" s="187"/>
      <c r="BA82" s="187"/>
      <c r="BB82" s="187"/>
      <c r="BC82" s="187"/>
      <c r="BD82" s="187"/>
      <c r="BE82" s="187"/>
      <c r="BF82" s="187"/>
      <c r="BG82" s="187"/>
      <c r="BH82" s="187"/>
    </row>
    <row r="83" spans="1:60" x14ac:dyDescent="0.2">
      <c r="A83" s="90" t="str">
        <f>A35</f>
        <v>15+</v>
      </c>
      <c r="B83" s="188">
        <f>SUM(B84:B94)</f>
        <v>423.06360139942507</v>
      </c>
      <c r="C83" s="188">
        <f t="shared" ref="C83:F83" si="79">SUM(C84:C94)</f>
        <v>420.02944292320001</v>
      </c>
      <c r="D83" s="188">
        <f t="shared" si="79"/>
        <v>340.32430055838188</v>
      </c>
      <c r="E83" s="188">
        <f t="shared" si="79"/>
        <v>280.86469102706656</v>
      </c>
      <c r="F83" s="188">
        <f t="shared" si="79"/>
        <v>223.76680386266278</v>
      </c>
      <c r="G83" s="188"/>
      <c r="H83" s="188">
        <f>SUM(H84:H94)</f>
        <v>145.89694047973552</v>
      </c>
      <c r="I83" s="188">
        <f t="shared" ref="I83:L83" si="80">SUM(I84:I94)</f>
        <v>145.07481013301967</v>
      </c>
      <c r="J83" s="188">
        <f t="shared" si="80"/>
        <v>119.0698940829858</v>
      </c>
      <c r="K83" s="188">
        <f t="shared" si="80"/>
        <v>97.685423606672089</v>
      </c>
      <c r="L83" s="188">
        <f t="shared" si="80"/>
        <v>77.126697351246889</v>
      </c>
      <c r="M83" s="188"/>
      <c r="N83" s="188">
        <f>SUM(N84:N94)</f>
        <v>277.16666091968955</v>
      </c>
      <c r="O83" s="188">
        <f t="shared" ref="O83:R83" si="81">SUM(O84:O94)</f>
        <v>274.95463279018031</v>
      </c>
      <c r="P83" s="188">
        <f t="shared" si="81"/>
        <v>221.25440647539608</v>
      </c>
      <c r="Q83" s="188">
        <f t="shared" si="81"/>
        <v>183.17926742039447</v>
      </c>
      <c r="R83" s="188">
        <f t="shared" si="81"/>
        <v>146.64010651141589</v>
      </c>
      <c r="S83" s="188"/>
      <c r="T83" s="188">
        <f>SUM(T84:T94)</f>
        <v>0</v>
      </c>
      <c r="U83" s="188">
        <f t="shared" ref="U83:X83" si="82">SUM(U84:U94)</f>
        <v>0</v>
      </c>
      <c r="V83" s="188">
        <f t="shared" si="82"/>
        <v>0</v>
      </c>
      <c r="W83" s="188">
        <f t="shared" si="82"/>
        <v>0</v>
      </c>
      <c r="X83" s="188">
        <f t="shared" si="82"/>
        <v>0</v>
      </c>
      <c r="Y83" s="90" t="str">
        <f>Y35</f>
        <v>15+</v>
      </c>
      <c r="Z83" s="188">
        <f>SUM(Z84:Z94)</f>
        <v>835.78959562739158</v>
      </c>
      <c r="AA83" s="188">
        <f t="shared" ref="AA83:AD83" si="83">SUM(AA84:AA94)</f>
        <v>817.71951299037789</v>
      </c>
      <c r="AB83" s="188">
        <f t="shared" si="83"/>
        <v>833.46122225056911</v>
      </c>
      <c r="AC83" s="188">
        <f t="shared" si="83"/>
        <v>872.7568149707464</v>
      </c>
      <c r="AD83" s="188">
        <f t="shared" si="83"/>
        <v>906.76405425389191</v>
      </c>
      <c r="AE83" s="188"/>
      <c r="AF83" s="188">
        <f>SUM(AF84:AF94)</f>
        <v>775.49874803920272</v>
      </c>
      <c r="AG83" s="188">
        <f t="shared" ref="AG83:AJ83" si="84">SUM(AG84:AG94)</f>
        <v>758.80872601036992</v>
      </c>
      <c r="AH83" s="188">
        <f t="shared" si="84"/>
        <v>773.5162619397023</v>
      </c>
      <c r="AI83" s="188">
        <f t="shared" si="84"/>
        <v>810.06846896436525</v>
      </c>
      <c r="AJ83" s="188">
        <f t="shared" si="84"/>
        <v>841.89337685638475</v>
      </c>
      <c r="AK83" s="188"/>
      <c r="AL83" s="188">
        <f>SUM(AL84:AL94)</f>
        <v>60.29084758818869</v>
      </c>
      <c r="AM83" s="188">
        <f t="shared" ref="AM83:AP83" si="85">SUM(AM84:AM94)</f>
        <v>58.910786980008034</v>
      </c>
      <c r="AN83" s="188">
        <f t="shared" si="85"/>
        <v>59.944960310866939</v>
      </c>
      <c r="AO83" s="188">
        <f t="shared" si="85"/>
        <v>62.688346006381188</v>
      </c>
      <c r="AP83" s="188">
        <f t="shared" si="85"/>
        <v>64.870677397506995</v>
      </c>
      <c r="AQ83" s="90" t="str">
        <f>AQ35</f>
        <v>15+</v>
      </c>
      <c r="AR83" s="188">
        <f>SUM(AR84:AR94)</f>
        <v>889.40880297318358</v>
      </c>
      <c r="AS83" s="188">
        <f t="shared" ref="AS83:AV83" si="86">SUM(AS84:AS94)</f>
        <v>982.33504408642204</v>
      </c>
      <c r="AT83" s="188">
        <f t="shared" si="86"/>
        <v>1108.5044771910491</v>
      </c>
      <c r="AU83" s="188">
        <f t="shared" si="86"/>
        <v>1230.8314940021869</v>
      </c>
      <c r="AV83" s="188">
        <f t="shared" si="86"/>
        <v>1348.9681418834455</v>
      </c>
      <c r="AW83" s="188"/>
      <c r="AX83" s="188">
        <f>SUM(AX84:AX94)</f>
        <v>879.74824720033962</v>
      </c>
      <c r="AY83" s="188">
        <f t="shared" ref="AY83:BB83" si="87">SUM(AY84:AY94)</f>
        <v>971.10421223711137</v>
      </c>
      <c r="AZ83" s="188">
        <f t="shared" si="87"/>
        <v>1095.1677547026629</v>
      </c>
      <c r="BA83" s="188">
        <f t="shared" si="87"/>
        <v>1216.0188704547381</v>
      </c>
      <c r="BB83" s="188">
        <f t="shared" si="87"/>
        <v>1332.3320678155631</v>
      </c>
      <c r="BC83" s="188"/>
      <c r="BD83" s="188">
        <f>SUM(BD84:BD94)</f>
        <v>9.6605557728437574</v>
      </c>
      <c r="BE83" s="188">
        <f t="shared" ref="BE83:BH83" si="88">SUM(BE84:BE94)</f>
        <v>11.105764362713181</v>
      </c>
      <c r="BF83" s="188">
        <f t="shared" si="88"/>
        <v>13.018684577213577</v>
      </c>
      <c r="BG83" s="188">
        <f t="shared" si="88"/>
        <v>14.812623547448824</v>
      </c>
      <c r="BH83" s="188">
        <f t="shared" si="88"/>
        <v>16.636074067882518</v>
      </c>
    </row>
    <row r="84" spans="1:60" x14ac:dyDescent="0.2">
      <c r="A84" s="90" t="str">
        <f t="shared" ref="A84:A94" si="89">A36</f>
        <v>15-19</v>
      </c>
      <c r="B84" s="188">
        <v>11.952178011992856</v>
      </c>
      <c r="C84" s="188">
        <v>13.402887260222242</v>
      </c>
      <c r="D84" s="188">
        <v>10.497400074288828</v>
      </c>
      <c r="E84" s="188">
        <v>10.487079759394881</v>
      </c>
      <c r="F84" s="187">
        <v>11.380731286753464</v>
      </c>
      <c r="G84" s="187"/>
      <c r="H84" s="188">
        <v>1.9311383476471966</v>
      </c>
      <c r="I84" s="188">
        <v>2.1654425866600273</v>
      </c>
      <c r="J84" s="188">
        <v>1.6960330233653167</v>
      </c>
      <c r="K84" s="188">
        <v>1.6944183086206663</v>
      </c>
      <c r="L84" s="187">
        <v>1.8387489146198699</v>
      </c>
      <c r="M84" s="187"/>
      <c r="N84" s="188">
        <v>10.021039664345659</v>
      </c>
      <c r="O84" s="188">
        <v>11.237444673562216</v>
      </c>
      <c r="P84" s="188">
        <v>8.8013670509235116</v>
      </c>
      <c r="Q84" s="188">
        <v>8.7926614507742151</v>
      </c>
      <c r="R84" s="187">
        <v>9.5419823721335941</v>
      </c>
      <c r="S84" s="187"/>
      <c r="T84" s="188">
        <v>0</v>
      </c>
      <c r="U84" s="188">
        <v>0</v>
      </c>
      <c r="V84" s="188">
        <v>0</v>
      </c>
      <c r="W84" s="188">
        <v>0</v>
      </c>
      <c r="X84" s="187">
        <v>0</v>
      </c>
      <c r="Y84" s="90" t="str">
        <f t="shared" ref="Y84:Y94" si="90">Y36</f>
        <v>15-19</v>
      </c>
      <c r="Z84" s="188">
        <v>10.828592838586953</v>
      </c>
      <c r="AA84" s="188">
        <v>10.260045253180333</v>
      </c>
      <c r="AB84" s="188">
        <v>8.3705620145386224</v>
      </c>
      <c r="AC84" s="188">
        <v>8.9334389435199988</v>
      </c>
      <c r="AD84" s="187">
        <v>10.306241587925554</v>
      </c>
      <c r="AE84" s="187"/>
      <c r="AF84" s="188">
        <v>10.269940466538486</v>
      </c>
      <c r="AG84" s="188">
        <v>9.7306883630573378</v>
      </c>
      <c r="AH84" s="188">
        <v>7.9386523921141237</v>
      </c>
      <c r="AI84" s="188">
        <v>8.4725263317021824</v>
      </c>
      <c r="AJ84" s="187">
        <v>9.7745223494256592</v>
      </c>
      <c r="AK84" s="187"/>
      <c r="AL84" s="188">
        <v>0.55865237204846663</v>
      </c>
      <c r="AM84" s="188">
        <v>0.52935689012299614</v>
      </c>
      <c r="AN84" s="188">
        <v>0.43190962242449843</v>
      </c>
      <c r="AO84" s="188">
        <v>0.46091261181781773</v>
      </c>
      <c r="AP84" s="187">
        <v>0.53171923849989433</v>
      </c>
      <c r="AQ84" s="90" t="str">
        <f t="shared" ref="AQ84:AQ94" si="91">AQ36</f>
        <v>15-19</v>
      </c>
      <c r="AR84" s="188">
        <v>0.12322914942019014</v>
      </c>
      <c r="AS84" s="188">
        <v>0.12506748659742103</v>
      </c>
      <c r="AT84" s="188">
        <v>0.31803791117255348</v>
      </c>
      <c r="AU84" s="188">
        <v>0.32248129708511647</v>
      </c>
      <c r="AV84" s="187">
        <v>0.3530271253209819</v>
      </c>
      <c r="AW84" s="187"/>
      <c r="AX84" s="188">
        <v>0.12322914942019014</v>
      </c>
      <c r="AY84" s="188">
        <v>0</v>
      </c>
      <c r="AZ84" s="188">
        <v>0</v>
      </c>
      <c r="BA84" s="188">
        <v>0.32248129708511647</v>
      </c>
      <c r="BB84" s="187">
        <v>0.3530271253209819</v>
      </c>
      <c r="BC84" s="187"/>
      <c r="BD84" s="188">
        <v>0</v>
      </c>
      <c r="BE84" s="188">
        <v>0</v>
      </c>
      <c r="BF84" s="188">
        <v>0</v>
      </c>
      <c r="BG84" s="188">
        <v>0</v>
      </c>
      <c r="BH84" s="187">
        <v>0</v>
      </c>
    </row>
    <row r="85" spans="1:60" x14ac:dyDescent="0.2">
      <c r="A85" s="90" t="str">
        <f t="shared" si="89"/>
        <v>20-24</v>
      </c>
      <c r="B85" s="188">
        <v>27.162073940488085</v>
      </c>
      <c r="C85" s="188">
        <v>25.818959473458939</v>
      </c>
      <c r="D85" s="188">
        <v>19.430418992506574</v>
      </c>
      <c r="E85" s="188">
        <v>17.065770140454763</v>
      </c>
      <c r="F85" s="187">
        <v>15.339491201948526</v>
      </c>
      <c r="G85" s="187"/>
      <c r="H85" s="188">
        <v>7.738175779416105</v>
      </c>
      <c r="I85" s="188">
        <v>7.3555159173417479</v>
      </c>
      <c r="J85" s="188">
        <v>5.5355294417133862</v>
      </c>
      <c r="K85" s="188">
        <v>4.8618655592881783</v>
      </c>
      <c r="L85" s="187">
        <v>4.370057954996903</v>
      </c>
      <c r="M85" s="187"/>
      <c r="N85" s="188">
        <v>19.423898161071982</v>
      </c>
      <c r="O85" s="188">
        <v>18.463443556117188</v>
      </c>
      <c r="P85" s="188">
        <v>13.894889550793188</v>
      </c>
      <c r="Q85" s="188">
        <v>12.203904581166585</v>
      </c>
      <c r="R85" s="187">
        <v>10.96943324695162</v>
      </c>
      <c r="S85" s="187"/>
      <c r="T85" s="188">
        <v>0</v>
      </c>
      <c r="U85" s="188">
        <v>0</v>
      </c>
      <c r="V85" s="188">
        <v>0</v>
      </c>
      <c r="W85" s="188">
        <v>0</v>
      </c>
      <c r="X85" s="187">
        <v>0</v>
      </c>
      <c r="Y85" s="90" t="str">
        <f t="shared" si="90"/>
        <v>20-24</v>
      </c>
      <c r="Z85" s="188">
        <v>83.029902962100564</v>
      </c>
      <c r="AA85" s="188">
        <v>84.099064086151856</v>
      </c>
      <c r="AB85" s="188">
        <v>75.456016390238844</v>
      </c>
      <c r="AC85" s="188">
        <v>72.409581167242635</v>
      </c>
      <c r="AD85" s="187">
        <v>70.925077672432323</v>
      </c>
      <c r="AE85" s="187"/>
      <c r="AF85" s="188">
        <v>74.996139409236491</v>
      </c>
      <c r="AG85" s="188">
        <v>75.961913287114783</v>
      </c>
      <c r="AH85" s="188">
        <v>68.155149094152151</v>
      </c>
      <c r="AI85" s="188">
        <v>65.403445863093296</v>
      </c>
      <c r="AJ85" s="187">
        <v>64.062544551136526</v>
      </c>
      <c r="AK85" s="187"/>
      <c r="AL85" s="188">
        <v>8.0337635528640625</v>
      </c>
      <c r="AM85" s="188">
        <v>8.1371507990370748</v>
      </c>
      <c r="AN85" s="188">
        <v>7.3008672960866994</v>
      </c>
      <c r="AO85" s="188">
        <v>7.0061353041493399</v>
      </c>
      <c r="AP85" s="187">
        <v>6.8625331212957974</v>
      </c>
      <c r="AQ85" s="90" t="str">
        <f t="shared" si="91"/>
        <v>20-24</v>
      </c>
      <c r="AR85" s="188">
        <v>64.096023097411347</v>
      </c>
      <c r="AS85" s="188">
        <v>59.5749764403892</v>
      </c>
      <c r="AT85" s="188">
        <v>64.928564617254594</v>
      </c>
      <c r="AU85" s="188">
        <v>69.876648692302624</v>
      </c>
      <c r="AV85" s="187">
        <v>76.967431125619157</v>
      </c>
      <c r="AW85" s="187"/>
      <c r="AX85" s="188">
        <v>63.936315058758787</v>
      </c>
      <c r="AY85" s="188">
        <v>59.426553735923072</v>
      </c>
      <c r="AZ85" s="188">
        <v>64.766758302259873</v>
      </c>
      <c r="BA85" s="188">
        <v>69.702519316956455</v>
      </c>
      <c r="BB85" s="187">
        <v>76.775653915926199</v>
      </c>
      <c r="BC85" s="187"/>
      <c r="BD85" s="188">
        <v>0.1597080386525653</v>
      </c>
      <c r="BE85" s="188">
        <v>0.14842270446612335</v>
      </c>
      <c r="BF85" s="188">
        <v>0.16180631499472672</v>
      </c>
      <c r="BG85" s="188">
        <v>0.17412937534616696</v>
      </c>
      <c r="BH85" s="187">
        <v>0.19177720969295214</v>
      </c>
    </row>
    <row r="86" spans="1:60" x14ac:dyDescent="0.2">
      <c r="A86" s="90" t="str">
        <f t="shared" si="89"/>
        <v>25-29</v>
      </c>
      <c r="B86" s="188">
        <v>28.972672566594831</v>
      </c>
      <c r="C86" s="188">
        <v>33.619340539542968</v>
      </c>
      <c r="D86" s="188">
        <v>28.636722146171739</v>
      </c>
      <c r="E86" s="188">
        <v>27.654766165607402</v>
      </c>
      <c r="F86" s="187">
        <v>24.701036177168444</v>
      </c>
      <c r="G86" s="187"/>
      <c r="H86" s="188">
        <v>7.950704122039733</v>
      </c>
      <c r="I86" s="188">
        <v>9.2258401283768823</v>
      </c>
      <c r="J86" s="188">
        <v>7.8585514263485647</v>
      </c>
      <c r="K86" s="188">
        <v>7.589044948115105</v>
      </c>
      <c r="L86" s="187">
        <v>6.778482350960795</v>
      </c>
      <c r="M86" s="187"/>
      <c r="N86" s="188">
        <v>21.021968444555103</v>
      </c>
      <c r="O86" s="188">
        <v>24.393500411166084</v>
      </c>
      <c r="P86" s="188">
        <v>20.778170719823173</v>
      </c>
      <c r="Q86" s="188">
        <v>20.065721217492296</v>
      </c>
      <c r="R86" s="187">
        <v>17.922553826207647</v>
      </c>
      <c r="S86" s="187"/>
      <c r="T86" s="188">
        <v>0</v>
      </c>
      <c r="U86" s="188">
        <v>0</v>
      </c>
      <c r="V86" s="188">
        <v>0</v>
      </c>
      <c r="W86" s="188">
        <v>0</v>
      </c>
      <c r="X86" s="187">
        <v>0</v>
      </c>
      <c r="Y86" s="90" t="str">
        <f t="shared" si="90"/>
        <v>25-29</v>
      </c>
      <c r="Z86" s="188">
        <v>104.35741449365315</v>
      </c>
      <c r="AA86" s="188">
        <v>97.185337610544352</v>
      </c>
      <c r="AB86" s="188">
        <v>95.599811894115447</v>
      </c>
      <c r="AC86" s="188">
        <v>97.118545376405621</v>
      </c>
      <c r="AD86" s="187">
        <v>91.712418531394292</v>
      </c>
      <c r="AE86" s="187"/>
      <c r="AF86" s="188">
        <v>94.421539979508964</v>
      </c>
      <c r="AG86" s="188">
        <v>87.932329636056579</v>
      </c>
      <c r="AH86" s="188">
        <v>86.497719374499709</v>
      </c>
      <c r="AI86" s="188">
        <v>87.87184276496231</v>
      </c>
      <c r="AJ86" s="187">
        <v>82.980425552523215</v>
      </c>
      <c r="AK86" s="187"/>
      <c r="AL86" s="188">
        <v>9.9358745141441993</v>
      </c>
      <c r="AM86" s="188">
        <v>9.2530079744877742</v>
      </c>
      <c r="AN86" s="188">
        <v>9.1020925196157414</v>
      </c>
      <c r="AO86" s="188">
        <v>9.2467026114433057</v>
      </c>
      <c r="AP86" s="187">
        <v>8.7319929788710677</v>
      </c>
      <c r="AQ86" s="90" t="str">
        <f t="shared" si="91"/>
        <v>25-29</v>
      </c>
      <c r="AR86" s="188">
        <v>154.57691293975205</v>
      </c>
      <c r="AS86" s="188">
        <v>158.68732184991271</v>
      </c>
      <c r="AT86" s="188">
        <v>170.7534659597128</v>
      </c>
      <c r="AU86" s="188">
        <v>191.50468845798702</v>
      </c>
      <c r="AV86" s="187">
        <v>199.18454529143727</v>
      </c>
      <c r="AW86" s="187"/>
      <c r="AX86" s="188">
        <v>153.36078875627214</v>
      </c>
      <c r="AY86" s="188">
        <v>157.4389010397588</v>
      </c>
      <c r="AZ86" s="188">
        <v>169.41011412348425</v>
      </c>
      <c r="BA86" s="188">
        <v>189.99801160263456</v>
      </c>
      <c r="BB86" s="187">
        <v>197.61746925057139</v>
      </c>
      <c r="BC86" s="187"/>
      <c r="BD86" s="188">
        <v>1.216124183479921</v>
      </c>
      <c r="BE86" s="188">
        <v>1.2484208101538898</v>
      </c>
      <c r="BF86" s="188">
        <v>1.3433518362285748</v>
      </c>
      <c r="BG86" s="188">
        <v>1.5066768553524434</v>
      </c>
      <c r="BH86" s="187">
        <v>1.5670760408658764</v>
      </c>
    </row>
    <row r="87" spans="1:60" x14ac:dyDescent="0.2">
      <c r="A87" s="90" t="str">
        <f t="shared" si="89"/>
        <v>30-34</v>
      </c>
      <c r="B87" s="188">
        <v>28.548429106302432</v>
      </c>
      <c r="C87" s="188">
        <v>33.358134400600257</v>
      </c>
      <c r="D87" s="188">
        <v>26.133347885177166</v>
      </c>
      <c r="E87" s="188">
        <v>24.365255828037625</v>
      </c>
      <c r="F87" s="187">
        <v>20.217650831183683</v>
      </c>
      <c r="G87" s="187"/>
      <c r="H87" s="188">
        <v>8.8494100941278067</v>
      </c>
      <c r="I87" s="188">
        <v>10.340333649356303</v>
      </c>
      <c r="J87" s="188">
        <v>8.1007469331818331</v>
      </c>
      <c r="K87" s="188">
        <v>7.5527322076666525</v>
      </c>
      <c r="L87" s="187">
        <v>6.2670936294528277</v>
      </c>
      <c r="M87" s="187"/>
      <c r="N87" s="188">
        <v>19.699019012174627</v>
      </c>
      <c r="O87" s="188">
        <v>23.017800751243954</v>
      </c>
      <c r="P87" s="188">
        <v>18.032600951995331</v>
      </c>
      <c r="Q87" s="188">
        <v>16.812523620370971</v>
      </c>
      <c r="R87" s="187">
        <v>13.950557201730856</v>
      </c>
      <c r="S87" s="187"/>
      <c r="T87" s="188">
        <v>0</v>
      </c>
      <c r="U87" s="188">
        <v>0</v>
      </c>
      <c r="V87" s="188">
        <v>0</v>
      </c>
      <c r="W87" s="188">
        <v>0</v>
      </c>
      <c r="X87" s="187">
        <v>0</v>
      </c>
      <c r="Y87" s="90" t="str">
        <f t="shared" si="90"/>
        <v>30-34</v>
      </c>
      <c r="Z87" s="188">
        <v>108.05302506717383</v>
      </c>
      <c r="AA87" s="188">
        <v>98.910651662683122</v>
      </c>
      <c r="AB87" s="188">
        <v>99.823038706554627</v>
      </c>
      <c r="AC87" s="188">
        <v>99.91027324420439</v>
      </c>
      <c r="AD87" s="187">
        <v>100.65577680822747</v>
      </c>
      <c r="AE87" s="187"/>
      <c r="AF87" s="188">
        <v>98.864662354008289</v>
      </c>
      <c r="AG87" s="188">
        <v>90.499770716250708</v>
      </c>
      <c r="AH87" s="188">
        <v>91.334572918369915</v>
      </c>
      <c r="AI87" s="188">
        <v>91.414386042419594</v>
      </c>
      <c r="AJ87" s="187">
        <v>92.096473466363605</v>
      </c>
      <c r="AK87" s="187"/>
      <c r="AL87" s="188">
        <v>9.1883627131655423</v>
      </c>
      <c r="AM87" s="188">
        <v>8.4108809464324228</v>
      </c>
      <c r="AN87" s="188">
        <v>8.4884657881847136</v>
      </c>
      <c r="AO87" s="188">
        <v>8.4958872017847948</v>
      </c>
      <c r="AP87" s="187">
        <v>8.5593033418638793</v>
      </c>
      <c r="AQ87" s="90" t="str">
        <f t="shared" si="91"/>
        <v>30-34</v>
      </c>
      <c r="AR87" s="188">
        <v>154.40154582652374</v>
      </c>
      <c r="AS87" s="188">
        <v>164.11921393671662</v>
      </c>
      <c r="AT87" s="188">
        <v>176.72761340826818</v>
      </c>
      <c r="AU87" s="188">
        <v>194.300470927758</v>
      </c>
      <c r="AV87" s="187">
        <v>216.50257236058886</v>
      </c>
      <c r="AW87" s="187"/>
      <c r="AX87" s="188">
        <v>152.67917871565837</v>
      </c>
      <c r="AY87" s="188">
        <v>162.28847354227025</v>
      </c>
      <c r="AZ87" s="188">
        <v>174.75627406499731</v>
      </c>
      <c r="BA87" s="188">
        <v>192.1331101550017</v>
      </c>
      <c r="BB87" s="187">
        <v>214.08754627952416</v>
      </c>
      <c r="BC87" s="187"/>
      <c r="BD87" s="188">
        <v>1.7223671108653775</v>
      </c>
      <c r="BE87" s="188">
        <v>1.8307403944463407</v>
      </c>
      <c r="BF87" s="188">
        <v>1.9713393432708828</v>
      </c>
      <c r="BG87" s="188">
        <v>2.1673607727562971</v>
      </c>
      <c r="BH87" s="187">
        <v>2.415026081064688</v>
      </c>
    </row>
    <row r="88" spans="1:60" x14ac:dyDescent="0.2">
      <c r="A88" s="90" t="str">
        <f t="shared" si="89"/>
        <v>35-39</v>
      </c>
      <c r="B88" s="188">
        <v>44.016457260235349</v>
      </c>
      <c r="C88" s="188">
        <v>39.976771904202742</v>
      </c>
      <c r="D88" s="188">
        <v>30.464108582682162</v>
      </c>
      <c r="E88" s="188">
        <v>25.442342869618368</v>
      </c>
      <c r="F88" s="187">
        <v>19.313398032930589</v>
      </c>
      <c r="G88" s="187"/>
      <c r="H88" s="188">
        <v>13.170766467977897</v>
      </c>
      <c r="I88" s="188">
        <v>11.962019761666104</v>
      </c>
      <c r="J88" s="188">
        <v>9.1155623116308764</v>
      </c>
      <c r="K88" s="188">
        <v>7.6129848602255867</v>
      </c>
      <c r="L88" s="187">
        <v>5.7790036533667513</v>
      </c>
      <c r="M88" s="187"/>
      <c r="N88" s="188">
        <v>30.845690792257454</v>
      </c>
      <c r="O88" s="188">
        <v>28.014752142536643</v>
      </c>
      <c r="P88" s="188">
        <v>21.348546271051283</v>
      </c>
      <c r="Q88" s="188">
        <v>17.829358009392781</v>
      </c>
      <c r="R88" s="187">
        <v>13.534394379563837</v>
      </c>
      <c r="S88" s="187"/>
      <c r="T88" s="188">
        <v>0</v>
      </c>
      <c r="U88" s="188">
        <v>0</v>
      </c>
      <c r="V88" s="188">
        <v>0</v>
      </c>
      <c r="W88" s="188">
        <v>0</v>
      </c>
      <c r="X88" s="187">
        <v>0</v>
      </c>
      <c r="Y88" s="90" t="str">
        <f t="shared" si="90"/>
        <v>35-39</v>
      </c>
      <c r="Z88" s="188">
        <v>124.3317548459237</v>
      </c>
      <c r="AA88" s="188">
        <v>115.20319439668521</v>
      </c>
      <c r="AB88" s="188">
        <v>103.99848531956397</v>
      </c>
      <c r="AC88" s="188">
        <v>107.78515736503378</v>
      </c>
      <c r="AD88" s="187">
        <v>110.93136167790429</v>
      </c>
      <c r="AE88" s="187"/>
      <c r="AF88" s="188">
        <v>116.17651410584847</v>
      </c>
      <c r="AG88" s="188">
        <v>107.64676072030048</v>
      </c>
      <c r="AH88" s="188">
        <v>97.176962171565435</v>
      </c>
      <c r="AI88" s="188">
        <v>100.71524913353808</v>
      </c>
      <c r="AJ88" s="187">
        <v>103.65514843528025</v>
      </c>
      <c r="AK88" s="187"/>
      <c r="AL88" s="188">
        <v>8.1552407400752234</v>
      </c>
      <c r="AM88" s="188">
        <v>7.5564336763847377</v>
      </c>
      <c r="AN88" s="188">
        <v>6.821523147998537</v>
      </c>
      <c r="AO88" s="188">
        <v>7.06990823149569</v>
      </c>
      <c r="AP88" s="187">
        <v>7.2762132426240571</v>
      </c>
      <c r="AQ88" s="90" t="str">
        <f t="shared" si="91"/>
        <v>35-39</v>
      </c>
      <c r="AR88" s="188">
        <v>141.16078789384099</v>
      </c>
      <c r="AS88" s="188">
        <v>157.71103369911205</v>
      </c>
      <c r="AT88" s="188">
        <v>168.57540609775387</v>
      </c>
      <c r="AU88" s="188">
        <v>191.25249976534786</v>
      </c>
      <c r="AV88" s="187">
        <v>212.66724028916508</v>
      </c>
      <c r="AW88" s="187"/>
      <c r="AX88" s="188">
        <v>139.58664839223439</v>
      </c>
      <c r="AY88" s="188">
        <v>155.9523133601179</v>
      </c>
      <c r="AZ88" s="188">
        <v>166.69556733261371</v>
      </c>
      <c r="BA88" s="188">
        <v>189.11981088672707</v>
      </c>
      <c r="BB88" s="187">
        <v>210.29565301075678</v>
      </c>
      <c r="BC88" s="187"/>
      <c r="BD88" s="188">
        <v>1.5741395016066007</v>
      </c>
      <c r="BE88" s="188">
        <v>1.758720338994133</v>
      </c>
      <c r="BF88" s="188">
        <v>1.8798387651401465</v>
      </c>
      <c r="BG88" s="188">
        <v>2.1326888786208036</v>
      </c>
      <c r="BH88" s="187">
        <v>2.3715872784083478</v>
      </c>
    </row>
    <row r="89" spans="1:60" x14ac:dyDescent="0.2">
      <c r="A89" s="90" t="str">
        <f t="shared" si="89"/>
        <v>40-44</v>
      </c>
      <c r="B89" s="188">
        <v>62.562497845796578</v>
      </c>
      <c r="C89" s="188">
        <v>52.041253862300799</v>
      </c>
      <c r="D89" s="188">
        <v>37.292808343338905</v>
      </c>
      <c r="E89" s="188">
        <v>25.730317953372698</v>
      </c>
      <c r="F89" s="187">
        <v>17.848161884307732</v>
      </c>
      <c r="G89" s="187"/>
      <c r="H89" s="188">
        <v>21.068964130305993</v>
      </c>
      <c r="I89" s="188">
        <v>17.525770127794758</v>
      </c>
      <c r="J89" s="188">
        <v>12.558954308409454</v>
      </c>
      <c r="K89" s="188">
        <v>8.6650962158735219</v>
      </c>
      <c r="L89" s="187">
        <v>6.0106773270790361</v>
      </c>
      <c r="M89" s="187"/>
      <c r="N89" s="188">
        <v>41.493533715490578</v>
      </c>
      <c r="O89" s="188">
        <v>34.515483734506034</v>
      </c>
      <c r="P89" s="188">
        <v>24.73385403492945</v>
      </c>
      <c r="Q89" s="188">
        <v>17.065221737499176</v>
      </c>
      <c r="R89" s="187">
        <v>11.837484557228693</v>
      </c>
      <c r="S89" s="187"/>
      <c r="T89" s="188">
        <v>0</v>
      </c>
      <c r="U89" s="188">
        <v>0</v>
      </c>
      <c r="V89" s="188">
        <v>0</v>
      </c>
      <c r="W89" s="188">
        <v>0</v>
      </c>
      <c r="X89" s="187">
        <v>0</v>
      </c>
      <c r="Y89" s="90" t="str">
        <f t="shared" si="90"/>
        <v>40-44</v>
      </c>
      <c r="Z89" s="188">
        <v>133.43211125882925</v>
      </c>
      <c r="AA89" s="188">
        <v>124.30920077827601</v>
      </c>
      <c r="AB89" s="188">
        <v>114.42328927804037</v>
      </c>
      <c r="AC89" s="188">
        <v>113.59093257500689</v>
      </c>
      <c r="AD89" s="187">
        <v>119.96086291422256</v>
      </c>
      <c r="AE89" s="187"/>
      <c r="AF89" s="188">
        <v>125.56555151187415</v>
      </c>
      <c r="AG89" s="188">
        <v>116.9805269711083</v>
      </c>
      <c r="AH89" s="188">
        <v>107.6774160354275</v>
      </c>
      <c r="AI89" s="188">
        <v>106.89413288813921</v>
      </c>
      <c r="AJ89" s="187">
        <v>112.88853405200165</v>
      </c>
      <c r="AK89" s="187"/>
      <c r="AL89" s="188">
        <v>7.8665597469551063</v>
      </c>
      <c r="AM89" s="188">
        <v>7.3286738071676902</v>
      </c>
      <c r="AN89" s="188">
        <v>6.7458732426128867</v>
      </c>
      <c r="AO89" s="188">
        <v>6.6967996868676751</v>
      </c>
      <c r="AP89" s="187">
        <v>7.0723288622208971</v>
      </c>
      <c r="AQ89" s="90" t="str">
        <f t="shared" si="91"/>
        <v>40-44</v>
      </c>
      <c r="AR89" s="188">
        <v>128.51739089537415</v>
      </c>
      <c r="AS89" s="188">
        <v>144.36154535942319</v>
      </c>
      <c r="AT89" s="188">
        <v>158.66390237862072</v>
      </c>
      <c r="AU89" s="188">
        <v>166.99874947162044</v>
      </c>
      <c r="AV89" s="187">
        <v>185.07097520146974</v>
      </c>
      <c r="AW89" s="187"/>
      <c r="AX89" s="188">
        <v>126.94819387148412</v>
      </c>
      <c r="AY89" s="188">
        <v>142.59892905662338</v>
      </c>
      <c r="AZ89" s="188">
        <v>156.72664379404665</v>
      </c>
      <c r="BA89" s="188">
        <v>164.95975684612029</v>
      </c>
      <c r="BB89" s="187">
        <v>182.81128024141026</v>
      </c>
      <c r="BC89" s="187"/>
      <c r="BD89" s="188">
        <v>1.5691970238900339</v>
      </c>
      <c r="BE89" s="188">
        <v>1.7626163027998376</v>
      </c>
      <c r="BF89" s="188">
        <v>1.937258584574042</v>
      </c>
      <c r="BG89" s="188">
        <v>2.0389926255001587</v>
      </c>
      <c r="BH89" s="187">
        <v>2.2596949600594747</v>
      </c>
    </row>
    <row r="90" spans="1:60" x14ac:dyDescent="0.2">
      <c r="A90" s="90" t="str">
        <f t="shared" si="89"/>
        <v>45-49</v>
      </c>
      <c r="B90" s="188">
        <v>76.803506450596231</v>
      </c>
      <c r="C90" s="188">
        <v>72.369670614720619</v>
      </c>
      <c r="D90" s="188">
        <v>46.757578011014346</v>
      </c>
      <c r="E90" s="188">
        <v>32.914709981477799</v>
      </c>
      <c r="F90" s="187">
        <v>22.643570627464889</v>
      </c>
      <c r="G90" s="187"/>
      <c r="H90" s="188">
        <v>27.94396864638491</v>
      </c>
      <c r="I90" s="188">
        <v>26.330826958934129</v>
      </c>
      <c r="J90" s="188">
        <v>17.012164489510464</v>
      </c>
      <c r="K90" s="188">
        <v>11.975614453855373</v>
      </c>
      <c r="L90" s="187">
        <v>8.2386021908984706</v>
      </c>
      <c r="M90" s="187"/>
      <c r="N90" s="188">
        <v>48.859537804211321</v>
      </c>
      <c r="O90" s="188">
        <v>46.038843655786486</v>
      </c>
      <c r="P90" s="188">
        <v>29.745413521503881</v>
      </c>
      <c r="Q90" s="188">
        <v>20.939095527622428</v>
      </c>
      <c r="R90" s="187">
        <v>14.404968436566421</v>
      </c>
      <c r="S90" s="187"/>
      <c r="T90" s="188">
        <v>0</v>
      </c>
      <c r="U90" s="188">
        <v>0</v>
      </c>
      <c r="V90" s="188">
        <v>0</v>
      </c>
      <c r="W90" s="188">
        <v>0</v>
      </c>
      <c r="X90" s="187">
        <v>0</v>
      </c>
      <c r="Y90" s="90" t="str">
        <f t="shared" si="90"/>
        <v>45-49</v>
      </c>
      <c r="Z90" s="188">
        <v>119.91671183726781</v>
      </c>
      <c r="AA90" s="188">
        <v>117.54013515583459</v>
      </c>
      <c r="AB90" s="188">
        <v>126.00211978783305</v>
      </c>
      <c r="AC90" s="188">
        <v>129.89925725652535</v>
      </c>
      <c r="AD90" s="187">
        <v>132.56976051535059</v>
      </c>
      <c r="AE90" s="187"/>
      <c r="AF90" s="188">
        <v>113.53631898468487</v>
      </c>
      <c r="AG90" s="188">
        <v>111.28619702022586</v>
      </c>
      <c r="AH90" s="188">
        <v>119.29796634507618</v>
      </c>
      <c r="AI90" s="188">
        <v>122.98778022947444</v>
      </c>
      <c r="AJ90" s="187">
        <v>125.51614028502338</v>
      </c>
      <c r="AK90" s="187"/>
      <c r="AL90" s="188">
        <v>6.3803928525829319</v>
      </c>
      <c r="AM90" s="188">
        <v>6.2539381356087462</v>
      </c>
      <c r="AN90" s="188">
        <v>6.7041534427568807</v>
      </c>
      <c r="AO90" s="188">
        <v>6.9114770270509069</v>
      </c>
      <c r="AP90" s="187">
        <v>7.0536202303272111</v>
      </c>
      <c r="AQ90" s="90" t="str">
        <f t="shared" si="91"/>
        <v>45-49</v>
      </c>
      <c r="AR90" s="188">
        <v>113.07878171213598</v>
      </c>
      <c r="AS90" s="188">
        <v>125.98319422944476</v>
      </c>
      <c r="AT90" s="188">
        <v>142.77630220115262</v>
      </c>
      <c r="AU90" s="188">
        <v>151.84003276199684</v>
      </c>
      <c r="AV90" s="187">
        <v>159.15166885718455</v>
      </c>
      <c r="AW90" s="187"/>
      <c r="AX90" s="188">
        <v>111.76159647140302</v>
      </c>
      <c r="AY90" s="188">
        <v>124.51577593370071</v>
      </c>
      <c r="AZ90" s="188">
        <v>141.11320504624786</v>
      </c>
      <c r="BA90" s="188">
        <v>150.07143093938149</v>
      </c>
      <c r="BB90" s="187">
        <v>157.29788066457172</v>
      </c>
      <c r="BC90" s="187"/>
      <c r="BD90" s="188">
        <v>1.3171852407329641</v>
      </c>
      <c r="BE90" s="188">
        <v>1.4674182957440471</v>
      </c>
      <c r="BF90" s="188">
        <v>1.663097154904764</v>
      </c>
      <c r="BG90" s="188">
        <v>1.7686018226153735</v>
      </c>
      <c r="BH90" s="187">
        <v>1.8537881926128472</v>
      </c>
    </row>
    <row r="91" spans="1:60" x14ac:dyDescent="0.2">
      <c r="A91" s="90" t="str">
        <f t="shared" si="89"/>
        <v>50-54</v>
      </c>
      <c r="B91" s="188">
        <v>74.130845817172315</v>
      </c>
      <c r="C91" s="188">
        <v>76.292901659215687</v>
      </c>
      <c r="D91" s="188">
        <v>62.868745854171486</v>
      </c>
      <c r="E91" s="188">
        <v>48.927498060783627</v>
      </c>
      <c r="F91" s="187">
        <v>37.108932956215206</v>
      </c>
      <c r="G91" s="187"/>
      <c r="H91" s="188">
        <v>27.517951911427684</v>
      </c>
      <c r="I91" s="188">
        <v>28.320507284713951</v>
      </c>
      <c r="J91" s="188">
        <v>23.337364458948031</v>
      </c>
      <c r="K91" s="188">
        <v>18.162254416964728</v>
      </c>
      <c r="L91" s="187">
        <v>13.775148267079187</v>
      </c>
      <c r="M91" s="187"/>
      <c r="N91" s="188">
        <v>46.612893905744635</v>
      </c>
      <c r="O91" s="188">
        <v>47.972394374501732</v>
      </c>
      <c r="P91" s="188">
        <v>39.531381395223455</v>
      </c>
      <c r="Q91" s="188">
        <v>30.765243643818895</v>
      </c>
      <c r="R91" s="187">
        <v>23.333784689136024</v>
      </c>
      <c r="S91" s="187"/>
      <c r="T91" s="188">
        <v>0</v>
      </c>
      <c r="U91" s="188">
        <v>0</v>
      </c>
      <c r="V91" s="188">
        <v>0</v>
      </c>
      <c r="W91" s="188">
        <v>0</v>
      </c>
      <c r="X91" s="187">
        <v>0</v>
      </c>
      <c r="Y91" s="90" t="str">
        <f t="shared" si="90"/>
        <v>50-54</v>
      </c>
      <c r="Z91" s="188">
        <v>86.760993384439232</v>
      </c>
      <c r="AA91" s="188">
        <v>96.953240370929649</v>
      </c>
      <c r="AB91" s="188">
        <v>105.73855197584399</v>
      </c>
      <c r="AC91" s="188">
        <v>116.22864044167615</v>
      </c>
      <c r="AD91" s="187">
        <v>126.02469049917889</v>
      </c>
      <c r="AE91" s="187"/>
      <c r="AF91" s="188">
        <v>81.596570349738855</v>
      </c>
      <c r="AG91" s="188">
        <v>91.182181714094824</v>
      </c>
      <c r="AH91" s="188">
        <v>99.444551689154906</v>
      </c>
      <c r="AI91" s="188">
        <v>109.31026683421746</v>
      </c>
      <c r="AJ91" s="187">
        <v>118.52317446256983</v>
      </c>
      <c r="AK91" s="187"/>
      <c r="AL91" s="188">
        <v>5.1644230347003779</v>
      </c>
      <c r="AM91" s="188">
        <v>5.7710586568348159</v>
      </c>
      <c r="AN91" s="188">
        <v>6.2940002866890863</v>
      </c>
      <c r="AO91" s="188">
        <v>6.9183736074586868</v>
      </c>
      <c r="AP91" s="187">
        <v>7.5015160366090656</v>
      </c>
      <c r="AQ91" s="90" t="str">
        <f t="shared" si="91"/>
        <v>50-54</v>
      </c>
      <c r="AR91" s="188">
        <v>76.999160798388473</v>
      </c>
      <c r="AS91" s="188">
        <v>96.560857969854624</v>
      </c>
      <c r="AT91" s="188">
        <v>116.57270216998455</v>
      </c>
      <c r="AU91" s="188">
        <v>128.98986149754023</v>
      </c>
      <c r="AV91" s="187">
        <v>140.9583765446059</v>
      </c>
      <c r="AW91" s="187"/>
      <c r="AX91" s="188">
        <v>76.294968712849709</v>
      </c>
      <c r="AY91" s="188">
        <v>95.677849729956222</v>
      </c>
      <c r="AZ91" s="188">
        <v>115.50670905420014</v>
      </c>
      <c r="BA91" s="188">
        <v>127.81028960948962</v>
      </c>
      <c r="BB91" s="187">
        <v>139.6692906114707</v>
      </c>
      <c r="BC91" s="187"/>
      <c r="BD91" s="188">
        <v>0.70419208553877055</v>
      </c>
      <c r="BE91" s="188">
        <v>0.88300823989842003</v>
      </c>
      <c r="BF91" s="188">
        <v>1.0659931157844085</v>
      </c>
      <c r="BG91" s="188">
        <v>1.1795718880506243</v>
      </c>
      <c r="BH91" s="187">
        <v>1.2890859331351963</v>
      </c>
    </row>
    <row r="92" spans="1:60" x14ac:dyDescent="0.2">
      <c r="A92" s="90" t="str">
        <f t="shared" si="89"/>
        <v>55-59</v>
      </c>
      <c r="B92" s="188">
        <v>50.123111298551322</v>
      </c>
      <c r="C92" s="188">
        <v>49.323988494669976</v>
      </c>
      <c r="D92" s="188">
        <v>54.734368903773372</v>
      </c>
      <c r="E92" s="188">
        <v>46.878192366194043</v>
      </c>
      <c r="F92" s="187">
        <v>36.717928947865651</v>
      </c>
      <c r="G92" s="187"/>
      <c r="H92" s="188">
        <v>20.068212623946785</v>
      </c>
      <c r="I92" s="188">
        <v>19.748271942588062</v>
      </c>
      <c r="J92" s="188">
        <v>21.914478270879478</v>
      </c>
      <c r="K92" s="188">
        <v>18.76897099596793</v>
      </c>
      <c r="L92" s="187">
        <v>14.701046063760439</v>
      </c>
      <c r="M92" s="187"/>
      <c r="N92" s="188">
        <v>30.054898674604537</v>
      </c>
      <c r="O92" s="188">
        <v>29.575716552081918</v>
      </c>
      <c r="P92" s="188">
        <v>32.819890632893888</v>
      </c>
      <c r="Q92" s="188">
        <v>28.109221370226116</v>
      </c>
      <c r="R92" s="187">
        <v>22.016882884105211</v>
      </c>
      <c r="S92" s="187"/>
      <c r="T92" s="188">
        <v>0</v>
      </c>
      <c r="U92" s="188">
        <v>0</v>
      </c>
      <c r="V92" s="188">
        <v>0</v>
      </c>
      <c r="W92" s="188">
        <v>0</v>
      </c>
      <c r="X92" s="187">
        <v>0</v>
      </c>
      <c r="Y92" s="90" t="str">
        <f t="shared" si="90"/>
        <v>55-59</v>
      </c>
      <c r="Z92" s="188">
        <v>50.022718415568512</v>
      </c>
      <c r="AA92" s="188">
        <v>54.941387327680005</v>
      </c>
      <c r="AB92" s="188">
        <v>78.772938863638728</v>
      </c>
      <c r="AC92" s="188">
        <v>94.437586570976393</v>
      </c>
      <c r="AD92" s="187">
        <v>103.91445213238326</v>
      </c>
      <c r="AE92" s="187"/>
      <c r="AF92" s="188">
        <v>46.530169779779939</v>
      </c>
      <c r="AG92" s="188">
        <v>51.105378605023787</v>
      </c>
      <c r="AH92" s="188">
        <v>73.273049746677671</v>
      </c>
      <c r="AI92" s="188">
        <v>87.843993736619538</v>
      </c>
      <c r="AJ92" s="187">
        <v>96.659206845843883</v>
      </c>
      <c r="AK92" s="187"/>
      <c r="AL92" s="188">
        <v>3.4925486357885691</v>
      </c>
      <c r="AM92" s="188">
        <v>3.8360087226562167</v>
      </c>
      <c r="AN92" s="188">
        <v>5.4998891169610493</v>
      </c>
      <c r="AO92" s="188">
        <v>6.5935928343568344</v>
      </c>
      <c r="AP92" s="187">
        <v>7.2552452865393828</v>
      </c>
      <c r="AQ92" s="90" t="str">
        <f t="shared" si="91"/>
        <v>55-59</v>
      </c>
      <c r="AR92" s="188">
        <v>43.944170285880162</v>
      </c>
      <c r="AS92" s="188">
        <v>55.229624177650017</v>
      </c>
      <c r="AT92" s="188">
        <v>80.0286922325879</v>
      </c>
      <c r="AU92" s="188">
        <v>97.06122106282956</v>
      </c>
      <c r="AV92" s="187">
        <v>107.73061891975107</v>
      </c>
      <c r="AW92" s="187"/>
      <c r="AX92" s="188">
        <v>43.298834557519996</v>
      </c>
      <c r="AY92" s="188">
        <v>54.418522326695687</v>
      </c>
      <c r="AZ92" s="188">
        <v>78.853443932668</v>
      </c>
      <c r="BA92" s="188">
        <v>95.635738085376531</v>
      </c>
      <c r="BB92" s="187">
        <v>106.14856157242835</v>
      </c>
      <c r="BC92" s="187"/>
      <c r="BD92" s="188">
        <v>0.64533572836017361</v>
      </c>
      <c r="BE92" s="188">
        <v>0.81110185095432563</v>
      </c>
      <c r="BF92" s="188">
        <v>1.1752482999198919</v>
      </c>
      <c r="BG92" s="188">
        <v>1.4254829774530267</v>
      </c>
      <c r="BH92" s="187">
        <v>1.5820573473227093</v>
      </c>
    </row>
    <row r="93" spans="1:60" x14ac:dyDescent="0.2">
      <c r="A93" s="90" t="str">
        <f t="shared" si="89"/>
        <v>60-64</v>
      </c>
      <c r="B93" s="188">
        <v>13.764231925065078</v>
      </c>
      <c r="C93" s="188">
        <v>18.76836361753071</v>
      </c>
      <c r="D93" s="188">
        <v>18.508542780694757</v>
      </c>
      <c r="E93" s="188">
        <v>17.452835144978611</v>
      </c>
      <c r="F93" s="187">
        <v>14.804084816049919</v>
      </c>
      <c r="G93" s="187"/>
      <c r="H93" s="188">
        <v>6.6702307458031802</v>
      </c>
      <c r="I93" s="188">
        <v>9.0952856087735459</v>
      </c>
      <c r="J93" s="188">
        <v>8.9693500547268563</v>
      </c>
      <c r="K93" s="188">
        <v>8.4577572298816346</v>
      </c>
      <c r="L93" s="187">
        <v>7.1741516654067379</v>
      </c>
      <c r="M93" s="187"/>
      <c r="N93" s="188">
        <v>7.0940011792618973</v>
      </c>
      <c r="O93" s="188">
        <v>9.6730780087571677</v>
      </c>
      <c r="P93" s="188">
        <v>9.5391927259679008</v>
      </c>
      <c r="Q93" s="188">
        <v>8.9950779150969762</v>
      </c>
      <c r="R93" s="187">
        <v>7.62993315064318</v>
      </c>
      <c r="S93" s="187"/>
      <c r="T93" s="188">
        <v>0</v>
      </c>
      <c r="U93" s="188">
        <v>0</v>
      </c>
      <c r="V93" s="188">
        <v>0</v>
      </c>
      <c r="W93" s="188">
        <v>0</v>
      </c>
      <c r="X93" s="187">
        <v>0</v>
      </c>
      <c r="Y93" s="90" t="str">
        <f t="shared" si="90"/>
        <v>60-64</v>
      </c>
      <c r="Z93" s="188">
        <v>12.31020529409596</v>
      </c>
      <c r="AA93" s="188">
        <v>14.261344557443534</v>
      </c>
      <c r="AB93" s="188">
        <v>21.71515850756559</v>
      </c>
      <c r="AC93" s="188">
        <v>28.490108641285989</v>
      </c>
      <c r="AD93" s="187">
        <v>34.561262922202097</v>
      </c>
      <c r="AE93" s="187"/>
      <c r="AF93" s="188">
        <v>11.043928783107889</v>
      </c>
      <c r="AG93" s="188">
        <v>12.794409216272046</v>
      </c>
      <c r="AH93" s="188">
        <v>19.481518497742734</v>
      </c>
      <c r="AI93" s="188">
        <v>25.559606891725771</v>
      </c>
      <c r="AJ93" s="187">
        <v>31.006230901067084</v>
      </c>
      <c r="AK93" s="187"/>
      <c r="AL93" s="188">
        <v>1.2662765109880707</v>
      </c>
      <c r="AM93" s="188">
        <v>1.4669353411714883</v>
      </c>
      <c r="AN93" s="188">
        <v>2.233640009822857</v>
      </c>
      <c r="AO93" s="188">
        <v>2.9305017495602126</v>
      </c>
      <c r="AP93" s="187">
        <v>3.5550320211350139</v>
      </c>
      <c r="AQ93" s="90" t="str">
        <f t="shared" si="91"/>
        <v>60-64</v>
      </c>
      <c r="AR93" s="188">
        <v>10.014562780838963</v>
      </c>
      <c r="AS93" s="188">
        <v>15.861291825025759</v>
      </c>
      <c r="AT93" s="188">
        <v>24.782298711739656</v>
      </c>
      <c r="AU93" s="188">
        <v>32.955056213735411</v>
      </c>
      <c r="AV93" s="187">
        <v>41.965652261747991</v>
      </c>
      <c r="AW93" s="187"/>
      <c r="AX93" s="188">
        <v>9.3191096537115143</v>
      </c>
      <c r="AY93" s="188">
        <v>14.759802271763046</v>
      </c>
      <c r="AZ93" s="188">
        <v>23.061241083126763</v>
      </c>
      <c r="BA93" s="188">
        <v>30.666373272484456</v>
      </c>
      <c r="BB93" s="187">
        <v>39.05130130334193</v>
      </c>
      <c r="BC93" s="187"/>
      <c r="BD93" s="188">
        <v>0.69545312712745089</v>
      </c>
      <c r="BE93" s="188">
        <v>1.1014895532627123</v>
      </c>
      <c r="BF93" s="188">
        <v>1.721057628612892</v>
      </c>
      <c r="BG93" s="188">
        <v>2.2886829412509542</v>
      </c>
      <c r="BH93" s="187">
        <v>2.9143509584060596</v>
      </c>
    </row>
    <row r="94" spans="1:60" x14ac:dyDescent="0.2">
      <c r="A94" s="91" t="str">
        <f t="shared" si="89"/>
        <v>65+</v>
      </c>
      <c r="B94" s="188">
        <v>5.0275971766300218</v>
      </c>
      <c r="C94" s="188">
        <v>5.0571710967350976</v>
      </c>
      <c r="D94" s="188">
        <v>5.0002589845625298</v>
      </c>
      <c r="E94" s="188">
        <v>3.9459227571467377</v>
      </c>
      <c r="F94" s="187">
        <v>3.6918171007746805</v>
      </c>
      <c r="G94" s="189"/>
      <c r="H94" s="188">
        <v>2.987417610658246</v>
      </c>
      <c r="I94" s="188">
        <v>3.0049961668141885</v>
      </c>
      <c r="J94" s="188">
        <v>2.9711593642715379</v>
      </c>
      <c r="K94" s="188">
        <v>2.3446844102127109</v>
      </c>
      <c r="L94" s="187">
        <v>2.1936853336258615</v>
      </c>
      <c r="M94" s="189"/>
      <c r="N94" s="188">
        <v>2.0401795659717767</v>
      </c>
      <c r="O94" s="188">
        <v>2.0521749299209091</v>
      </c>
      <c r="P94" s="188">
        <v>2.0290996202909919</v>
      </c>
      <c r="Q94" s="188">
        <v>1.6012383469340266</v>
      </c>
      <c r="R94" s="187">
        <v>1.4981317671488188</v>
      </c>
      <c r="S94" s="189"/>
      <c r="T94" s="189">
        <v>0</v>
      </c>
      <c r="U94" s="189">
        <v>0</v>
      </c>
      <c r="V94" s="189">
        <v>0</v>
      </c>
      <c r="W94" s="189">
        <v>0</v>
      </c>
      <c r="X94" s="189">
        <v>0</v>
      </c>
      <c r="Y94" s="91" t="str">
        <f t="shared" si="90"/>
        <v>65+</v>
      </c>
      <c r="Z94" s="188">
        <v>2.7461652297525743</v>
      </c>
      <c r="AA94" s="188">
        <v>4.055911790969331</v>
      </c>
      <c r="AB94" s="188">
        <v>3.5612495126359529</v>
      </c>
      <c r="AC94" s="188">
        <v>3.9532933888693056</v>
      </c>
      <c r="AD94" s="187">
        <v>5.2021489926704287</v>
      </c>
      <c r="AE94" s="189"/>
      <c r="AF94" s="188">
        <v>2.4974123148764233</v>
      </c>
      <c r="AG94" s="188">
        <v>3.6885697608652581</v>
      </c>
      <c r="AH94" s="188">
        <v>3.2387036749219651</v>
      </c>
      <c r="AI94" s="188">
        <v>3.5952382484733798</v>
      </c>
      <c r="AJ94" s="187">
        <v>4.7309759551497086</v>
      </c>
      <c r="AK94" s="189"/>
      <c r="AL94" s="188">
        <v>0.24875291487615106</v>
      </c>
      <c r="AM94" s="188">
        <v>0.3673420301040734</v>
      </c>
      <c r="AN94" s="188">
        <v>0.32254583771398837</v>
      </c>
      <c r="AO94" s="188">
        <v>0.35805514039592606</v>
      </c>
      <c r="AP94" s="187">
        <v>0.47117303752072126</v>
      </c>
      <c r="AQ94" s="91" t="str">
        <f t="shared" si="91"/>
        <v>65+</v>
      </c>
      <c r="AR94" s="188">
        <v>2.4962375936174048</v>
      </c>
      <c r="AS94" s="188">
        <v>4.1209171122955697</v>
      </c>
      <c r="AT94" s="188">
        <v>4.3774915028015169</v>
      </c>
      <c r="AU94" s="188">
        <v>5.7297838539839567</v>
      </c>
      <c r="AV94" s="187">
        <v>8.4160339065548904</v>
      </c>
      <c r="AW94" s="189"/>
      <c r="AX94" s="188">
        <v>2.4393838610275034</v>
      </c>
      <c r="AY94" s="188">
        <v>4.0270912403022177</v>
      </c>
      <c r="AZ94" s="188">
        <v>4.2777979690182679</v>
      </c>
      <c r="BA94" s="188">
        <v>5.5993484434809799</v>
      </c>
      <c r="BB94" s="187">
        <v>8.2244038402405248</v>
      </c>
      <c r="BC94" s="189"/>
      <c r="BD94" s="188">
        <v>5.6853732589901257E-2</v>
      </c>
      <c r="BE94" s="188">
        <v>9.3825871993351684E-2</v>
      </c>
      <c r="BF94" s="188">
        <v>9.9693533783248439E-2</v>
      </c>
      <c r="BG94" s="188">
        <v>0.13043541050297702</v>
      </c>
      <c r="BH94" s="187">
        <v>0.19163006631436572</v>
      </c>
    </row>
    <row r="95" spans="1:60" x14ac:dyDescent="0.2">
      <c r="A95" s="95"/>
      <c r="B95" s="190"/>
      <c r="C95" s="190"/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Y95" s="95"/>
      <c r="Z95" s="190"/>
      <c r="AA95" s="190"/>
      <c r="AB95" s="190"/>
      <c r="AC95" s="190"/>
      <c r="AD95" s="190"/>
      <c r="AE95" s="190"/>
      <c r="AF95" s="190"/>
      <c r="AG95" s="190"/>
      <c r="AH95" s="190"/>
      <c r="AI95" s="190"/>
      <c r="AJ95" s="190"/>
      <c r="AK95" s="190"/>
      <c r="AL95" s="190"/>
      <c r="AM95" s="190"/>
      <c r="AN95" s="190"/>
      <c r="AO95" s="190"/>
      <c r="AP95" s="190"/>
      <c r="AQ95" s="95"/>
      <c r="AR95" s="190"/>
      <c r="AS95" s="190"/>
      <c r="AT95" s="190"/>
      <c r="AU95" s="190"/>
      <c r="AV95" s="190"/>
      <c r="AW95" s="190"/>
      <c r="AX95" s="190"/>
      <c r="AY95" s="190"/>
      <c r="AZ95" s="190"/>
      <c r="BA95" s="190"/>
      <c r="BB95" s="190"/>
      <c r="BC95" s="190"/>
      <c r="BD95" s="190"/>
      <c r="BE95" s="190"/>
      <c r="BF95" s="190"/>
      <c r="BG95" s="190"/>
      <c r="BH95" s="190"/>
    </row>
    <row r="97" spans="1:1" x14ac:dyDescent="0.2">
      <c r="A97" s="90" t="s">
        <v>106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6" t="s">
        <v>246</v>
      </c>
      <c r="B1" s="226" t="s">
        <v>306</v>
      </c>
      <c r="C1" s="226" t="s">
        <v>4</v>
      </c>
      <c r="D1" s="226" t="s">
        <v>474</v>
      </c>
      <c r="E1" s="226" t="s">
        <v>320</v>
      </c>
      <c r="F1" s="228" t="s">
        <v>326</v>
      </c>
      <c r="G1" s="228" t="s">
        <v>345</v>
      </c>
      <c r="H1" s="228" t="s">
        <v>328</v>
      </c>
      <c r="I1" s="228"/>
      <c r="J1" s="228" t="s">
        <v>329</v>
      </c>
      <c r="K1" s="125"/>
      <c r="L1" s="1"/>
    </row>
    <row r="2" spans="1:12" s="13" customFormat="1" x14ac:dyDescent="0.2">
      <c r="A2" s="227" t="s">
        <v>347</v>
      </c>
      <c r="B2" s="227" t="s">
        <v>343</v>
      </c>
      <c r="C2" s="227" t="s">
        <v>344</v>
      </c>
      <c r="D2" s="125" t="s">
        <v>319</v>
      </c>
      <c r="E2" s="125" t="s">
        <v>321</v>
      </c>
      <c r="F2" s="227" t="s">
        <v>38</v>
      </c>
      <c r="G2" s="227" t="s">
        <v>346</v>
      </c>
      <c r="H2" s="125" t="s">
        <v>330</v>
      </c>
      <c r="I2" s="125" t="s">
        <v>100</v>
      </c>
      <c r="J2" s="125" t="s">
        <v>331</v>
      </c>
      <c r="K2" s="125" t="s">
        <v>332</v>
      </c>
      <c r="L2" s="82"/>
    </row>
    <row r="3" spans="1:12" x14ac:dyDescent="0.2">
      <c r="A3" s="10" t="s">
        <v>0</v>
      </c>
      <c r="B3" s="125" t="s">
        <v>0</v>
      </c>
      <c r="C3" s="10" t="s">
        <v>0</v>
      </c>
      <c r="D3" s="125" t="s">
        <v>10</v>
      </c>
      <c r="E3" s="125" t="s">
        <v>10</v>
      </c>
      <c r="F3" s="125" t="s">
        <v>37</v>
      </c>
      <c r="G3" s="125" t="s">
        <v>37</v>
      </c>
      <c r="H3" s="125" t="s">
        <v>333</v>
      </c>
      <c r="I3" s="125" t="s">
        <v>98</v>
      </c>
      <c r="J3" s="125" t="s">
        <v>334</v>
      </c>
      <c r="K3" s="125" t="s">
        <v>335</v>
      </c>
    </row>
    <row r="4" spans="1:12" x14ac:dyDescent="0.2">
      <c r="A4" s="10" t="s">
        <v>80</v>
      </c>
      <c r="B4" s="125" t="s">
        <v>307</v>
      </c>
      <c r="C4" s="10" t="s">
        <v>243</v>
      </c>
      <c r="D4" s="125" t="s">
        <v>475</v>
      </c>
      <c r="E4" s="125" t="s">
        <v>322</v>
      </c>
      <c r="F4" s="125" t="s">
        <v>450</v>
      </c>
      <c r="G4" s="125" t="s">
        <v>458</v>
      </c>
      <c r="H4" s="125" t="s">
        <v>336</v>
      </c>
      <c r="I4" s="125" t="s">
        <v>99</v>
      </c>
      <c r="J4" s="125" t="s">
        <v>337</v>
      </c>
      <c r="K4" s="125" t="s">
        <v>338</v>
      </c>
    </row>
    <row r="5" spans="1:12" x14ac:dyDescent="0.2">
      <c r="A5" s="10" t="s">
        <v>247</v>
      </c>
      <c r="B5" s="125" t="s">
        <v>81</v>
      </c>
      <c r="C5" s="10" t="s">
        <v>8</v>
      </c>
      <c r="D5" s="125" t="s">
        <v>476</v>
      </c>
      <c r="E5" s="125" t="s">
        <v>323</v>
      </c>
      <c r="F5" s="125" t="s">
        <v>451</v>
      </c>
      <c r="G5" s="125" t="s">
        <v>459</v>
      </c>
      <c r="H5" s="125"/>
      <c r="I5" s="125"/>
      <c r="J5" s="125" t="s">
        <v>339</v>
      </c>
      <c r="K5" s="125" t="s">
        <v>340</v>
      </c>
    </row>
    <row r="6" spans="1:12" x14ac:dyDescent="0.2">
      <c r="A6" s="10" t="s">
        <v>248</v>
      </c>
      <c r="B6" s="125" t="s">
        <v>308</v>
      </c>
      <c r="C6" s="10" t="s">
        <v>2</v>
      </c>
      <c r="D6" s="125" t="s">
        <v>477</v>
      </c>
      <c r="E6" s="125" t="s">
        <v>478</v>
      </c>
      <c r="F6" s="125" t="s">
        <v>452</v>
      </c>
      <c r="G6" s="125" t="s">
        <v>455</v>
      </c>
      <c r="H6" s="125"/>
      <c r="I6" s="125"/>
      <c r="J6" s="125" t="s">
        <v>341</v>
      </c>
      <c r="K6" s="125" t="s">
        <v>342</v>
      </c>
    </row>
    <row r="7" spans="1:12" x14ac:dyDescent="0.2">
      <c r="A7" s="10" t="s">
        <v>249</v>
      </c>
      <c r="B7" s="125" t="s">
        <v>5</v>
      </c>
      <c r="C7" s="10" t="s">
        <v>244</v>
      </c>
      <c r="D7" s="125" t="s">
        <v>479</v>
      </c>
      <c r="E7" s="125" t="s">
        <v>480</v>
      </c>
      <c r="F7" s="125" t="s">
        <v>453</v>
      </c>
      <c r="G7" s="125" t="s">
        <v>456</v>
      </c>
    </row>
    <row r="8" spans="1:12" x14ac:dyDescent="0.2">
      <c r="A8" s="10" t="s">
        <v>250</v>
      </c>
      <c r="B8" s="125" t="s">
        <v>6</v>
      </c>
      <c r="C8" s="10" t="s">
        <v>245</v>
      </c>
      <c r="D8" s="125" t="s">
        <v>481</v>
      </c>
      <c r="E8" s="125" t="s">
        <v>324</v>
      </c>
      <c r="F8" s="125" t="s">
        <v>454</v>
      </c>
      <c r="G8" s="125" t="s">
        <v>457</v>
      </c>
    </row>
    <row r="9" spans="1:12" x14ac:dyDescent="0.2">
      <c r="A9" s="10" t="s">
        <v>251</v>
      </c>
      <c r="B9" s="125" t="s">
        <v>309</v>
      </c>
      <c r="C9" s="10" t="s">
        <v>462</v>
      </c>
      <c r="D9" s="125" t="s">
        <v>482</v>
      </c>
      <c r="E9" s="125" t="s">
        <v>483</v>
      </c>
      <c r="F9" s="125" t="s">
        <v>455</v>
      </c>
      <c r="G9" s="125" t="s">
        <v>327</v>
      </c>
    </row>
    <row r="10" spans="1:12" x14ac:dyDescent="0.2">
      <c r="A10" s="10" t="s">
        <v>252</v>
      </c>
      <c r="B10" s="125" t="s">
        <v>310</v>
      </c>
      <c r="C10" t="s">
        <v>11</v>
      </c>
      <c r="D10" s="125" t="s">
        <v>484</v>
      </c>
      <c r="E10" s="125" t="s">
        <v>485</v>
      </c>
      <c r="F10" s="125" t="s">
        <v>456</v>
      </c>
      <c r="G10" s="125"/>
    </row>
    <row r="11" spans="1:12" x14ac:dyDescent="0.2">
      <c r="A11" s="10" t="s">
        <v>253</v>
      </c>
      <c r="B11" s="125" t="s">
        <v>2</v>
      </c>
      <c r="C11" t="s">
        <v>11</v>
      </c>
      <c r="D11" s="125" t="s">
        <v>486</v>
      </c>
      <c r="E11" s="125" t="s">
        <v>325</v>
      </c>
      <c r="F11" s="125" t="s">
        <v>457</v>
      </c>
      <c r="G11" s="125"/>
      <c r="I11" s="82"/>
    </row>
    <row r="12" spans="1:12" x14ac:dyDescent="0.2">
      <c r="A12" s="10" t="s">
        <v>254</v>
      </c>
      <c r="B12" s="125" t="s">
        <v>83</v>
      </c>
      <c r="C12" t="s">
        <v>11</v>
      </c>
      <c r="D12" s="125" t="s">
        <v>487</v>
      </c>
      <c r="E12" s="125" t="s">
        <v>9</v>
      </c>
      <c r="F12" s="125" t="s">
        <v>327</v>
      </c>
      <c r="G12" s="125"/>
    </row>
    <row r="13" spans="1:12" x14ac:dyDescent="0.2">
      <c r="A13" s="10" t="s">
        <v>255</v>
      </c>
      <c r="B13" s="125" t="s">
        <v>311</v>
      </c>
      <c r="C13" t="s">
        <v>11</v>
      </c>
      <c r="D13" s="125" t="s">
        <v>488</v>
      </c>
    </row>
    <row r="14" spans="1:12" x14ac:dyDescent="0.2">
      <c r="A14" s="10" t="s">
        <v>1</v>
      </c>
      <c r="B14" s="125" t="s">
        <v>312</v>
      </c>
      <c r="C14" t="s">
        <v>11</v>
      </c>
      <c r="D14" s="125" t="s">
        <v>489</v>
      </c>
      <c r="E14" t="s">
        <v>11</v>
      </c>
    </row>
    <row r="15" spans="1:12" x14ac:dyDescent="0.2">
      <c r="A15" s="10" t="s">
        <v>256</v>
      </c>
      <c r="B15" s="125" t="s">
        <v>84</v>
      </c>
      <c r="C15" t="s">
        <v>11</v>
      </c>
      <c r="D15" s="125" t="s">
        <v>490</v>
      </c>
      <c r="E15" t="s">
        <v>11</v>
      </c>
      <c r="I15" s="82"/>
    </row>
    <row r="16" spans="1:12" x14ac:dyDescent="0.2">
      <c r="A16" s="10" t="s">
        <v>257</v>
      </c>
      <c r="B16" s="125" t="s">
        <v>313</v>
      </c>
      <c r="C16" t="s">
        <v>11</v>
      </c>
      <c r="D16" s="125" t="s">
        <v>491</v>
      </c>
      <c r="E16" t="s">
        <v>11</v>
      </c>
    </row>
    <row r="17" spans="1:9" x14ac:dyDescent="0.2">
      <c r="A17" s="10" t="s">
        <v>258</v>
      </c>
      <c r="B17" s="125" t="s">
        <v>314</v>
      </c>
      <c r="C17" t="s">
        <v>11</v>
      </c>
      <c r="D17" s="125" t="s">
        <v>492</v>
      </c>
      <c r="E17" t="s">
        <v>11</v>
      </c>
      <c r="I17" s="82"/>
    </row>
    <row r="18" spans="1:9" x14ac:dyDescent="0.2">
      <c r="A18" s="10" t="s">
        <v>259</v>
      </c>
      <c r="B18" s="125" t="s">
        <v>284</v>
      </c>
      <c r="C18" t="s">
        <v>11</v>
      </c>
      <c r="D18" s="125" t="s">
        <v>493</v>
      </c>
      <c r="E18" t="s">
        <v>11</v>
      </c>
    </row>
    <row r="19" spans="1:9" x14ac:dyDescent="0.2">
      <c r="A19" s="10" t="s">
        <v>260</v>
      </c>
      <c r="B19" s="125" t="s">
        <v>315</v>
      </c>
      <c r="C19" t="s">
        <v>11</v>
      </c>
      <c r="D19" s="125" t="s">
        <v>494</v>
      </c>
      <c r="E19" t="s">
        <v>11</v>
      </c>
    </row>
    <row r="20" spans="1:9" x14ac:dyDescent="0.2">
      <c r="A20" s="10" t="s">
        <v>82</v>
      </c>
      <c r="B20" s="125" t="s">
        <v>316</v>
      </c>
      <c r="C20" t="s">
        <v>11</v>
      </c>
      <c r="D20" s="125" t="s">
        <v>495</v>
      </c>
      <c r="E20" t="s">
        <v>11</v>
      </c>
    </row>
    <row r="21" spans="1:9" x14ac:dyDescent="0.2">
      <c r="A21" s="10" t="s">
        <v>261</v>
      </c>
      <c r="B21" s="125" t="s">
        <v>317</v>
      </c>
      <c r="C21" t="s">
        <v>11</v>
      </c>
      <c r="D21" s="125" t="s">
        <v>496</v>
      </c>
    </row>
    <row r="22" spans="1:9" x14ac:dyDescent="0.2">
      <c r="A22" s="10" t="s">
        <v>262</v>
      </c>
      <c r="B22" s="125" t="s">
        <v>3</v>
      </c>
      <c r="C22" t="s">
        <v>11</v>
      </c>
      <c r="D22" s="125" t="s">
        <v>497</v>
      </c>
      <c r="E22" t="s">
        <v>11</v>
      </c>
      <c r="I22" s="82"/>
    </row>
    <row r="23" spans="1:9" x14ac:dyDescent="0.2">
      <c r="A23" s="10" t="s">
        <v>263</v>
      </c>
      <c r="B23" s="125" t="s">
        <v>7</v>
      </c>
      <c r="C23" t="s">
        <v>11</v>
      </c>
      <c r="D23" s="125" t="s">
        <v>498</v>
      </c>
      <c r="E23" t="s">
        <v>11</v>
      </c>
    </row>
    <row r="24" spans="1:9" x14ac:dyDescent="0.2">
      <c r="A24" s="10" t="s">
        <v>264</v>
      </c>
      <c r="B24" s="125" t="s">
        <v>87</v>
      </c>
      <c r="C24" t="s">
        <v>11</v>
      </c>
      <c r="D24" s="125" t="s">
        <v>499</v>
      </c>
      <c r="E24" t="s">
        <v>11</v>
      </c>
    </row>
    <row r="25" spans="1:9" x14ac:dyDescent="0.2">
      <c r="A25" s="10" t="s">
        <v>128</v>
      </c>
      <c r="B25" s="125" t="s">
        <v>318</v>
      </c>
      <c r="C25" t="s">
        <v>11</v>
      </c>
      <c r="D25" s="125" t="s">
        <v>500</v>
      </c>
      <c r="E25" t="s">
        <v>11</v>
      </c>
    </row>
    <row r="26" spans="1:9" x14ac:dyDescent="0.2">
      <c r="A26" s="10" t="s">
        <v>265</v>
      </c>
      <c r="C26" t="s">
        <v>11</v>
      </c>
      <c r="D26" s="125" t="s">
        <v>501</v>
      </c>
      <c r="E26" t="s">
        <v>11</v>
      </c>
      <c r="I26" s="82"/>
    </row>
    <row r="27" spans="1:9" x14ac:dyDescent="0.2">
      <c r="A27" s="10" t="s">
        <v>266</v>
      </c>
      <c r="C27" t="s">
        <v>11</v>
      </c>
      <c r="D27" s="125" t="s">
        <v>502</v>
      </c>
      <c r="E27" t="s">
        <v>11</v>
      </c>
    </row>
    <row r="28" spans="1:9" x14ac:dyDescent="0.2">
      <c r="A28" s="10" t="s">
        <v>267</v>
      </c>
      <c r="C28" t="s">
        <v>11</v>
      </c>
      <c r="D28" s="125" t="s">
        <v>503</v>
      </c>
      <c r="E28" t="s">
        <v>11</v>
      </c>
    </row>
    <row r="29" spans="1:9" x14ac:dyDescent="0.2">
      <c r="A29" s="10" t="s">
        <v>129</v>
      </c>
      <c r="C29" t="s">
        <v>11</v>
      </c>
      <c r="D29" t="s">
        <v>504</v>
      </c>
      <c r="E29" t="s">
        <v>11</v>
      </c>
    </row>
    <row r="30" spans="1:9" x14ac:dyDescent="0.2">
      <c r="A30" s="10" t="s">
        <v>268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130</v>
      </c>
      <c r="C32" t="s">
        <v>11</v>
      </c>
      <c r="D32" t="s">
        <v>11</v>
      </c>
      <c r="E32" t="s">
        <v>11</v>
      </c>
      <c r="I32" s="82"/>
    </row>
    <row r="33" spans="1:9" x14ac:dyDescent="0.2">
      <c r="A33" s="10" t="s">
        <v>269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270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271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272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273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131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132</v>
      </c>
      <c r="C39" t="s">
        <v>11</v>
      </c>
      <c r="D39" t="s">
        <v>11</v>
      </c>
      <c r="E39" t="s">
        <v>11</v>
      </c>
      <c r="I39" s="123"/>
    </row>
    <row r="40" spans="1:9" x14ac:dyDescent="0.2">
      <c r="A40" s="10" t="s">
        <v>274</v>
      </c>
      <c r="C40" t="s">
        <v>11</v>
      </c>
      <c r="D40" t="s">
        <v>11</v>
      </c>
      <c r="E40" t="s">
        <v>11</v>
      </c>
      <c r="I40" s="82"/>
    </row>
    <row r="41" spans="1:9" x14ac:dyDescent="0.2">
      <c r="A41" s="10" t="s">
        <v>275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133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276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134</v>
      </c>
      <c r="D44" t="s">
        <v>11</v>
      </c>
      <c r="E44" t="s">
        <v>11</v>
      </c>
    </row>
    <row r="45" spans="1:9" x14ac:dyDescent="0.2">
      <c r="A45" s="10" t="s">
        <v>277</v>
      </c>
    </row>
    <row r="46" spans="1:9" x14ac:dyDescent="0.2">
      <c r="A46" s="10" t="s">
        <v>278</v>
      </c>
      <c r="I46" s="82"/>
    </row>
    <row r="47" spans="1:9" x14ac:dyDescent="0.2">
      <c r="A47" s="10" t="s">
        <v>85</v>
      </c>
    </row>
    <row r="48" spans="1:9" x14ac:dyDescent="0.2">
      <c r="A48" s="10" t="s">
        <v>279</v>
      </c>
    </row>
    <row r="49" spans="1:9" x14ac:dyDescent="0.2">
      <c r="A49" s="10" t="s">
        <v>280</v>
      </c>
    </row>
    <row r="50" spans="1:9" x14ac:dyDescent="0.2">
      <c r="A50" s="10" t="s">
        <v>281</v>
      </c>
    </row>
    <row r="51" spans="1:9" x14ac:dyDescent="0.2">
      <c r="A51" s="10" t="s">
        <v>282</v>
      </c>
      <c r="I51" s="82"/>
    </row>
    <row r="52" spans="1:9" x14ac:dyDescent="0.2">
      <c r="A52" s="10" t="s">
        <v>283</v>
      </c>
    </row>
    <row r="53" spans="1:9" x14ac:dyDescent="0.2">
      <c r="A53" s="10" t="s">
        <v>284</v>
      </c>
    </row>
    <row r="54" spans="1:9" x14ac:dyDescent="0.2">
      <c r="A54" s="10" t="s">
        <v>285</v>
      </c>
    </row>
    <row r="55" spans="1:9" x14ac:dyDescent="0.2">
      <c r="A55" s="10" t="s">
        <v>286</v>
      </c>
    </row>
    <row r="56" spans="1:9" x14ac:dyDescent="0.2">
      <c r="A56" s="10" t="s">
        <v>287</v>
      </c>
      <c r="I56" s="82"/>
    </row>
    <row r="57" spans="1:9" x14ac:dyDescent="0.2">
      <c r="A57" s="10" t="s">
        <v>135</v>
      </c>
    </row>
    <row r="58" spans="1:9" x14ac:dyDescent="0.2">
      <c r="A58" s="10" t="s">
        <v>288</v>
      </c>
    </row>
    <row r="59" spans="1:9" x14ac:dyDescent="0.2">
      <c r="A59" s="10" t="s">
        <v>289</v>
      </c>
    </row>
    <row r="60" spans="1:9" x14ac:dyDescent="0.2">
      <c r="A60" s="10" t="s">
        <v>290</v>
      </c>
    </row>
    <row r="61" spans="1:9" x14ac:dyDescent="0.2">
      <c r="A61" s="10" t="s">
        <v>291</v>
      </c>
    </row>
    <row r="62" spans="1:9" x14ac:dyDescent="0.2">
      <c r="A62" s="10" t="s">
        <v>136</v>
      </c>
    </row>
    <row r="63" spans="1:9" x14ac:dyDescent="0.2">
      <c r="A63" s="10" t="s">
        <v>292</v>
      </c>
    </row>
    <row r="64" spans="1:9" x14ac:dyDescent="0.2">
      <c r="A64" s="10" t="s">
        <v>293</v>
      </c>
    </row>
    <row r="65" spans="1:9" x14ac:dyDescent="0.2">
      <c r="A65" s="10" t="s">
        <v>294</v>
      </c>
      <c r="I65" s="82"/>
    </row>
    <row r="66" spans="1:9" x14ac:dyDescent="0.2">
      <c r="A66" s="10" t="s">
        <v>295</v>
      </c>
    </row>
    <row r="67" spans="1:9" x14ac:dyDescent="0.2">
      <c r="A67" s="10" t="s">
        <v>296</v>
      </c>
    </row>
    <row r="68" spans="1:9" x14ac:dyDescent="0.2">
      <c r="A68" s="10" t="s">
        <v>297</v>
      </c>
    </row>
    <row r="69" spans="1:9" x14ac:dyDescent="0.2">
      <c r="A69" s="10" t="s">
        <v>86</v>
      </c>
    </row>
    <row r="70" spans="1:9" x14ac:dyDescent="0.2">
      <c r="A70" s="10" t="s">
        <v>298</v>
      </c>
    </row>
    <row r="71" spans="1:9" x14ac:dyDescent="0.2">
      <c r="A71" s="10" t="s">
        <v>299</v>
      </c>
      <c r="I71" s="82"/>
    </row>
    <row r="72" spans="1:9" x14ac:dyDescent="0.2">
      <c r="A72" s="10" t="s">
        <v>87</v>
      </c>
    </row>
    <row r="73" spans="1:9" x14ac:dyDescent="0.2">
      <c r="A73" s="10" t="s">
        <v>300</v>
      </c>
    </row>
    <row r="74" spans="1:9" x14ac:dyDescent="0.2">
      <c r="A74" s="10" t="s">
        <v>301</v>
      </c>
      <c r="I74" s="82"/>
    </row>
    <row r="75" spans="1:9" x14ac:dyDescent="0.2">
      <c r="A75" s="10" t="s">
        <v>302</v>
      </c>
    </row>
    <row r="76" spans="1:9" x14ac:dyDescent="0.2">
      <c r="A76" s="10" t="s">
        <v>303</v>
      </c>
    </row>
    <row r="77" spans="1:9" x14ac:dyDescent="0.2">
      <c r="A77" s="10" t="s">
        <v>304</v>
      </c>
    </row>
    <row r="78" spans="1:9" x14ac:dyDescent="0.2">
      <c r="A78" s="10" t="s">
        <v>305</v>
      </c>
    </row>
    <row r="81" spans="9:9" x14ac:dyDescent="0.2">
      <c r="I81" s="82"/>
    </row>
    <row r="85" spans="9:9" x14ac:dyDescent="0.2">
      <c r="I85" s="82"/>
    </row>
    <row r="91" spans="9:9" x14ac:dyDescent="0.2">
      <c r="I91" s="82"/>
    </row>
    <row r="96" spans="9:9" x14ac:dyDescent="0.2">
      <c r="I96" s="82"/>
    </row>
    <row r="101" spans="9:9" x14ac:dyDescent="0.2">
      <c r="I101" s="82"/>
    </row>
    <row r="106" spans="9:9" x14ac:dyDescent="0.2">
      <c r="I106" s="82"/>
    </row>
    <row r="111" spans="9:9" x14ac:dyDescent="0.2">
      <c r="I111" s="82"/>
    </row>
    <row r="119" spans="9:9" x14ac:dyDescent="0.2">
      <c r="I119" s="82"/>
    </row>
    <row r="129" spans="9:9" x14ac:dyDescent="0.2">
      <c r="I129" s="82"/>
    </row>
    <row r="134" spans="9:9" x14ac:dyDescent="0.2">
      <c r="I134" s="82"/>
    </row>
    <row r="141" spans="9:9" x14ac:dyDescent="0.2">
      <c r="I141" s="82"/>
    </row>
    <row r="143" spans="9:9" x14ac:dyDescent="0.2">
      <c r="I143" s="82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"/>
  <dimension ref="A1:CD59"/>
  <sheetViews>
    <sheetView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75 industries to 22 ",name!$B$2)</f>
        <v>Aggregation 75 industries to 22 Industry groups</v>
      </c>
    </row>
    <row r="2" spans="1:82" ht="164.25" customHeight="1" thickBot="1" x14ac:dyDescent="0.25">
      <c r="B2" s="124" t="str">
        <f t="array" ref="B2:BX2">TRANSPOSE(name!$A$4:$A$78)</f>
        <v>Agriculture, etc</v>
      </c>
      <c r="C2" s="124" t="str">
        <v>Coal, oil &amp; gas; Mining &amp; related</v>
      </c>
      <c r="D2" s="124" t="str">
        <v>Food products</v>
      </c>
      <c r="E2" s="124" t="str">
        <v>Beverages and tobacco</v>
      </c>
      <c r="F2" s="124" t="str">
        <v>Textiles</v>
      </c>
      <c r="G2" s="124" t="str">
        <v>Wearing apparel; Leather, etc</v>
      </c>
      <c r="H2" s="124" t="str">
        <v xml:space="preserve">Wood and cork </v>
      </c>
      <c r="I2" s="124" t="str">
        <v>Paper, etc</v>
      </c>
      <c r="J2" s="124" t="str">
        <v>Printing and recording</v>
      </c>
      <c r="K2" s="124" t="str">
        <v>Coke and petroleum; Chemicals, etc</v>
      </c>
      <c r="L2" s="124" t="str">
        <v>Pharmaceuticals</v>
      </c>
      <c r="M2" s="124" t="str">
        <v>Rubber and plastic</v>
      </c>
      <c r="N2" s="124" t="str">
        <v>Other non-metallic</v>
      </c>
      <c r="O2" s="124" t="str">
        <v>Basic metals</v>
      </c>
      <c r="P2" s="124" t="str">
        <v>Metal products</v>
      </c>
      <c r="Q2" s="124" t="str">
        <v>Computer, etc</v>
      </c>
      <c r="R2" s="124" t="str">
        <v>Electrical equipment</v>
      </c>
      <c r="S2" s="124" t="str">
        <v>Machinery n.e.c.</v>
      </c>
      <c r="T2" s="124" t="str">
        <v>Motor vehicles, etc</v>
      </c>
      <c r="U2" s="124" t="str">
        <v>Other transport equipment</v>
      </c>
      <c r="V2" s="124" t="str">
        <v>Furniture</v>
      </c>
      <c r="W2" s="124" t="str">
        <v>Other manufacturing</v>
      </c>
      <c r="X2" s="124" t="str">
        <v>Repair and installation</v>
      </c>
      <c r="Y2" s="124" t="str">
        <v>Electricity, gas, etc</v>
      </c>
      <c r="Z2" s="124" t="str">
        <v>Water</v>
      </c>
      <c r="AA2" s="124" t="str">
        <v>Sewerage</v>
      </c>
      <c r="AB2" s="124" t="str">
        <v>Waste management</v>
      </c>
      <c r="AC2" s="124" t="str">
        <v>Construction</v>
      </c>
      <c r="AD2" s="124" t="str">
        <v>Civil engineering</v>
      </c>
      <c r="AE2" s="124" t="str">
        <v>Specialised construction</v>
      </c>
      <c r="AF2" s="124" t="str">
        <v>Motor vehicle trade</v>
      </c>
      <c r="AG2" s="124" t="str">
        <v>Wholesale trade</v>
      </c>
      <c r="AH2" s="124" t="str">
        <v>Retail trade</v>
      </c>
      <c r="AI2" s="124" t="str">
        <v>Land transport, etc</v>
      </c>
      <c r="AJ2" s="124" t="str">
        <v>Water transport</v>
      </c>
      <c r="AK2" s="124" t="str">
        <v>Air transport</v>
      </c>
      <c r="AL2" s="124" t="str">
        <v>Warehousing, etc</v>
      </c>
      <c r="AM2" s="124" t="str">
        <v>Postal and courier</v>
      </c>
      <c r="AN2" s="124" t="str">
        <v>Accommodation</v>
      </c>
      <c r="AO2" s="124" t="str">
        <v>Food and beverage services</v>
      </c>
      <c r="AP2" s="124" t="str">
        <v>Publishing activities</v>
      </c>
      <c r="AQ2" s="124" t="str">
        <v>Film and music</v>
      </c>
      <c r="AR2" s="124" t="str">
        <v>Broadcasting</v>
      </c>
      <c r="AS2" s="124" t="str">
        <v>Telecommunications</v>
      </c>
      <c r="AT2" s="124" t="str">
        <v>Computing services</v>
      </c>
      <c r="AU2" s="124" t="str">
        <v>Information services</v>
      </c>
      <c r="AV2" s="124" t="str">
        <v>Financial services</v>
      </c>
      <c r="AW2" s="124" t="str">
        <v>Insurance and pensions</v>
      </c>
      <c r="AX2" s="124" t="str">
        <v>Auxiliary financial services</v>
      </c>
      <c r="AY2" s="124" t="str">
        <v>Real estate</v>
      </c>
      <c r="AZ2" s="124" t="str">
        <v>Legal and accounting</v>
      </c>
      <c r="BA2" s="124" t="str">
        <v>Head offices, etc</v>
      </c>
      <c r="BB2" s="124" t="str">
        <v>Architectural and related</v>
      </c>
      <c r="BC2" s="124" t="str">
        <v>Scientific research and development</v>
      </c>
      <c r="BD2" s="124" t="str">
        <v>Advertising, etc</v>
      </c>
      <c r="BE2" s="124" t="str">
        <v>Other professional</v>
      </c>
      <c r="BF2" s="124" t="str">
        <v>Veterinary</v>
      </c>
      <c r="BG2" s="124" t="str">
        <v>Rental and leasing</v>
      </c>
      <c r="BH2" s="124" t="str">
        <v>Employment activities</v>
      </c>
      <c r="BI2" s="124" t="str">
        <v>Travel, etc</v>
      </c>
      <c r="BJ2" s="124" t="str">
        <v>Security, etc</v>
      </c>
      <c r="BK2" s="124" t="str">
        <v>Services to buildings</v>
      </c>
      <c r="BL2" s="124" t="str">
        <v>Office administrative</v>
      </c>
      <c r="BM2" s="124" t="str">
        <v>Public administration and defence</v>
      </c>
      <c r="BN2" s="124" t="str">
        <v xml:space="preserve">Education </v>
      </c>
      <c r="BO2" s="124" t="str">
        <v>Health</v>
      </c>
      <c r="BP2" s="124" t="str">
        <v>Residential care</v>
      </c>
      <c r="BQ2" s="124" t="str">
        <v>Social work</v>
      </c>
      <c r="BR2" s="124" t="str">
        <v>Arts and entertainment</v>
      </c>
      <c r="BS2" s="124" t="str">
        <v>Libraries, etc</v>
      </c>
      <c r="BT2" s="124" t="str">
        <v>Gambling and betting</v>
      </c>
      <c r="BU2" s="124" t="str">
        <v>Sport and recreation</v>
      </c>
      <c r="BV2" s="124" t="str">
        <v>Membership organisations</v>
      </c>
      <c r="BW2" s="124" t="str">
        <v>Repair of goods</v>
      </c>
      <c r="BX2" s="124" t="str">
        <v>Other personal service</v>
      </c>
      <c r="BY2" s="124"/>
      <c r="BZ2" s="124"/>
      <c r="CA2" s="124"/>
      <c r="CB2" s="124"/>
      <c r="CC2" s="124"/>
      <c r="CD2" s="124"/>
    </row>
    <row r="3" spans="1:82" x14ac:dyDescent="0.2">
      <c r="A3" t="str">
        <f>name!B4</f>
        <v>Agriculture</v>
      </c>
      <c r="B3" s="196">
        <v>1</v>
      </c>
      <c r="C3" s="230">
        <v>0</v>
      </c>
      <c r="D3" s="230">
        <v>0</v>
      </c>
      <c r="E3" s="230">
        <v>0</v>
      </c>
      <c r="F3" s="230">
        <v>0</v>
      </c>
      <c r="G3" s="230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4">
        <v>0</v>
      </c>
      <c r="BY3">
        <v>1</v>
      </c>
    </row>
    <row r="4" spans="1:82" x14ac:dyDescent="0.2">
      <c r="A4" t="str">
        <f>name!B5</f>
        <v>Mining and quarrying</v>
      </c>
      <c r="B4" s="5">
        <v>0</v>
      </c>
      <c r="C4">
        <v>1</v>
      </c>
      <c r="D4">
        <v>0</v>
      </c>
      <c r="E4" s="82">
        <v>0</v>
      </c>
      <c r="F4" s="82">
        <v>0</v>
      </c>
      <c r="G4" s="82">
        <v>0</v>
      </c>
      <c r="H4" s="82">
        <v>0</v>
      </c>
      <c r="I4" s="82">
        <v>0</v>
      </c>
      <c r="J4" s="82">
        <v>0</v>
      </c>
      <c r="K4" s="82">
        <v>0</v>
      </c>
      <c r="L4" s="82">
        <v>0</v>
      </c>
      <c r="M4" s="82">
        <v>0</v>
      </c>
      <c r="N4" s="82">
        <v>0</v>
      </c>
      <c r="O4" s="82">
        <v>0</v>
      </c>
      <c r="P4" s="82">
        <v>0</v>
      </c>
      <c r="Q4" s="82">
        <v>0</v>
      </c>
      <c r="R4" s="82">
        <v>0</v>
      </c>
      <c r="S4" s="82">
        <v>0</v>
      </c>
      <c r="T4" s="82">
        <v>0</v>
      </c>
      <c r="U4" s="82">
        <v>0</v>
      </c>
      <c r="V4" s="82">
        <v>0</v>
      </c>
      <c r="W4" s="82">
        <v>0</v>
      </c>
      <c r="X4" s="82">
        <v>0</v>
      </c>
      <c r="Y4" s="82">
        <v>0</v>
      </c>
      <c r="Z4" s="82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2">
        <v>0</v>
      </c>
      <c r="AG4" s="82">
        <v>0</v>
      </c>
      <c r="AH4" s="82">
        <v>0</v>
      </c>
      <c r="AI4" s="82">
        <v>0</v>
      </c>
      <c r="AJ4" s="82">
        <v>0</v>
      </c>
      <c r="AK4" s="82">
        <v>0</v>
      </c>
      <c r="AL4" s="82">
        <v>0</v>
      </c>
      <c r="AM4" s="82">
        <v>0</v>
      </c>
      <c r="AN4" s="82">
        <v>0</v>
      </c>
      <c r="AO4" s="82">
        <v>0</v>
      </c>
      <c r="AP4" s="82">
        <v>0</v>
      </c>
      <c r="AQ4" s="82">
        <v>0</v>
      </c>
      <c r="AR4" s="82">
        <v>0</v>
      </c>
      <c r="AS4" s="82">
        <v>0</v>
      </c>
      <c r="AT4" s="82">
        <v>0</v>
      </c>
      <c r="AU4" s="82">
        <v>0</v>
      </c>
      <c r="AV4" s="82">
        <v>0</v>
      </c>
      <c r="AW4" s="82">
        <v>0</v>
      </c>
      <c r="AX4" s="82">
        <v>0</v>
      </c>
      <c r="AY4" s="82">
        <v>0</v>
      </c>
      <c r="AZ4" s="82">
        <v>0</v>
      </c>
      <c r="BA4" s="82">
        <v>0</v>
      </c>
      <c r="BB4" s="82">
        <v>0</v>
      </c>
      <c r="BC4" s="82">
        <v>0</v>
      </c>
      <c r="BD4" s="82">
        <v>0</v>
      </c>
      <c r="BE4" s="82">
        <v>0</v>
      </c>
      <c r="BF4" s="82">
        <v>0</v>
      </c>
      <c r="BG4" s="82">
        <v>0</v>
      </c>
      <c r="BH4" s="82">
        <v>0</v>
      </c>
      <c r="BI4" s="82">
        <v>0</v>
      </c>
      <c r="BJ4" s="82">
        <v>0</v>
      </c>
      <c r="BK4" s="82">
        <v>0</v>
      </c>
      <c r="BL4" s="82">
        <v>0</v>
      </c>
      <c r="BM4" s="82">
        <v>0</v>
      </c>
      <c r="BN4" s="82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 s="6">
        <v>0</v>
      </c>
      <c r="BY4">
        <v>2</v>
      </c>
    </row>
    <row r="5" spans="1:82" x14ac:dyDescent="0.2">
      <c r="A5" t="str">
        <f>name!B6</f>
        <v>Food drink and tobacco</v>
      </c>
      <c r="B5" s="5">
        <v>0</v>
      </c>
      <c r="C5">
        <v>0</v>
      </c>
      <c r="D5">
        <v>1</v>
      </c>
      <c r="E5">
        <v>1</v>
      </c>
      <c r="F5">
        <v>0</v>
      </c>
      <c r="G5">
        <v>0</v>
      </c>
      <c r="H5" s="82">
        <v>0</v>
      </c>
      <c r="I5" s="82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 s="6">
        <v>0</v>
      </c>
      <c r="BY5">
        <v>3</v>
      </c>
    </row>
    <row r="6" spans="1:82" x14ac:dyDescent="0.2">
      <c r="A6" t="str">
        <f>name!B7</f>
        <v>Engineering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 s="82">
        <v>0</v>
      </c>
      <c r="I6" s="82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1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 s="6">
        <v>0</v>
      </c>
      <c r="BY6">
        <v>4</v>
      </c>
    </row>
    <row r="7" spans="1:82" x14ac:dyDescent="0.2">
      <c r="A7" t="str">
        <f>name!B8</f>
        <v>Rest of manufacturing</v>
      </c>
      <c r="B7" s="5">
        <v>0</v>
      </c>
      <c r="C7">
        <v>0</v>
      </c>
      <c r="D7">
        <v>0</v>
      </c>
      <c r="E7">
        <v>0</v>
      </c>
      <c r="F7">
        <v>1</v>
      </c>
      <c r="G7">
        <v>1</v>
      </c>
      <c r="H7">
        <v>1</v>
      </c>
      <c r="I7">
        <v>1</v>
      </c>
      <c r="J7" s="1">
        <v>1</v>
      </c>
      <c r="K7" s="1">
        <v>1</v>
      </c>
      <c r="L7" s="1">
        <v>1</v>
      </c>
      <c r="M7" s="82">
        <v>1</v>
      </c>
      <c r="N7" s="82">
        <v>1</v>
      </c>
      <c r="O7" s="82">
        <v>1</v>
      </c>
      <c r="P7" s="82">
        <v>1</v>
      </c>
      <c r="Q7">
        <v>0</v>
      </c>
      <c r="R7">
        <v>0</v>
      </c>
      <c r="S7">
        <v>0</v>
      </c>
      <c r="T7">
        <v>1</v>
      </c>
      <c r="U7">
        <v>1</v>
      </c>
      <c r="V7">
        <v>1</v>
      </c>
      <c r="W7">
        <v>1</v>
      </c>
      <c r="X7">
        <v>1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 s="6">
        <v>0</v>
      </c>
      <c r="BY7">
        <v>5</v>
      </c>
    </row>
    <row r="8" spans="1:82" x14ac:dyDescent="0.2">
      <c r="A8" t="str">
        <f>name!B9</f>
        <v>Electricity and gas</v>
      </c>
      <c r="B8" s="5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82">
        <v>0</v>
      </c>
      <c r="M8" s="82">
        <v>0</v>
      </c>
      <c r="N8" s="82">
        <v>0</v>
      </c>
      <c r="O8" s="82">
        <v>0</v>
      </c>
      <c r="P8" s="82">
        <v>0</v>
      </c>
      <c r="Q8" s="82">
        <v>0</v>
      </c>
      <c r="R8" s="82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1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 s="6">
        <v>0</v>
      </c>
      <c r="BY8">
        <v>6</v>
      </c>
    </row>
    <row r="9" spans="1:82" x14ac:dyDescent="0.2">
      <c r="A9" t="str">
        <f>name!B10</f>
        <v>Water and sewerage</v>
      </c>
      <c r="B9" s="5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82">
        <v>0</v>
      </c>
      <c r="M9" s="82">
        <v>0</v>
      </c>
      <c r="N9" s="82">
        <v>0</v>
      </c>
      <c r="O9" s="82">
        <v>0</v>
      </c>
      <c r="P9" s="82">
        <v>0</v>
      </c>
      <c r="Q9" s="82">
        <v>0</v>
      </c>
      <c r="R9" s="82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1</v>
      </c>
      <c r="AB9">
        <v>1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 s="6">
        <v>0</v>
      </c>
      <c r="BY9">
        <v>7</v>
      </c>
    </row>
    <row r="10" spans="1:82" x14ac:dyDescent="0.2">
      <c r="A10" t="str">
        <f>name!B11</f>
        <v>Construction</v>
      </c>
      <c r="B10" s="5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82">
        <v>0</v>
      </c>
      <c r="M10" s="82">
        <v>0</v>
      </c>
      <c r="N10" s="82">
        <v>0</v>
      </c>
      <c r="O10" s="82">
        <v>0</v>
      </c>
      <c r="P10" s="82">
        <v>0</v>
      </c>
      <c r="Q10" s="82">
        <v>0</v>
      </c>
      <c r="R10" s="82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1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 s="6">
        <v>0</v>
      </c>
      <c r="BY10">
        <v>8</v>
      </c>
    </row>
    <row r="11" spans="1:82" x14ac:dyDescent="0.2">
      <c r="A11" t="str">
        <f>name!B12</f>
        <v>Wholesale and retail trade</v>
      </c>
      <c r="B11" s="5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82">
        <v>0</v>
      </c>
      <c r="M11" s="82">
        <v>0</v>
      </c>
      <c r="N11" s="82">
        <v>0</v>
      </c>
      <c r="O11" s="82">
        <v>0</v>
      </c>
      <c r="P11" s="82">
        <v>0</v>
      </c>
      <c r="Q11" s="82">
        <v>0</v>
      </c>
      <c r="R11" s="82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 s="6">
        <v>0</v>
      </c>
      <c r="BY11">
        <v>9</v>
      </c>
    </row>
    <row r="12" spans="1:82" x14ac:dyDescent="0.2">
      <c r="A12" t="str">
        <f>name!B13</f>
        <v>Transport and storage</v>
      </c>
      <c r="B12" s="5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82">
        <v>0</v>
      </c>
      <c r="M12" s="82">
        <v>0</v>
      </c>
      <c r="N12" s="82">
        <v>0</v>
      </c>
      <c r="O12" s="82">
        <v>0</v>
      </c>
      <c r="P12" s="82">
        <v>0</v>
      </c>
      <c r="Q12" s="82">
        <v>0</v>
      </c>
      <c r="R12" s="8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 s="6">
        <v>0</v>
      </c>
      <c r="BY12">
        <v>10</v>
      </c>
    </row>
    <row r="13" spans="1:82" x14ac:dyDescent="0.2">
      <c r="A13" t="str">
        <f>name!B14</f>
        <v>Accommodation and food</v>
      </c>
      <c r="B13" s="5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82">
        <v>0</v>
      </c>
      <c r="M13" s="82">
        <v>0</v>
      </c>
      <c r="N13" s="82">
        <v>0</v>
      </c>
      <c r="O13" s="82">
        <v>0</v>
      </c>
      <c r="P13" s="82">
        <v>0</v>
      </c>
      <c r="Q13" s="82">
        <v>0</v>
      </c>
      <c r="R13" s="82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 s="6">
        <v>0</v>
      </c>
      <c r="BY13">
        <v>11</v>
      </c>
    </row>
    <row r="14" spans="1:82" x14ac:dyDescent="0.2">
      <c r="A14" t="str">
        <f>name!B15</f>
        <v>Media</v>
      </c>
      <c r="B14" s="5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82">
        <v>0</v>
      </c>
      <c r="M14" s="82">
        <v>0</v>
      </c>
      <c r="N14" s="82">
        <v>0</v>
      </c>
      <c r="O14" s="82">
        <v>0</v>
      </c>
      <c r="P14" s="82">
        <v>0</v>
      </c>
      <c r="Q14" s="82">
        <v>0</v>
      </c>
      <c r="R14" s="82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1</v>
      </c>
      <c r="AQ14">
        <v>1</v>
      </c>
      <c r="AR14">
        <v>1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 s="6">
        <v>0</v>
      </c>
      <c r="BY14">
        <v>12</v>
      </c>
    </row>
    <row r="15" spans="1:82" x14ac:dyDescent="0.2">
      <c r="A15" t="str">
        <f>name!B16</f>
        <v>Information technology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 s="82">
        <v>0</v>
      </c>
      <c r="M15" s="82">
        <v>0</v>
      </c>
      <c r="N15" s="82">
        <v>0</v>
      </c>
      <c r="O15" s="82">
        <v>0</v>
      </c>
      <c r="P15" s="82">
        <v>0</v>
      </c>
      <c r="Q15" s="82">
        <v>0</v>
      </c>
      <c r="R15" s="82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 s="6">
        <v>0</v>
      </c>
      <c r="BY15">
        <v>13</v>
      </c>
    </row>
    <row r="16" spans="1:82" x14ac:dyDescent="0.2">
      <c r="A16" t="str">
        <f>name!B17</f>
        <v>Finance and insurance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 s="82">
        <v>0</v>
      </c>
      <c r="M16" s="82">
        <v>0</v>
      </c>
      <c r="N16" s="82">
        <v>0</v>
      </c>
      <c r="O16" s="82">
        <v>0</v>
      </c>
      <c r="P16" s="82">
        <v>0</v>
      </c>
      <c r="Q16" s="82">
        <v>0</v>
      </c>
      <c r="R16" s="82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1</v>
      </c>
      <c r="AW16">
        <v>1</v>
      </c>
      <c r="AX16">
        <v>1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 s="6">
        <v>0</v>
      </c>
      <c r="BY16">
        <v>14</v>
      </c>
    </row>
    <row r="17" spans="1:77" x14ac:dyDescent="0.2">
      <c r="A17" t="str">
        <f>name!B18</f>
        <v>Real estate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 s="82">
        <v>0</v>
      </c>
      <c r="M17" s="82">
        <v>0</v>
      </c>
      <c r="N17" s="82">
        <v>0</v>
      </c>
      <c r="O17" s="82">
        <v>0</v>
      </c>
      <c r="P17" s="82">
        <v>0</v>
      </c>
      <c r="Q17" s="82">
        <v>0</v>
      </c>
      <c r="R17" s="82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 s="6">
        <v>0</v>
      </c>
      <c r="BY17">
        <v>15</v>
      </c>
    </row>
    <row r="18" spans="1:77" x14ac:dyDescent="0.2">
      <c r="A18" t="str">
        <f>name!B19</f>
        <v>Professional services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 s="82">
        <v>0</v>
      </c>
      <c r="M18" s="82">
        <v>0</v>
      </c>
      <c r="N18" s="82">
        <v>0</v>
      </c>
      <c r="O18" s="82">
        <v>0</v>
      </c>
      <c r="P18" s="82">
        <v>0</v>
      </c>
      <c r="Q18" s="82">
        <v>0</v>
      </c>
      <c r="R18" s="82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 s="6">
        <v>0</v>
      </c>
      <c r="BY18">
        <v>16</v>
      </c>
    </row>
    <row r="19" spans="1:77" x14ac:dyDescent="0.2">
      <c r="A19" t="str">
        <f>name!B20</f>
        <v>Support services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 s="82">
        <v>0</v>
      </c>
      <c r="M19" s="82">
        <v>0</v>
      </c>
      <c r="N19" s="82">
        <v>0</v>
      </c>
      <c r="O19" s="82">
        <v>0</v>
      </c>
      <c r="P19" s="82">
        <v>0</v>
      </c>
      <c r="Q19" s="82">
        <v>0</v>
      </c>
      <c r="R19" s="82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 s="6">
        <v>0</v>
      </c>
      <c r="BY19">
        <v>17</v>
      </c>
    </row>
    <row r="20" spans="1:77" x14ac:dyDescent="0.2">
      <c r="A20" t="str">
        <f>name!B21</f>
        <v>Public admin. and defence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 s="82">
        <v>0</v>
      </c>
      <c r="M20" s="82">
        <v>0</v>
      </c>
      <c r="N20" s="82">
        <v>0</v>
      </c>
      <c r="O20" s="82">
        <v>0</v>
      </c>
      <c r="P20" s="82">
        <v>0</v>
      </c>
      <c r="Q20" s="82">
        <v>0</v>
      </c>
      <c r="R20" s="82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 s="6">
        <v>0</v>
      </c>
      <c r="BY20">
        <v>18</v>
      </c>
    </row>
    <row r="21" spans="1:77" x14ac:dyDescent="0.2">
      <c r="A21" t="str">
        <f>name!B22</f>
        <v>Education</v>
      </c>
      <c r="B21" s="5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82">
        <v>0</v>
      </c>
      <c r="M21" s="82">
        <v>0</v>
      </c>
      <c r="N21" s="82">
        <v>0</v>
      </c>
      <c r="O21" s="82">
        <v>0</v>
      </c>
      <c r="P21" s="82">
        <v>0</v>
      </c>
      <c r="Q21" s="82">
        <v>0</v>
      </c>
      <c r="R21" s="82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1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 s="6">
        <v>0</v>
      </c>
      <c r="BY21">
        <v>19</v>
      </c>
    </row>
    <row r="22" spans="1:77" x14ac:dyDescent="0.2">
      <c r="A22" t="str">
        <f>name!B23</f>
        <v>Health and social work</v>
      </c>
      <c r="B22" s="5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82">
        <v>0</v>
      </c>
      <c r="M22" s="82">
        <v>0</v>
      </c>
      <c r="N22" s="82">
        <v>0</v>
      </c>
      <c r="O22" s="82">
        <v>0</v>
      </c>
      <c r="P22" s="82">
        <v>0</v>
      </c>
      <c r="Q22" s="82">
        <v>0</v>
      </c>
      <c r="R22" s="8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1</v>
      </c>
      <c r="BP22">
        <v>1</v>
      </c>
      <c r="BQ22">
        <v>1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 s="6">
        <v>0</v>
      </c>
      <c r="BY22">
        <v>20</v>
      </c>
    </row>
    <row r="23" spans="1:77" x14ac:dyDescent="0.2">
      <c r="A23" t="str">
        <f>name!B24</f>
        <v>Arts and entertainment</v>
      </c>
      <c r="B23" s="5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82">
        <v>0</v>
      </c>
      <c r="M23" s="82">
        <v>0</v>
      </c>
      <c r="N23" s="82">
        <v>0</v>
      </c>
      <c r="O23" s="82">
        <v>0</v>
      </c>
      <c r="P23" s="82">
        <v>0</v>
      </c>
      <c r="Q23" s="82">
        <v>0</v>
      </c>
      <c r="R23" s="82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1</v>
      </c>
      <c r="BS23">
        <v>1</v>
      </c>
      <c r="BT23">
        <v>1</v>
      </c>
      <c r="BU23">
        <v>1</v>
      </c>
      <c r="BV23">
        <v>0</v>
      </c>
      <c r="BW23">
        <v>0</v>
      </c>
      <c r="BX23" s="6">
        <v>0</v>
      </c>
      <c r="BY23">
        <v>21</v>
      </c>
    </row>
    <row r="24" spans="1:77" ht="13.5" thickBot="1" x14ac:dyDescent="0.25">
      <c r="A24" t="str">
        <f>name!B25</f>
        <v>Other services</v>
      </c>
      <c r="B24" s="7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229">
        <v>0</v>
      </c>
      <c r="M24" s="229">
        <v>0</v>
      </c>
      <c r="N24" s="229">
        <v>0</v>
      </c>
      <c r="O24" s="229">
        <v>0</v>
      </c>
      <c r="P24" s="229">
        <v>0</v>
      </c>
      <c r="Q24" s="229">
        <v>0</v>
      </c>
      <c r="R24" s="229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8">
        <v>0</v>
      </c>
      <c r="BO24" s="8">
        <v>0</v>
      </c>
      <c r="BP24" s="8">
        <v>0</v>
      </c>
      <c r="BQ24" s="8">
        <v>0</v>
      </c>
      <c r="BR24" s="8">
        <v>0</v>
      </c>
      <c r="BS24" s="8">
        <v>0</v>
      </c>
      <c r="BT24" s="8">
        <v>0</v>
      </c>
      <c r="BU24" s="8">
        <v>0</v>
      </c>
      <c r="BV24" s="8">
        <v>1</v>
      </c>
      <c r="BW24" s="8">
        <v>1</v>
      </c>
      <c r="BX24" s="9">
        <v>1</v>
      </c>
      <c r="BY24">
        <v>22</v>
      </c>
    </row>
    <row r="25" spans="1:77" x14ac:dyDescent="0.2">
      <c r="B25">
        <v>1</v>
      </c>
      <c r="C25">
        <v>2</v>
      </c>
      <c r="D25">
        <v>3</v>
      </c>
      <c r="E25">
        <v>4</v>
      </c>
      <c r="F25">
        <v>5</v>
      </c>
      <c r="G25">
        <v>6</v>
      </c>
      <c r="H25">
        <v>7</v>
      </c>
      <c r="I25">
        <v>8</v>
      </c>
      <c r="J25">
        <v>9</v>
      </c>
      <c r="K25">
        <v>10</v>
      </c>
      <c r="L25">
        <v>11</v>
      </c>
      <c r="M25">
        <v>12</v>
      </c>
      <c r="N25">
        <v>13</v>
      </c>
      <c r="O25">
        <v>14</v>
      </c>
      <c r="P25">
        <v>15</v>
      </c>
      <c r="Q25">
        <v>16</v>
      </c>
      <c r="R25">
        <v>17</v>
      </c>
      <c r="S25">
        <v>18</v>
      </c>
      <c r="T25">
        <v>19</v>
      </c>
      <c r="U25">
        <v>20</v>
      </c>
      <c r="V25">
        <v>21</v>
      </c>
      <c r="W25">
        <v>22</v>
      </c>
      <c r="X25">
        <v>23</v>
      </c>
      <c r="Y25">
        <v>24</v>
      </c>
      <c r="Z25">
        <v>25</v>
      </c>
      <c r="AA25">
        <v>26</v>
      </c>
      <c r="AB25">
        <v>27</v>
      </c>
      <c r="AC25">
        <v>28</v>
      </c>
      <c r="AD25">
        <v>29</v>
      </c>
      <c r="AE25">
        <v>30</v>
      </c>
      <c r="AF25">
        <v>31</v>
      </c>
      <c r="AG25">
        <v>32</v>
      </c>
      <c r="AH25">
        <v>33</v>
      </c>
      <c r="AI25">
        <v>34</v>
      </c>
      <c r="AJ25">
        <v>35</v>
      </c>
      <c r="AK25">
        <v>36</v>
      </c>
      <c r="AL25">
        <v>37</v>
      </c>
      <c r="AM25">
        <v>38</v>
      </c>
      <c r="AN25">
        <v>39</v>
      </c>
      <c r="AO25">
        <v>40</v>
      </c>
      <c r="AP25">
        <v>41</v>
      </c>
      <c r="AQ25">
        <v>42</v>
      </c>
      <c r="AR25">
        <v>43</v>
      </c>
      <c r="AS25">
        <v>44</v>
      </c>
      <c r="AT25">
        <v>45</v>
      </c>
      <c r="AU25">
        <v>46</v>
      </c>
      <c r="AV25">
        <v>47</v>
      </c>
      <c r="AW25">
        <v>48</v>
      </c>
      <c r="AX25">
        <v>49</v>
      </c>
      <c r="AY25">
        <v>50</v>
      </c>
      <c r="AZ25">
        <v>51</v>
      </c>
      <c r="BA25">
        <v>52</v>
      </c>
      <c r="BB25">
        <v>53</v>
      </c>
      <c r="BC25">
        <v>54</v>
      </c>
      <c r="BD25">
        <v>55</v>
      </c>
      <c r="BE25">
        <v>56</v>
      </c>
      <c r="BF25">
        <v>57</v>
      </c>
      <c r="BG25">
        <v>58</v>
      </c>
      <c r="BH25">
        <v>59</v>
      </c>
      <c r="BI25">
        <v>60</v>
      </c>
      <c r="BJ25">
        <v>61</v>
      </c>
      <c r="BK25">
        <v>62</v>
      </c>
      <c r="BL25">
        <v>63</v>
      </c>
      <c r="BM25">
        <v>64</v>
      </c>
      <c r="BN25">
        <v>65</v>
      </c>
      <c r="BO25">
        <v>66</v>
      </c>
      <c r="BP25">
        <v>67</v>
      </c>
      <c r="BQ25">
        <v>68</v>
      </c>
      <c r="BR25">
        <v>69</v>
      </c>
      <c r="BS25">
        <v>70</v>
      </c>
      <c r="BT25">
        <v>71</v>
      </c>
      <c r="BU25">
        <v>72</v>
      </c>
      <c r="BV25">
        <v>73</v>
      </c>
      <c r="BW25">
        <v>74</v>
      </c>
      <c r="BX25">
        <v>75</v>
      </c>
    </row>
    <row r="27" spans="1:77" ht="13.5" thickBot="1" x14ac:dyDescent="0.25">
      <c r="A27" s="1" t="str">
        <f>CONCATENATE("Aggregation 75 industries to 6 ",name!C2)</f>
        <v>Aggregation 75 industries to 6 Industry sectors</v>
      </c>
    </row>
    <row r="28" spans="1:77" x14ac:dyDescent="0.2">
      <c r="A28" s="10" t="str">
        <f>name!C4</f>
        <v>Primary sector and utilities</v>
      </c>
      <c r="B28" s="2">
        <v>1</v>
      </c>
      <c r="C28" s="3">
        <v>1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1</v>
      </c>
      <c r="Z28" s="3">
        <v>1</v>
      </c>
      <c r="AA28" s="3">
        <v>1</v>
      </c>
      <c r="AB28" s="3">
        <v>1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</v>
      </c>
      <c r="BD28" s="3">
        <v>0</v>
      </c>
      <c r="BE28" s="3">
        <v>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</v>
      </c>
      <c r="BQ28" s="3">
        <v>0</v>
      </c>
      <c r="BR28" s="3">
        <v>0</v>
      </c>
      <c r="BS28" s="3">
        <v>0</v>
      </c>
      <c r="BT28" s="3">
        <v>0</v>
      </c>
      <c r="BU28" s="3">
        <v>0</v>
      </c>
      <c r="BV28" s="3">
        <v>0</v>
      </c>
      <c r="BW28" s="3">
        <v>0</v>
      </c>
      <c r="BX28" s="4">
        <v>0</v>
      </c>
      <c r="BY28">
        <v>1</v>
      </c>
    </row>
    <row r="29" spans="1:77" x14ac:dyDescent="0.2">
      <c r="A29" s="10" t="str">
        <f>name!C5</f>
        <v>Manufacturing</v>
      </c>
      <c r="B29" s="5">
        <v>0</v>
      </c>
      <c r="C29">
        <v>0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 s="6">
        <v>0</v>
      </c>
      <c r="BY29">
        <v>2</v>
      </c>
    </row>
    <row r="30" spans="1:77" x14ac:dyDescent="0.2">
      <c r="A30" s="10" t="str">
        <f>name!C6</f>
        <v>Construction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1</v>
      </c>
      <c r="AE30">
        <v>1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 s="6">
        <v>0</v>
      </c>
      <c r="BY30">
        <v>3</v>
      </c>
    </row>
    <row r="31" spans="1:77" x14ac:dyDescent="0.2">
      <c r="A31" s="10" t="str">
        <f>name!C7</f>
        <v>Trade, accomod. and transport</v>
      </c>
      <c r="B31" s="5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 s="6">
        <v>0</v>
      </c>
      <c r="BY31">
        <v>4</v>
      </c>
    </row>
    <row r="32" spans="1:77" x14ac:dyDescent="0.2">
      <c r="A32" s="10" t="str">
        <f>name!C8</f>
        <v>Business and other services</v>
      </c>
      <c r="B32" s="5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 s="6">
        <v>1</v>
      </c>
      <c r="BY32">
        <v>5</v>
      </c>
    </row>
    <row r="33" spans="1:77" ht="13.5" thickBot="1" x14ac:dyDescent="0.25">
      <c r="A33" s="10" t="str">
        <f>name!C9</f>
        <v>Non-marketed services</v>
      </c>
      <c r="B33" s="7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8">
        <v>0</v>
      </c>
      <c r="AN33" s="8">
        <v>0</v>
      </c>
      <c r="AO33" s="8">
        <v>0</v>
      </c>
      <c r="AP33" s="8">
        <v>0</v>
      </c>
      <c r="AQ33" s="8">
        <v>0</v>
      </c>
      <c r="AR33" s="8">
        <v>0</v>
      </c>
      <c r="AS33" s="8">
        <v>0</v>
      </c>
      <c r="AT33" s="8">
        <v>0</v>
      </c>
      <c r="AU33" s="8">
        <v>0</v>
      </c>
      <c r="AV33" s="8">
        <v>0</v>
      </c>
      <c r="AW33" s="8">
        <v>0</v>
      </c>
      <c r="AX33" s="8">
        <v>0</v>
      </c>
      <c r="AY33" s="8">
        <v>0</v>
      </c>
      <c r="AZ33" s="8">
        <v>0</v>
      </c>
      <c r="BA33" s="8">
        <v>0</v>
      </c>
      <c r="BB33" s="8">
        <v>0</v>
      </c>
      <c r="BC33" s="8">
        <v>0</v>
      </c>
      <c r="BD33" s="8">
        <v>0</v>
      </c>
      <c r="BE33" s="8">
        <v>0</v>
      </c>
      <c r="BF33" s="8">
        <v>0</v>
      </c>
      <c r="BG33" s="8">
        <v>0</v>
      </c>
      <c r="BH33" s="8">
        <v>0</v>
      </c>
      <c r="BI33" s="8">
        <v>0</v>
      </c>
      <c r="BJ33" s="8">
        <v>0</v>
      </c>
      <c r="BK33" s="8">
        <v>0</v>
      </c>
      <c r="BL33" s="8">
        <v>0</v>
      </c>
      <c r="BM33" s="8">
        <v>1</v>
      </c>
      <c r="BN33" s="8">
        <v>1</v>
      </c>
      <c r="BO33" s="8">
        <v>1</v>
      </c>
      <c r="BP33" s="8">
        <v>1</v>
      </c>
      <c r="BQ33" s="8">
        <v>1</v>
      </c>
      <c r="BR33" s="8">
        <v>0</v>
      </c>
      <c r="BS33" s="8">
        <v>0</v>
      </c>
      <c r="BT33" s="8">
        <v>0</v>
      </c>
      <c r="BU33" s="8">
        <v>0</v>
      </c>
      <c r="BV33" s="8">
        <v>0</v>
      </c>
      <c r="BW33" s="8">
        <v>0</v>
      </c>
      <c r="BX33" s="9">
        <v>0</v>
      </c>
      <c r="BY33">
        <v>6</v>
      </c>
    </row>
    <row r="34" spans="1:77" x14ac:dyDescent="0.2">
      <c r="B34">
        <v>1</v>
      </c>
      <c r="C34">
        <v>2</v>
      </c>
      <c r="D34">
        <v>3</v>
      </c>
      <c r="E34">
        <v>4</v>
      </c>
      <c r="F34">
        <v>5</v>
      </c>
      <c r="G34">
        <v>6</v>
      </c>
      <c r="H34">
        <v>7</v>
      </c>
      <c r="I34">
        <v>8</v>
      </c>
      <c r="J34">
        <v>9</v>
      </c>
      <c r="K34">
        <v>10</v>
      </c>
      <c r="L34">
        <v>11</v>
      </c>
      <c r="M34">
        <v>12</v>
      </c>
      <c r="N34">
        <v>13</v>
      </c>
      <c r="O34">
        <v>14</v>
      </c>
      <c r="P34">
        <v>15</v>
      </c>
      <c r="Q34">
        <v>16</v>
      </c>
      <c r="R34">
        <v>17</v>
      </c>
      <c r="S34">
        <v>18</v>
      </c>
      <c r="T34">
        <v>19</v>
      </c>
      <c r="U34">
        <v>20</v>
      </c>
      <c r="V34">
        <v>21</v>
      </c>
      <c r="W34">
        <v>22</v>
      </c>
      <c r="X34">
        <v>23</v>
      </c>
      <c r="Y34">
        <v>24</v>
      </c>
      <c r="Z34">
        <v>25</v>
      </c>
      <c r="AA34">
        <v>26</v>
      </c>
      <c r="AB34">
        <v>27</v>
      </c>
      <c r="AC34">
        <v>28</v>
      </c>
      <c r="AD34">
        <v>29</v>
      </c>
      <c r="AE34">
        <v>30</v>
      </c>
      <c r="AF34">
        <v>31</v>
      </c>
      <c r="AG34">
        <v>32</v>
      </c>
      <c r="AH34">
        <v>33</v>
      </c>
      <c r="AI34">
        <v>34</v>
      </c>
      <c r="AJ34">
        <v>35</v>
      </c>
      <c r="AK34">
        <v>36</v>
      </c>
      <c r="AL34">
        <v>37</v>
      </c>
      <c r="AM34">
        <v>38</v>
      </c>
      <c r="AN34">
        <v>39</v>
      </c>
      <c r="AO34">
        <v>40</v>
      </c>
      <c r="AP34">
        <v>41</v>
      </c>
      <c r="AQ34">
        <v>42</v>
      </c>
      <c r="AR34">
        <v>43</v>
      </c>
      <c r="AS34">
        <v>44</v>
      </c>
      <c r="AT34">
        <v>45</v>
      </c>
      <c r="AU34">
        <v>46</v>
      </c>
      <c r="AV34">
        <v>47</v>
      </c>
      <c r="AW34">
        <v>48</v>
      </c>
      <c r="AX34">
        <v>49</v>
      </c>
      <c r="AY34">
        <v>50</v>
      </c>
      <c r="AZ34">
        <v>51</v>
      </c>
      <c r="BA34">
        <v>52</v>
      </c>
      <c r="BB34">
        <v>53</v>
      </c>
      <c r="BC34">
        <v>54</v>
      </c>
      <c r="BD34">
        <v>55</v>
      </c>
      <c r="BE34">
        <v>56</v>
      </c>
      <c r="BF34">
        <v>57</v>
      </c>
      <c r="BG34">
        <v>58</v>
      </c>
      <c r="BH34">
        <v>59</v>
      </c>
      <c r="BI34">
        <v>60</v>
      </c>
      <c r="BJ34">
        <v>61</v>
      </c>
      <c r="BK34">
        <v>62</v>
      </c>
      <c r="BL34">
        <v>63</v>
      </c>
      <c r="BM34">
        <v>64</v>
      </c>
      <c r="BN34">
        <v>65</v>
      </c>
      <c r="BO34">
        <v>66</v>
      </c>
      <c r="BP34">
        <v>67</v>
      </c>
      <c r="BQ34">
        <v>68</v>
      </c>
      <c r="BR34">
        <v>69</v>
      </c>
      <c r="BS34">
        <v>70</v>
      </c>
      <c r="BT34">
        <v>71</v>
      </c>
      <c r="BU34">
        <v>72</v>
      </c>
      <c r="BV34">
        <v>73</v>
      </c>
      <c r="BW34">
        <v>74</v>
      </c>
      <c r="BX34">
        <v>75</v>
      </c>
    </row>
    <row r="36" spans="1:77" x14ac:dyDescent="0.2">
      <c r="A36" s="1" t="s">
        <v>508</v>
      </c>
    </row>
    <row r="37" spans="1:77" ht="120" customHeight="1" thickBot="1" x14ac:dyDescent="0.25">
      <c r="B37" s="352" t="s">
        <v>475</v>
      </c>
      <c r="C37" s="352" t="s">
        <v>476</v>
      </c>
      <c r="D37" s="352" t="s">
        <v>477</v>
      </c>
      <c r="E37" s="352" t="s">
        <v>479</v>
      </c>
      <c r="F37" s="352" t="s">
        <v>481</v>
      </c>
      <c r="G37" s="352" t="s">
        <v>482</v>
      </c>
      <c r="H37" s="352" t="s">
        <v>484</v>
      </c>
      <c r="I37" s="352" t="s">
        <v>486</v>
      </c>
      <c r="J37" s="352" t="s">
        <v>487</v>
      </c>
      <c r="K37" s="352" t="s">
        <v>488</v>
      </c>
      <c r="L37" s="352" t="s">
        <v>489</v>
      </c>
      <c r="M37" s="352" t="s">
        <v>490</v>
      </c>
      <c r="N37" s="352" t="s">
        <v>491</v>
      </c>
      <c r="O37" s="352" t="s">
        <v>492</v>
      </c>
      <c r="P37" s="352" t="s">
        <v>493</v>
      </c>
      <c r="Q37" s="352" t="s">
        <v>494</v>
      </c>
      <c r="R37" s="352" t="s">
        <v>495</v>
      </c>
      <c r="S37" s="352" t="s">
        <v>496</v>
      </c>
      <c r="T37" s="352" t="s">
        <v>497</v>
      </c>
      <c r="U37" s="352" t="s">
        <v>498</v>
      </c>
      <c r="V37" s="352" t="s">
        <v>499</v>
      </c>
      <c r="W37" s="352" t="s">
        <v>500</v>
      </c>
      <c r="X37" s="352" t="s">
        <v>501</v>
      </c>
      <c r="Y37" s="352" t="s">
        <v>502</v>
      </c>
      <c r="Z37" s="352" t="s">
        <v>503</v>
      </c>
      <c r="AA37" s="124" t="s">
        <v>504</v>
      </c>
      <c r="AB37" s="12"/>
    </row>
    <row r="38" spans="1:77" x14ac:dyDescent="0.2">
      <c r="A38" t="s">
        <v>322</v>
      </c>
      <c r="B38" s="2">
        <v>1</v>
      </c>
      <c r="C38" s="3">
        <v>1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4">
        <v>0</v>
      </c>
      <c r="AB38">
        <v>1</v>
      </c>
    </row>
    <row r="39" spans="1:77" x14ac:dyDescent="0.2">
      <c r="A39" t="s">
        <v>323</v>
      </c>
      <c r="B39" s="5">
        <v>0</v>
      </c>
      <c r="C39">
        <v>0</v>
      </c>
      <c r="D39">
        <v>1</v>
      </c>
      <c r="E39">
        <v>1</v>
      </c>
      <c r="F39">
        <v>1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 s="6">
        <v>0</v>
      </c>
      <c r="AB39">
        <v>2</v>
      </c>
    </row>
    <row r="40" spans="1:77" x14ac:dyDescent="0.2">
      <c r="A40" t="s">
        <v>478</v>
      </c>
      <c r="B40" s="5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1</v>
      </c>
      <c r="I40">
        <v>1</v>
      </c>
      <c r="J40">
        <v>1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s="6">
        <v>0</v>
      </c>
      <c r="AB40">
        <v>3</v>
      </c>
    </row>
    <row r="41" spans="1:77" x14ac:dyDescent="0.2">
      <c r="A41" t="s">
        <v>480</v>
      </c>
      <c r="B41" s="5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 s="6">
        <v>0</v>
      </c>
      <c r="AB41">
        <v>4</v>
      </c>
    </row>
    <row r="42" spans="1:77" x14ac:dyDescent="0.2">
      <c r="A42" t="s">
        <v>324</v>
      </c>
      <c r="B42" s="5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1</v>
      </c>
      <c r="Q42">
        <v>1</v>
      </c>
      <c r="R42">
        <v>1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 s="6">
        <v>0</v>
      </c>
      <c r="AB42">
        <v>5</v>
      </c>
    </row>
    <row r="43" spans="1:77" x14ac:dyDescent="0.2">
      <c r="A43" t="s">
        <v>483</v>
      </c>
      <c r="B43" s="5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0</v>
      </c>
      <c r="W43">
        <v>0</v>
      </c>
      <c r="X43">
        <v>0</v>
      </c>
      <c r="Y43">
        <v>0</v>
      </c>
      <c r="Z43">
        <v>0</v>
      </c>
      <c r="AA43" s="6">
        <v>0</v>
      </c>
      <c r="AB43">
        <v>6</v>
      </c>
    </row>
    <row r="44" spans="1:77" x14ac:dyDescent="0.2">
      <c r="A44" t="s">
        <v>485</v>
      </c>
      <c r="B44" s="5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</v>
      </c>
      <c r="W44">
        <v>1</v>
      </c>
      <c r="X44">
        <v>0</v>
      </c>
      <c r="Y44">
        <v>0</v>
      </c>
      <c r="Z44">
        <v>0</v>
      </c>
      <c r="AA44" s="6">
        <v>0</v>
      </c>
      <c r="AB44">
        <v>7</v>
      </c>
    </row>
    <row r="45" spans="1:77" x14ac:dyDescent="0.2">
      <c r="A45" t="s">
        <v>325</v>
      </c>
      <c r="B45" s="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0</v>
      </c>
      <c r="AA45" s="6">
        <v>0</v>
      </c>
      <c r="AB45">
        <v>8</v>
      </c>
    </row>
    <row r="46" spans="1:77" ht="13.5" thickBot="1" x14ac:dyDescent="0.25">
      <c r="A46" t="s">
        <v>9</v>
      </c>
      <c r="B46" s="7">
        <v>0</v>
      </c>
      <c r="C46" s="8">
        <v>0</v>
      </c>
      <c r="D46" s="8">
        <v>0</v>
      </c>
      <c r="E46" s="8">
        <v>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  <c r="R46" s="8">
        <v>0</v>
      </c>
      <c r="S46" s="8">
        <v>0</v>
      </c>
      <c r="T46" s="8"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8">
        <v>1</v>
      </c>
      <c r="AA46" s="9">
        <v>1</v>
      </c>
      <c r="AB46">
        <v>9</v>
      </c>
    </row>
    <row r="47" spans="1:77" x14ac:dyDescent="0.2"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>
        <v>11</v>
      </c>
      <c r="M47">
        <v>12</v>
      </c>
      <c r="N47">
        <v>13</v>
      </c>
      <c r="O47">
        <v>14</v>
      </c>
      <c r="P47">
        <v>15</v>
      </c>
      <c r="Q47">
        <v>16</v>
      </c>
      <c r="R47">
        <v>17</v>
      </c>
      <c r="S47">
        <v>18</v>
      </c>
      <c r="T47">
        <v>19</v>
      </c>
      <c r="U47">
        <v>20</v>
      </c>
      <c r="V47">
        <v>21</v>
      </c>
      <c r="W47">
        <v>22</v>
      </c>
      <c r="X47">
        <v>23</v>
      </c>
      <c r="Y47">
        <v>24</v>
      </c>
      <c r="Z47">
        <v>25</v>
      </c>
      <c r="AA47">
        <v>26</v>
      </c>
    </row>
    <row r="49" spans="1:11" x14ac:dyDescent="0.2">
      <c r="A49" s="1" t="str">
        <f>CONCATENATE("Aggregation 9 qualifications to 6 ",name!$G$2)</f>
        <v>Aggregation 9 qualifications to 6 Qualification groups</v>
      </c>
    </row>
    <row r="50" spans="1:11" ht="197.25" customHeight="1" thickBot="1" x14ac:dyDescent="0.25">
      <c r="B50" s="124" t="str">
        <f t="array" ref="B50:J50">TRANSPOSE(name!F4:F13)</f>
        <v>RQF8 Doctorate</v>
      </c>
      <c r="C50" s="124" t="str">
        <v>RQF7 Other higher degree</v>
      </c>
      <c r="D50" s="124" t="str">
        <v>RQF6 First degree</v>
      </c>
      <c r="E50" s="124" t="str">
        <v>RQF5 Foundation degree;Nursing;Teaching</v>
      </c>
      <c r="F50" s="124" t="str">
        <v>RQF4 HE below degree level</v>
      </c>
      <c r="G50" s="124" t="str">
        <v>RQF3 A level &amp; equivalent</v>
      </c>
      <c r="H50" s="124" t="str">
        <v>RQF2 GCSE(A-C) &amp; equivalent</v>
      </c>
      <c r="I50" s="124" t="str">
        <v>RQF1 GCSE(below grade C) &amp; equivalent</v>
      </c>
      <c r="J50" s="124" t="str">
        <v>No Qualification</v>
      </c>
    </row>
    <row r="51" spans="1:11" x14ac:dyDescent="0.2">
      <c r="A51" s="10" t="str">
        <f>name!G4</f>
        <v>RQF 7-8</v>
      </c>
      <c r="B51" s="2">
        <v>1</v>
      </c>
      <c r="C51" s="3">
        <v>1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4">
        <v>0</v>
      </c>
      <c r="K51">
        <v>1</v>
      </c>
    </row>
    <row r="52" spans="1:11" x14ac:dyDescent="0.2">
      <c r="A52" s="10" t="str">
        <f>name!G5</f>
        <v>RQF 4-6</v>
      </c>
      <c r="B52" s="5">
        <v>0</v>
      </c>
      <c r="C52">
        <v>0</v>
      </c>
      <c r="D52">
        <v>1</v>
      </c>
      <c r="E52">
        <v>1</v>
      </c>
      <c r="F52">
        <v>1</v>
      </c>
      <c r="G52">
        <v>0</v>
      </c>
      <c r="H52">
        <v>0</v>
      </c>
      <c r="I52">
        <v>0</v>
      </c>
      <c r="J52" s="6">
        <v>0</v>
      </c>
      <c r="K52">
        <v>2</v>
      </c>
    </row>
    <row r="53" spans="1:11" x14ac:dyDescent="0.2">
      <c r="A53" s="10" t="str">
        <f>name!G6</f>
        <v>RQF3 A level &amp; equivalent</v>
      </c>
      <c r="B53" s="5">
        <v>0</v>
      </c>
      <c r="C53">
        <v>0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 s="6">
        <v>0</v>
      </c>
      <c r="K53">
        <v>3</v>
      </c>
    </row>
    <row r="54" spans="1:11" x14ac:dyDescent="0.2">
      <c r="A54" s="10" t="str">
        <f>name!G7</f>
        <v>RQF2 GCSE(A-C) &amp; equivalent</v>
      </c>
      <c r="B54" s="5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1</v>
      </c>
      <c r="I54">
        <v>0</v>
      </c>
      <c r="J54" s="6">
        <v>0</v>
      </c>
      <c r="K54">
        <v>4</v>
      </c>
    </row>
    <row r="55" spans="1:11" x14ac:dyDescent="0.2">
      <c r="A55" s="10" t="str">
        <f>name!G8</f>
        <v>RQF1 GCSE(below grade C) &amp; equivalent</v>
      </c>
      <c r="B55" s="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1</v>
      </c>
      <c r="J55" s="6">
        <v>0</v>
      </c>
      <c r="K55">
        <v>5</v>
      </c>
    </row>
    <row r="56" spans="1:11" ht="13.5" thickBot="1" x14ac:dyDescent="0.25">
      <c r="A56" s="10" t="str">
        <f>name!G9</f>
        <v>No Qualification</v>
      </c>
      <c r="B56" s="7">
        <v>0</v>
      </c>
      <c r="C56" s="8">
        <v>0</v>
      </c>
      <c r="D56" s="8">
        <v>0</v>
      </c>
      <c r="E56" s="8">
        <v>0</v>
      </c>
      <c r="F56" s="8">
        <v>0</v>
      </c>
      <c r="G56" s="8">
        <v>0</v>
      </c>
      <c r="H56" s="8">
        <v>0</v>
      </c>
      <c r="I56" s="8">
        <v>0</v>
      </c>
      <c r="J56" s="9">
        <v>1</v>
      </c>
      <c r="K56">
        <v>6</v>
      </c>
    </row>
    <row r="57" spans="1:11" x14ac:dyDescent="0.2">
      <c r="A57" s="10"/>
      <c r="B57">
        <v>1</v>
      </c>
      <c r="C57">
        <v>2</v>
      </c>
      <c r="D57">
        <v>3</v>
      </c>
      <c r="E57">
        <v>4</v>
      </c>
      <c r="F57">
        <v>5</v>
      </c>
      <c r="G57">
        <v>6</v>
      </c>
      <c r="H57">
        <v>7</v>
      </c>
      <c r="I57">
        <v>8</v>
      </c>
      <c r="J57">
        <v>9</v>
      </c>
    </row>
    <row r="58" spans="1:11" x14ac:dyDescent="0.2">
      <c r="A58" s="10"/>
    </row>
    <row r="59" spans="1:11" x14ac:dyDescent="0.2">
      <c r="A59" s="10"/>
    </row>
  </sheetData>
  <phoneticPr fontId="4" type="noConversion"/>
  <conditionalFormatting sqref="J52:J55">
    <cfRule type="cellIs" dxfId="5" priority="3" operator="equal">
      <formula>0</formula>
    </cfRule>
    <cfRule type="cellIs" dxfId="4" priority="4" stopIfTrue="1" operator="equal">
      <formula>1</formula>
    </cfRule>
  </conditionalFormatting>
  <conditionalFormatting sqref="B3:BX24 B28:BX33 B51:J56">
    <cfRule type="cellIs" dxfId="3" priority="15" operator="equal">
      <formula>0</formula>
    </cfRule>
    <cfRule type="cellIs" dxfId="2" priority="17" stopIfTrue="1" operator="equal">
      <formula>1</formula>
    </cfRule>
  </conditionalFormatting>
  <conditionalFormatting sqref="B38:AA46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53" orientation="landscape" r:id="rId1"/>
  <headerFooter alignWithMargins="0"/>
  <rowBreaks count="1" manualBreakCount="1">
    <brk id="26" max="16383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9">
    <pageSetUpPr fitToPage="1"/>
  </sheetPr>
  <dimension ref="A1:F244"/>
  <sheetViews>
    <sheetView zoomScale="85" zoomScaleNormal="85" workbookViewId="0"/>
  </sheetViews>
  <sheetFormatPr defaultColWidth="10.28515625" defaultRowHeight="12.75" x14ac:dyDescent="0.2"/>
  <cols>
    <col min="1" max="1" width="4.140625" style="88" customWidth="1"/>
    <col min="2" max="2" width="55.7109375" style="88" customWidth="1"/>
    <col min="3" max="3" width="5.85546875" style="88" customWidth="1"/>
    <col min="4" max="4" width="65.7109375" style="88" customWidth="1"/>
    <col min="5" max="16384" width="10.28515625" style="88"/>
  </cols>
  <sheetData>
    <row r="1" spans="1:4" x14ac:dyDescent="0.2">
      <c r="A1" s="14" t="s">
        <v>160</v>
      </c>
    </row>
    <row r="3" spans="1:4" x14ac:dyDescent="0.2">
      <c r="A3" s="125"/>
      <c r="B3" s="125" t="s">
        <v>348</v>
      </c>
      <c r="C3" s="125"/>
      <c r="D3" s="125" t="s">
        <v>349</v>
      </c>
    </row>
    <row r="4" spans="1:4" x14ac:dyDescent="0.2">
      <c r="A4" s="125"/>
      <c r="B4" s="125"/>
      <c r="C4" s="125"/>
      <c r="D4" s="125"/>
    </row>
    <row r="5" spans="1:4" x14ac:dyDescent="0.2">
      <c r="A5" s="125">
        <v>1</v>
      </c>
      <c r="B5" s="125" t="s">
        <v>161</v>
      </c>
      <c r="C5" s="125">
        <v>1</v>
      </c>
      <c r="D5" s="125" t="s">
        <v>162</v>
      </c>
    </row>
    <row r="6" spans="1:4" x14ac:dyDescent="0.2">
      <c r="A6" s="125"/>
      <c r="B6" s="125"/>
      <c r="C6" s="125"/>
      <c r="D6" s="125"/>
    </row>
    <row r="7" spans="1:4" x14ac:dyDescent="0.2">
      <c r="A7" s="125">
        <v>2</v>
      </c>
      <c r="B7" s="125" t="s">
        <v>88</v>
      </c>
      <c r="C7" s="125">
        <v>2</v>
      </c>
      <c r="D7" s="125" t="s">
        <v>163</v>
      </c>
    </row>
    <row r="8" spans="1:4" x14ac:dyDescent="0.2">
      <c r="A8" s="125"/>
      <c r="B8" s="125"/>
      <c r="C8" s="125"/>
      <c r="D8" s="125"/>
    </row>
    <row r="9" spans="1:4" x14ac:dyDescent="0.2">
      <c r="A9" s="125">
        <v>3</v>
      </c>
      <c r="B9" s="125" t="s">
        <v>164</v>
      </c>
      <c r="C9" s="125">
        <v>3</v>
      </c>
      <c r="D9" s="125" t="s">
        <v>165</v>
      </c>
    </row>
    <row r="10" spans="1:4" x14ac:dyDescent="0.2">
      <c r="A10" s="125"/>
      <c r="B10" s="125"/>
      <c r="C10" s="125">
        <v>4</v>
      </c>
      <c r="D10" s="125" t="s">
        <v>166</v>
      </c>
    </row>
    <row r="11" spans="1:4" x14ac:dyDescent="0.2">
      <c r="A11" s="125"/>
      <c r="B11" s="125"/>
      <c r="C11" s="125"/>
      <c r="D11" s="125"/>
    </row>
    <row r="12" spans="1:4" x14ac:dyDescent="0.2">
      <c r="A12" s="125">
        <v>4</v>
      </c>
      <c r="B12" s="125" t="s">
        <v>63</v>
      </c>
      <c r="C12" s="125">
        <v>16</v>
      </c>
      <c r="D12" s="125" t="s">
        <v>167</v>
      </c>
    </row>
    <row r="13" spans="1:4" x14ac:dyDescent="0.2">
      <c r="A13" s="125"/>
      <c r="B13" s="125"/>
      <c r="C13" s="125">
        <v>17</v>
      </c>
      <c r="D13" s="125" t="s">
        <v>89</v>
      </c>
    </row>
    <row r="14" spans="1:4" x14ac:dyDescent="0.2">
      <c r="A14" s="125"/>
      <c r="B14" s="125"/>
      <c r="C14" s="125">
        <v>18</v>
      </c>
      <c r="D14" s="125" t="s">
        <v>168</v>
      </c>
    </row>
    <row r="15" spans="1:4" x14ac:dyDescent="0.2">
      <c r="A15" s="125"/>
      <c r="B15" s="125"/>
      <c r="C15" s="125"/>
      <c r="D15" s="125"/>
    </row>
    <row r="16" spans="1:4" x14ac:dyDescent="0.2">
      <c r="A16" s="125">
        <v>5</v>
      </c>
      <c r="B16" s="125" t="s">
        <v>90</v>
      </c>
      <c r="C16" s="125">
        <v>5</v>
      </c>
      <c r="D16" s="125" t="s">
        <v>169</v>
      </c>
    </row>
    <row r="17" spans="1:4" x14ac:dyDescent="0.2">
      <c r="A17" s="125"/>
      <c r="B17" s="125"/>
      <c r="C17" s="125">
        <v>6</v>
      </c>
      <c r="D17" s="125" t="s">
        <v>170</v>
      </c>
    </row>
    <row r="18" spans="1:4" x14ac:dyDescent="0.2">
      <c r="A18" s="125"/>
      <c r="B18" s="125"/>
      <c r="C18" s="125">
        <v>7</v>
      </c>
      <c r="D18" s="125" t="s">
        <v>171</v>
      </c>
    </row>
    <row r="19" spans="1:4" x14ac:dyDescent="0.2">
      <c r="A19" s="125"/>
      <c r="B19" s="125"/>
      <c r="C19" s="125">
        <v>8</v>
      </c>
      <c r="D19" s="125" t="s">
        <v>172</v>
      </c>
    </row>
    <row r="20" spans="1:4" x14ac:dyDescent="0.2">
      <c r="A20" s="125"/>
      <c r="B20" s="125"/>
      <c r="C20" s="125">
        <v>9</v>
      </c>
      <c r="D20" s="125" t="s">
        <v>173</v>
      </c>
    </row>
    <row r="21" spans="1:4" x14ac:dyDescent="0.2">
      <c r="A21" s="125"/>
      <c r="B21" s="125"/>
      <c r="C21" s="125">
        <v>10</v>
      </c>
      <c r="D21" s="125" t="s">
        <v>174</v>
      </c>
    </row>
    <row r="22" spans="1:4" x14ac:dyDescent="0.2">
      <c r="A22" s="125"/>
      <c r="B22" s="125"/>
      <c r="C22" s="125">
        <v>11</v>
      </c>
      <c r="D22" s="125" t="s">
        <v>64</v>
      </c>
    </row>
    <row r="23" spans="1:4" x14ac:dyDescent="0.2">
      <c r="A23" s="125"/>
      <c r="B23" s="125"/>
      <c r="C23" s="125">
        <v>12</v>
      </c>
      <c r="D23" s="125" t="s">
        <v>175</v>
      </c>
    </row>
    <row r="24" spans="1:4" x14ac:dyDescent="0.2">
      <c r="A24" s="125"/>
      <c r="B24" s="125"/>
      <c r="C24" s="125">
        <v>13</v>
      </c>
      <c r="D24" s="125" t="s">
        <v>176</v>
      </c>
    </row>
    <row r="25" spans="1:4" x14ac:dyDescent="0.2">
      <c r="A25" s="125"/>
      <c r="B25" s="125"/>
      <c r="C25" s="125">
        <v>14</v>
      </c>
      <c r="D25" s="125" t="s">
        <v>122</v>
      </c>
    </row>
    <row r="26" spans="1:4" x14ac:dyDescent="0.2">
      <c r="A26" s="125"/>
      <c r="B26" s="125"/>
      <c r="C26" s="125">
        <v>15</v>
      </c>
      <c r="D26" s="125" t="s">
        <v>123</v>
      </c>
    </row>
    <row r="27" spans="1:4" x14ac:dyDescent="0.2">
      <c r="A27" s="125"/>
      <c r="B27" s="125"/>
      <c r="C27" s="125">
        <v>19</v>
      </c>
      <c r="D27" s="125" t="s">
        <v>177</v>
      </c>
    </row>
    <row r="28" spans="1:4" x14ac:dyDescent="0.2">
      <c r="A28" s="125"/>
      <c r="B28" s="125"/>
      <c r="C28" s="125">
        <v>20</v>
      </c>
      <c r="D28" s="125" t="s">
        <v>178</v>
      </c>
    </row>
    <row r="29" spans="1:4" x14ac:dyDescent="0.2">
      <c r="A29" s="125"/>
      <c r="B29" s="125"/>
      <c r="C29" s="125">
        <v>21</v>
      </c>
      <c r="D29" s="125" t="s">
        <v>179</v>
      </c>
    </row>
    <row r="30" spans="1:4" x14ac:dyDescent="0.2">
      <c r="A30" s="125"/>
      <c r="B30" s="125"/>
      <c r="C30" s="125">
        <v>22</v>
      </c>
      <c r="D30" s="125" t="s">
        <v>180</v>
      </c>
    </row>
    <row r="31" spans="1:4" x14ac:dyDescent="0.2">
      <c r="A31" s="125"/>
      <c r="B31" s="125"/>
      <c r="C31" s="125">
        <v>23</v>
      </c>
      <c r="D31" s="125" t="s">
        <v>181</v>
      </c>
    </row>
    <row r="32" spans="1:4" x14ac:dyDescent="0.2">
      <c r="A32" s="125"/>
      <c r="B32" s="125"/>
      <c r="C32" s="125"/>
      <c r="D32" s="125"/>
    </row>
    <row r="33" spans="1:4" x14ac:dyDescent="0.2">
      <c r="A33" s="125">
        <v>6</v>
      </c>
      <c r="B33" s="125" t="s">
        <v>182</v>
      </c>
      <c r="C33" s="125">
        <v>24</v>
      </c>
      <c r="D33" s="125" t="s">
        <v>183</v>
      </c>
    </row>
    <row r="34" spans="1:4" x14ac:dyDescent="0.2">
      <c r="A34" s="125"/>
      <c r="B34" s="125"/>
      <c r="C34" s="125"/>
      <c r="D34" s="125"/>
    </row>
    <row r="35" spans="1:4" x14ac:dyDescent="0.2">
      <c r="A35" s="125">
        <v>7</v>
      </c>
      <c r="B35" s="125" t="s">
        <v>184</v>
      </c>
      <c r="C35" s="125">
        <v>25</v>
      </c>
      <c r="D35" s="125" t="s">
        <v>185</v>
      </c>
    </row>
    <row r="36" spans="1:4" x14ac:dyDescent="0.2">
      <c r="A36" s="125"/>
      <c r="B36" s="125"/>
      <c r="C36" s="125">
        <v>26</v>
      </c>
      <c r="D36" s="125" t="s">
        <v>186</v>
      </c>
    </row>
    <row r="37" spans="1:4" x14ac:dyDescent="0.2">
      <c r="A37" s="125"/>
      <c r="B37" s="125"/>
      <c r="C37" s="125">
        <v>27</v>
      </c>
      <c r="D37" s="125" t="s">
        <v>187</v>
      </c>
    </row>
    <row r="38" spans="1:4" x14ac:dyDescent="0.2">
      <c r="A38" s="125"/>
      <c r="B38" s="125"/>
      <c r="C38" s="125"/>
      <c r="D38" s="125"/>
    </row>
    <row r="39" spans="1:4" x14ac:dyDescent="0.2">
      <c r="A39" s="125">
        <v>8</v>
      </c>
      <c r="B39" s="125" t="s">
        <v>65</v>
      </c>
      <c r="C39" s="125">
        <v>28</v>
      </c>
      <c r="D39" s="125" t="s">
        <v>188</v>
      </c>
    </row>
    <row r="40" spans="1:4" x14ac:dyDescent="0.2">
      <c r="A40" s="125"/>
      <c r="B40" s="125"/>
      <c r="C40" s="125">
        <v>29</v>
      </c>
      <c r="D40" s="125" t="s">
        <v>189</v>
      </c>
    </row>
    <row r="41" spans="1:4" x14ac:dyDescent="0.2">
      <c r="A41" s="125"/>
      <c r="B41" s="125"/>
      <c r="C41" s="125">
        <v>30</v>
      </c>
      <c r="D41" s="125" t="s">
        <v>190</v>
      </c>
    </row>
    <row r="42" spans="1:4" x14ac:dyDescent="0.2">
      <c r="A42" s="125"/>
      <c r="B42" s="125"/>
      <c r="C42" s="125"/>
      <c r="D42" s="125"/>
    </row>
    <row r="43" spans="1:4" x14ac:dyDescent="0.2">
      <c r="A43" s="125">
        <v>9</v>
      </c>
      <c r="B43" s="125" t="s">
        <v>91</v>
      </c>
      <c r="C43" s="125">
        <v>31</v>
      </c>
      <c r="D43" s="125" t="s">
        <v>191</v>
      </c>
    </row>
    <row r="44" spans="1:4" x14ac:dyDescent="0.2">
      <c r="A44" s="125"/>
      <c r="B44" s="125"/>
      <c r="C44" s="125">
        <v>32</v>
      </c>
      <c r="D44" s="125" t="s">
        <v>192</v>
      </c>
    </row>
    <row r="45" spans="1:4" x14ac:dyDescent="0.2">
      <c r="A45" s="125"/>
      <c r="B45" s="125"/>
      <c r="C45" s="125">
        <v>33</v>
      </c>
      <c r="D45" s="125" t="s">
        <v>193</v>
      </c>
    </row>
    <row r="46" spans="1:4" x14ac:dyDescent="0.2">
      <c r="A46" s="125"/>
      <c r="B46" s="125"/>
      <c r="C46" s="125"/>
      <c r="D46" s="125"/>
    </row>
    <row r="47" spans="1:4" x14ac:dyDescent="0.2">
      <c r="A47" s="125">
        <v>10</v>
      </c>
      <c r="B47" s="125" t="s">
        <v>194</v>
      </c>
      <c r="C47" s="125">
        <v>34</v>
      </c>
      <c r="D47" s="125" t="s">
        <v>195</v>
      </c>
    </row>
    <row r="48" spans="1:4" x14ac:dyDescent="0.2">
      <c r="A48" s="125"/>
      <c r="B48" s="125"/>
      <c r="C48" s="125">
        <v>35</v>
      </c>
      <c r="D48" s="125" t="s">
        <v>196</v>
      </c>
    </row>
    <row r="49" spans="1:4" x14ac:dyDescent="0.2">
      <c r="A49" s="125"/>
      <c r="B49" s="125"/>
      <c r="C49" s="125">
        <v>36</v>
      </c>
      <c r="D49" s="125" t="s">
        <v>197</v>
      </c>
    </row>
    <row r="50" spans="1:4" x14ac:dyDescent="0.2">
      <c r="A50" s="125"/>
      <c r="B50" s="125"/>
      <c r="C50" s="125">
        <v>37</v>
      </c>
      <c r="D50" s="125" t="s">
        <v>198</v>
      </c>
    </row>
    <row r="51" spans="1:4" x14ac:dyDescent="0.2">
      <c r="A51" s="125"/>
      <c r="B51" s="125"/>
      <c r="C51" s="125">
        <v>38</v>
      </c>
      <c r="D51" s="125" t="s">
        <v>199</v>
      </c>
    </row>
    <row r="52" spans="1:4" x14ac:dyDescent="0.2">
      <c r="A52" s="125"/>
      <c r="B52" s="125"/>
      <c r="C52" s="125"/>
      <c r="D52" s="125"/>
    </row>
    <row r="53" spans="1:4" x14ac:dyDescent="0.2">
      <c r="A53" s="125">
        <v>11</v>
      </c>
      <c r="B53" s="125" t="s">
        <v>200</v>
      </c>
      <c r="C53" s="125">
        <v>39</v>
      </c>
      <c r="D53" s="125" t="s">
        <v>201</v>
      </c>
    </row>
    <row r="54" spans="1:4" x14ac:dyDescent="0.2">
      <c r="A54" s="125"/>
      <c r="B54" s="125"/>
      <c r="C54" s="125">
        <v>40</v>
      </c>
      <c r="D54" s="125" t="s">
        <v>202</v>
      </c>
    </row>
    <row r="55" spans="1:4" x14ac:dyDescent="0.2">
      <c r="A55" s="125"/>
      <c r="B55" s="125"/>
      <c r="C55" s="125"/>
      <c r="D55" s="125"/>
    </row>
    <row r="56" spans="1:4" x14ac:dyDescent="0.2">
      <c r="A56" s="125">
        <v>12</v>
      </c>
      <c r="B56" s="125" t="s">
        <v>94</v>
      </c>
      <c r="C56" s="125">
        <v>41</v>
      </c>
      <c r="D56" s="125" t="s">
        <v>124</v>
      </c>
    </row>
    <row r="57" spans="1:4" x14ac:dyDescent="0.2">
      <c r="A57" s="125"/>
      <c r="B57" s="125"/>
      <c r="C57" s="125">
        <v>42</v>
      </c>
      <c r="D57" s="125" t="s">
        <v>203</v>
      </c>
    </row>
    <row r="58" spans="1:4" x14ac:dyDescent="0.2">
      <c r="A58" s="125"/>
      <c r="B58" s="125"/>
      <c r="C58" s="125">
        <v>43</v>
      </c>
      <c r="D58" s="125" t="s">
        <v>204</v>
      </c>
    </row>
    <row r="59" spans="1:4" x14ac:dyDescent="0.2">
      <c r="A59" s="125"/>
      <c r="B59" s="125"/>
      <c r="C59" s="125"/>
      <c r="D59" s="125"/>
    </row>
    <row r="60" spans="1:4" x14ac:dyDescent="0.2">
      <c r="A60" s="125">
        <v>13</v>
      </c>
      <c r="B60" s="125" t="s">
        <v>205</v>
      </c>
      <c r="C60" s="125">
        <v>44</v>
      </c>
      <c r="D60" s="125" t="s">
        <v>92</v>
      </c>
    </row>
    <row r="61" spans="1:4" x14ac:dyDescent="0.2">
      <c r="A61" s="125"/>
      <c r="B61" s="125"/>
      <c r="C61" s="125">
        <v>45</v>
      </c>
      <c r="D61" s="125" t="s">
        <v>206</v>
      </c>
    </row>
    <row r="62" spans="1:4" x14ac:dyDescent="0.2">
      <c r="A62" s="125"/>
      <c r="B62" s="125"/>
      <c r="C62" s="125">
        <v>46</v>
      </c>
      <c r="D62" s="125" t="s">
        <v>207</v>
      </c>
    </row>
    <row r="63" spans="1:4" x14ac:dyDescent="0.2">
      <c r="A63" s="125"/>
      <c r="B63" s="125"/>
      <c r="C63" s="125"/>
      <c r="D63" s="125"/>
    </row>
    <row r="64" spans="1:4" x14ac:dyDescent="0.2">
      <c r="A64" s="125">
        <v>14</v>
      </c>
      <c r="B64" s="125" t="s">
        <v>208</v>
      </c>
      <c r="C64" s="125">
        <v>47</v>
      </c>
      <c r="D64" s="125" t="s">
        <v>125</v>
      </c>
    </row>
    <row r="65" spans="1:4" x14ac:dyDescent="0.2">
      <c r="A65" s="125"/>
      <c r="B65" s="125"/>
      <c r="C65" s="125">
        <v>48</v>
      </c>
      <c r="D65" s="125" t="s">
        <v>209</v>
      </c>
    </row>
    <row r="66" spans="1:4" x14ac:dyDescent="0.2">
      <c r="A66" s="125"/>
      <c r="B66" s="125"/>
      <c r="C66" s="125">
        <v>49</v>
      </c>
      <c r="D66" s="125" t="s">
        <v>210</v>
      </c>
    </row>
    <row r="67" spans="1:4" x14ac:dyDescent="0.2">
      <c r="A67" s="125"/>
      <c r="B67" s="125"/>
      <c r="C67" s="125"/>
      <c r="D67" s="125"/>
    </row>
    <row r="68" spans="1:4" x14ac:dyDescent="0.2">
      <c r="A68" s="125">
        <v>15</v>
      </c>
      <c r="B68" s="125" t="s">
        <v>211</v>
      </c>
      <c r="C68" s="125">
        <v>50</v>
      </c>
      <c r="D68" s="125" t="s">
        <v>211</v>
      </c>
    </row>
    <row r="69" spans="1:4" x14ac:dyDescent="0.2">
      <c r="A69" s="125"/>
      <c r="B69" s="125"/>
      <c r="C69" s="125"/>
      <c r="D69" s="125"/>
    </row>
    <row r="70" spans="1:4" x14ac:dyDescent="0.2">
      <c r="A70" s="125">
        <v>16</v>
      </c>
      <c r="B70" s="125" t="s">
        <v>212</v>
      </c>
      <c r="C70" s="125">
        <v>51</v>
      </c>
      <c r="D70" s="125" t="s">
        <v>213</v>
      </c>
    </row>
    <row r="71" spans="1:4" x14ac:dyDescent="0.2">
      <c r="A71" s="125"/>
      <c r="B71" s="125"/>
      <c r="C71" s="125">
        <v>52</v>
      </c>
      <c r="D71" s="125" t="s">
        <v>214</v>
      </c>
    </row>
    <row r="72" spans="1:4" x14ac:dyDescent="0.2">
      <c r="A72" s="125"/>
      <c r="B72" s="125"/>
      <c r="C72" s="125">
        <v>53</v>
      </c>
      <c r="D72" s="125" t="s">
        <v>215</v>
      </c>
    </row>
    <row r="73" spans="1:4" x14ac:dyDescent="0.2">
      <c r="A73" s="125"/>
      <c r="B73" s="125"/>
      <c r="C73" s="125">
        <v>54</v>
      </c>
      <c r="D73" s="125" t="s">
        <v>216</v>
      </c>
    </row>
    <row r="74" spans="1:4" x14ac:dyDescent="0.2">
      <c r="A74" s="125"/>
      <c r="B74" s="125"/>
      <c r="C74" s="125">
        <v>55</v>
      </c>
      <c r="D74" s="125" t="s">
        <v>217</v>
      </c>
    </row>
    <row r="75" spans="1:4" x14ac:dyDescent="0.2">
      <c r="A75" s="125"/>
      <c r="B75" s="125"/>
      <c r="C75" s="125">
        <v>56</v>
      </c>
      <c r="D75" s="125" t="s">
        <v>218</v>
      </c>
    </row>
    <row r="76" spans="1:4" x14ac:dyDescent="0.2">
      <c r="A76" s="125"/>
      <c r="B76" s="125"/>
      <c r="C76" s="125">
        <v>57</v>
      </c>
      <c r="D76" s="125" t="s">
        <v>219</v>
      </c>
    </row>
    <row r="77" spans="1:4" x14ac:dyDescent="0.2">
      <c r="A77" s="125"/>
      <c r="B77" s="125"/>
      <c r="C77" s="125"/>
      <c r="D77" s="125"/>
    </row>
    <row r="78" spans="1:4" x14ac:dyDescent="0.2">
      <c r="A78" s="125">
        <v>17</v>
      </c>
      <c r="B78" s="125" t="s">
        <v>220</v>
      </c>
      <c r="C78" s="125">
        <v>58</v>
      </c>
      <c r="D78" s="125" t="s">
        <v>221</v>
      </c>
    </row>
    <row r="79" spans="1:4" x14ac:dyDescent="0.2">
      <c r="A79" s="125"/>
      <c r="B79" s="125"/>
      <c r="C79" s="125">
        <v>59</v>
      </c>
      <c r="D79" s="125" t="s">
        <v>126</v>
      </c>
    </row>
    <row r="80" spans="1:4" x14ac:dyDescent="0.2">
      <c r="A80" s="125"/>
      <c r="B80" s="125"/>
      <c r="C80" s="125">
        <v>60</v>
      </c>
      <c r="D80" s="125" t="s">
        <v>222</v>
      </c>
    </row>
    <row r="81" spans="1:4" x14ac:dyDescent="0.2">
      <c r="A81" s="125"/>
      <c r="B81" s="125"/>
      <c r="C81" s="125">
        <v>61</v>
      </c>
      <c r="D81" s="125" t="s">
        <v>223</v>
      </c>
    </row>
    <row r="82" spans="1:4" x14ac:dyDescent="0.2">
      <c r="A82" s="125"/>
      <c r="B82" s="125"/>
      <c r="C82" s="125">
        <v>62</v>
      </c>
      <c r="D82" s="125" t="s">
        <v>224</v>
      </c>
    </row>
    <row r="83" spans="1:4" x14ac:dyDescent="0.2">
      <c r="A83" s="125"/>
      <c r="B83" s="125"/>
      <c r="C83" s="125">
        <v>63</v>
      </c>
      <c r="D83" s="125" t="s">
        <v>225</v>
      </c>
    </row>
    <row r="84" spans="1:4" x14ac:dyDescent="0.2">
      <c r="A84" s="125"/>
      <c r="B84" s="125"/>
      <c r="C84" s="125"/>
      <c r="D84" s="125"/>
    </row>
    <row r="85" spans="1:4" x14ac:dyDescent="0.2">
      <c r="A85" s="125">
        <v>18</v>
      </c>
      <c r="B85" s="125" t="s">
        <v>226</v>
      </c>
      <c r="C85" s="125">
        <v>64</v>
      </c>
      <c r="D85" s="125" t="s">
        <v>227</v>
      </c>
    </row>
    <row r="86" spans="1:4" x14ac:dyDescent="0.2">
      <c r="A86" s="125"/>
      <c r="B86" s="125"/>
      <c r="C86" s="125"/>
      <c r="D86" s="125"/>
    </row>
    <row r="87" spans="1:4" x14ac:dyDescent="0.2">
      <c r="A87" s="125">
        <v>19</v>
      </c>
      <c r="B87" s="125" t="s">
        <v>66</v>
      </c>
      <c r="C87" s="125">
        <v>65</v>
      </c>
      <c r="D87" s="125" t="s">
        <v>66</v>
      </c>
    </row>
    <row r="88" spans="1:4" x14ac:dyDescent="0.2">
      <c r="A88" s="125"/>
      <c r="B88" s="125"/>
      <c r="C88" s="125"/>
      <c r="D88" s="125"/>
    </row>
    <row r="89" spans="1:4" x14ac:dyDescent="0.2">
      <c r="A89" s="125">
        <v>20</v>
      </c>
      <c r="B89" s="125" t="s">
        <v>67</v>
      </c>
      <c r="C89" s="125">
        <v>66</v>
      </c>
      <c r="D89" s="125" t="s">
        <v>228</v>
      </c>
    </row>
    <row r="90" spans="1:4" x14ac:dyDescent="0.2">
      <c r="A90" s="125"/>
      <c r="B90" s="125"/>
      <c r="C90" s="125">
        <v>67</v>
      </c>
      <c r="D90" s="125" t="s">
        <v>229</v>
      </c>
    </row>
    <row r="91" spans="1:4" x14ac:dyDescent="0.2">
      <c r="A91" s="125"/>
      <c r="B91" s="125"/>
      <c r="C91" s="125">
        <v>68</v>
      </c>
      <c r="D91" s="125" t="s">
        <v>230</v>
      </c>
    </row>
    <row r="92" spans="1:4" x14ac:dyDescent="0.2">
      <c r="A92" s="125"/>
      <c r="B92" s="125"/>
      <c r="C92" s="125"/>
      <c r="D92" s="125"/>
    </row>
    <row r="93" spans="1:4" x14ac:dyDescent="0.2">
      <c r="A93" s="125">
        <v>21</v>
      </c>
      <c r="B93" s="125" t="s">
        <v>93</v>
      </c>
      <c r="C93" s="125">
        <v>69</v>
      </c>
      <c r="D93" s="125" t="s">
        <v>231</v>
      </c>
    </row>
    <row r="94" spans="1:4" x14ac:dyDescent="0.2">
      <c r="A94" s="125"/>
      <c r="B94" s="125"/>
      <c r="C94" s="125">
        <v>70</v>
      </c>
      <c r="D94" s="125" t="s">
        <v>232</v>
      </c>
    </row>
    <row r="95" spans="1:4" x14ac:dyDescent="0.2">
      <c r="A95" s="125"/>
      <c r="B95" s="125"/>
      <c r="C95" s="125">
        <v>71</v>
      </c>
      <c r="D95" s="125" t="s">
        <v>233</v>
      </c>
    </row>
    <row r="96" spans="1:4" x14ac:dyDescent="0.2">
      <c r="A96" s="125"/>
      <c r="B96" s="125"/>
      <c r="C96" s="125">
        <v>72</v>
      </c>
      <c r="D96" s="125" t="s">
        <v>234</v>
      </c>
    </row>
    <row r="97" spans="1:4" x14ac:dyDescent="0.2">
      <c r="A97" s="125"/>
      <c r="B97" s="125"/>
      <c r="C97" s="125"/>
      <c r="D97" s="125"/>
    </row>
    <row r="98" spans="1:4" x14ac:dyDescent="0.2">
      <c r="A98" s="125">
        <v>22</v>
      </c>
      <c r="B98" s="125" t="s">
        <v>235</v>
      </c>
      <c r="C98" s="125">
        <v>73</v>
      </c>
      <c r="D98" s="125" t="s">
        <v>127</v>
      </c>
    </row>
    <row r="99" spans="1:4" x14ac:dyDescent="0.2">
      <c r="A99" s="125"/>
      <c r="B99" s="125"/>
      <c r="C99" s="125">
        <v>74</v>
      </c>
      <c r="D99" s="125" t="s">
        <v>236</v>
      </c>
    </row>
    <row r="100" spans="1:4" x14ac:dyDescent="0.2">
      <c r="A100" s="125"/>
      <c r="B100" s="125"/>
      <c r="C100" s="125">
        <v>75</v>
      </c>
      <c r="D100" s="125" t="s">
        <v>237</v>
      </c>
    </row>
    <row r="101" spans="1:4" x14ac:dyDescent="0.2">
      <c r="A101"/>
      <c r="B101"/>
      <c r="D101"/>
    </row>
    <row r="102" spans="1:4" x14ac:dyDescent="0.2">
      <c r="A102" s="16" t="s">
        <v>238</v>
      </c>
      <c r="D102"/>
    </row>
    <row r="103" spans="1:4" x14ac:dyDescent="0.2">
      <c r="D103"/>
    </row>
    <row r="104" spans="1:4" x14ac:dyDescent="0.2">
      <c r="A104" s="10"/>
      <c r="B104" s="125" t="s">
        <v>350</v>
      </c>
      <c r="C104" s="10"/>
      <c r="D104" s="125" t="s">
        <v>349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239</v>
      </c>
      <c r="C106" s="10">
        <v>1</v>
      </c>
      <c r="D106" s="10" t="s">
        <v>162</v>
      </c>
    </row>
    <row r="107" spans="1:4" x14ac:dyDescent="0.2">
      <c r="A107" s="10"/>
      <c r="B107" s="10"/>
      <c r="C107" s="10">
        <v>2</v>
      </c>
      <c r="D107" s="10" t="s">
        <v>163</v>
      </c>
    </row>
    <row r="108" spans="1:4" x14ac:dyDescent="0.2">
      <c r="A108" s="10"/>
      <c r="B108" s="10"/>
      <c r="C108" s="10">
        <v>24</v>
      </c>
      <c r="D108" s="10" t="s">
        <v>183</v>
      </c>
    </row>
    <row r="109" spans="1:4" x14ac:dyDescent="0.2">
      <c r="A109" s="10"/>
      <c r="B109" s="10"/>
      <c r="C109" s="10">
        <v>25</v>
      </c>
      <c r="D109" s="10" t="s">
        <v>185</v>
      </c>
    </row>
    <row r="110" spans="1:4" x14ac:dyDescent="0.2">
      <c r="A110" s="10"/>
      <c r="B110" s="10"/>
      <c r="C110" s="10">
        <v>26</v>
      </c>
      <c r="D110" s="10" t="s">
        <v>186</v>
      </c>
    </row>
    <row r="111" spans="1:4" x14ac:dyDescent="0.2">
      <c r="A111" s="10"/>
      <c r="B111" s="10"/>
      <c r="C111" s="10">
        <v>27</v>
      </c>
      <c r="D111" s="10" t="s">
        <v>187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95</v>
      </c>
      <c r="C113" s="10">
        <v>3</v>
      </c>
      <c r="D113" s="10" t="s">
        <v>165</v>
      </c>
    </row>
    <row r="114" spans="1:4" x14ac:dyDescent="0.2">
      <c r="A114" s="10"/>
      <c r="B114" s="10"/>
      <c r="C114" s="10">
        <v>4</v>
      </c>
      <c r="D114" s="10" t="s">
        <v>166</v>
      </c>
    </row>
    <row r="115" spans="1:4" x14ac:dyDescent="0.2">
      <c r="A115" s="10"/>
      <c r="B115" s="10"/>
      <c r="C115" s="10">
        <v>5</v>
      </c>
      <c r="D115" s="10" t="s">
        <v>169</v>
      </c>
    </row>
    <row r="116" spans="1:4" x14ac:dyDescent="0.2">
      <c r="A116" s="10"/>
      <c r="B116" s="10"/>
      <c r="C116" s="10">
        <v>6</v>
      </c>
      <c r="D116" s="10" t="s">
        <v>170</v>
      </c>
    </row>
    <row r="117" spans="1:4" x14ac:dyDescent="0.2">
      <c r="A117" s="10"/>
      <c r="B117" s="10"/>
      <c r="C117" s="10">
        <v>7</v>
      </c>
      <c r="D117" s="10" t="s">
        <v>171</v>
      </c>
    </row>
    <row r="118" spans="1:4" x14ac:dyDescent="0.2">
      <c r="A118" s="10"/>
      <c r="B118" s="10"/>
      <c r="C118" s="10">
        <v>8</v>
      </c>
      <c r="D118" s="10" t="s">
        <v>172</v>
      </c>
    </row>
    <row r="119" spans="1:4" x14ac:dyDescent="0.2">
      <c r="A119" s="10"/>
      <c r="B119" s="10"/>
      <c r="C119" s="10">
        <v>9</v>
      </c>
      <c r="D119" s="10" t="s">
        <v>173</v>
      </c>
    </row>
    <row r="120" spans="1:4" x14ac:dyDescent="0.2">
      <c r="A120" s="10"/>
      <c r="B120" s="10"/>
      <c r="C120" s="10">
        <v>10</v>
      </c>
      <c r="D120" s="10" t="s">
        <v>174</v>
      </c>
    </row>
    <row r="121" spans="1:4" x14ac:dyDescent="0.2">
      <c r="A121" s="10"/>
      <c r="B121" s="10"/>
      <c r="C121" s="10">
        <v>11</v>
      </c>
      <c r="D121" s="10" t="s">
        <v>64</v>
      </c>
    </row>
    <row r="122" spans="1:4" x14ac:dyDescent="0.2">
      <c r="A122" s="10"/>
      <c r="B122" s="10"/>
      <c r="C122" s="10">
        <v>12</v>
      </c>
      <c r="D122" s="10" t="s">
        <v>175</v>
      </c>
    </row>
    <row r="123" spans="1:4" x14ac:dyDescent="0.2">
      <c r="A123" s="10"/>
      <c r="B123" s="10"/>
      <c r="C123" s="10">
        <v>13</v>
      </c>
      <c r="D123" s="10" t="s">
        <v>176</v>
      </c>
    </row>
    <row r="124" spans="1:4" x14ac:dyDescent="0.2">
      <c r="A124" s="10"/>
      <c r="B124" s="10"/>
      <c r="C124" s="10">
        <v>14</v>
      </c>
      <c r="D124" s="10" t="s">
        <v>122</v>
      </c>
    </row>
    <row r="125" spans="1:4" x14ac:dyDescent="0.2">
      <c r="A125" s="10"/>
      <c r="B125" s="10"/>
      <c r="C125" s="10">
        <v>15</v>
      </c>
      <c r="D125" s="10" t="s">
        <v>123</v>
      </c>
    </row>
    <row r="126" spans="1:4" x14ac:dyDescent="0.2">
      <c r="A126" s="10"/>
      <c r="B126" s="10"/>
      <c r="C126" s="10">
        <v>16</v>
      </c>
      <c r="D126" s="10" t="s">
        <v>167</v>
      </c>
    </row>
    <row r="127" spans="1:4" x14ac:dyDescent="0.2">
      <c r="A127" s="10"/>
      <c r="B127" s="10"/>
      <c r="C127" s="10">
        <v>17</v>
      </c>
      <c r="D127" s="10" t="s">
        <v>89</v>
      </c>
    </row>
    <row r="128" spans="1:4" x14ac:dyDescent="0.2">
      <c r="A128" s="10"/>
      <c r="B128" s="10"/>
      <c r="C128" s="10">
        <v>18</v>
      </c>
      <c r="D128" s="10" t="s">
        <v>168</v>
      </c>
    </row>
    <row r="129" spans="1:4" x14ac:dyDescent="0.2">
      <c r="A129" s="10"/>
      <c r="B129" s="10"/>
      <c r="C129" s="10">
        <v>19</v>
      </c>
      <c r="D129" s="10" t="s">
        <v>177</v>
      </c>
    </row>
    <row r="130" spans="1:4" x14ac:dyDescent="0.2">
      <c r="A130" s="10"/>
      <c r="B130" s="10"/>
      <c r="C130" s="10">
        <v>20</v>
      </c>
      <c r="D130" s="10" t="s">
        <v>178</v>
      </c>
    </row>
    <row r="131" spans="1:4" x14ac:dyDescent="0.2">
      <c r="A131" s="10"/>
      <c r="B131" s="10"/>
      <c r="C131" s="10">
        <v>21</v>
      </c>
      <c r="D131" s="10" t="s">
        <v>179</v>
      </c>
    </row>
    <row r="132" spans="1:4" x14ac:dyDescent="0.2">
      <c r="A132" s="10"/>
      <c r="B132" s="10"/>
      <c r="C132" s="10">
        <v>22</v>
      </c>
      <c r="D132" s="10" t="s">
        <v>180</v>
      </c>
    </row>
    <row r="133" spans="1:4" x14ac:dyDescent="0.2">
      <c r="A133" s="10"/>
      <c r="B133" s="10"/>
      <c r="C133" s="10">
        <v>23</v>
      </c>
      <c r="D133" s="10" t="s">
        <v>181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65</v>
      </c>
      <c r="C135" s="10">
        <v>28</v>
      </c>
      <c r="D135" s="10" t="s">
        <v>188</v>
      </c>
    </row>
    <row r="136" spans="1:4" x14ac:dyDescent="0.2">
      <c r="A136" s="10"/>
      <c r="B136" s="10"/>
      <c r="C136" s="10">
        <v>29</v>
      </c>
      <c r="D136" s="10" t="s">
        <v>189</v>
      </c>
    </row>
    <row r="137" spans="1:4" x14ac:dyDescent="0.2">
      <c r="A137" s="10"/>
      <c r="B137" s="10"/>
      <c r="C137" s="10">
        <v>30</v>
      </c>
      <c r="D137" s="10" t="s">
        <v>190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240</v>
      </c>
      <c r="C139" s="10">
        <v>31</v>
      </c>
      <c r="D139" s="10" t="s">
        <v>191</v>
      </c>
    </row>
    <row r="140" spans="1:4" x14ac:dyDescent="0.2">
      <c r="A140" s="10"/>
      <c r="B140" s="10"/>
      <c r="C140" s="10">
        <v>32</v>
      </c>
      <c r="D140" s="10" t="s">
        <v>192</v>
      </c>
    </row>
    <row r="141" spans="1:4" x14ac:dyDescent="0.2">
      <c r="A141" s="10"/>
      <c r="B141" s="10"/>
      <c r="C141" s="10">
        <v>33</v>
      </c>
      <c r="D141" s="10" t="s">
        <v>193</v>
      </c>
    </row>
    <row r="142" spans="1:4" x14ac:dyDescent="0.2">
      <c r="A142" s="10"/>
      <c r="B142" s="10"/>
      <c r="C142" s="10">
        <v>34</v>
      </c>
      <c r="D142" s="10" t="s">
        <v>195</v>
      </c>
    </row>
    <row r="143" spans="1:4" x14ac:dyDescent="0.2">
      <c r="A143" s="10"/>
      <c r="B143" s="10"/>
      <c r="C143" s="10">
        <v>35</v>
      </c>
      <c r="D143" s="10" t="s">
        <v>196</v>
      </c>
    </row>
    <row r="144" spans="1:4" x14ac:dyDescent="0.2">
      <c r="A144" s="10"/>
      <c r="B144" s="10"/>
      <c r="C144" s="10">
        <v>36</v>
      </c>
      <c r="D144" s="10" t="s">
        <v>197</v>
      </c>
    </row>
    <row r="145" spans="1:4" x14ac:dyDescent="0.2">
      <c r="A145" s="10"/>
      <c r="B145" s="10"/>
      <c r="C145" s="10">
        <v>37</v>
      </c>
      <c r="D145" s="10" t="s">
        <v>198</v>
      </c>
    </row>
    <row r="146" spans="1:4" x14ac:dyDescent="0.2">
      <c r="A146" s="10"/>
      <c r="B146" s="10"/>
      <c r="C146" s="10">
        <v>38</v>
      </c>
      <c r="D146" s="10" t="s">
        <v>199</v>
      </c>
    </row>
    <row r="147" spans="1:4" x14ac:dyDescent="0.2">
      <c r="A147" s="10"/>
      <c r="B147" s="10"/>
      <c r="C147" s="10">
        <v>39</v>
      </c>
      <c r="D147" s="10" t="s">
        <v>201</v>
      </c>
    </row>
    <row r="148" spans="1:4" x14ac:dyDescent="0.2">
      <c r="A148" s="10"/>
      <c r="B148" s="10"/>
      <c r="C148" s="10">
        <v>40</v>
      </c>
      <c r="D148" s="10" t="s">
        <v>202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241</v>
      </c>
      <c r="C150" s="10">
        <v>41</v>
      </c>
      <c r="D150" s="10" t="s">
        <v>124</v>
      </c>
    </row>
    <row r="151" spans="1:4" x14ac:dyDescent="0.2">
      <c r="A151" s="10"/>
      <c r="B151" s="10"/>
      <c r="C151" s="10">
        <v>42</v>
      </c>
      <c r="D151" s="10" t="s">
        <v>203</v>
      </c>
    </row>
    <row r="152" spans="1:4" x14ac:dyDescent="0.2">
      <c r="A152" s="10"/>
      <c r="B152" s="10"/>
      <c r="C152" s="10">
        <v>43</v>
      </c>
      <c r="D152" s="10" t="s">
        <v>204</v>
      </c>
    </row>
    <row r="153" spans="1:4" x14ac:dyDescent="0.2">
      <c r="A153" s="10"/>
      <c r="B153" s="10"/>
      <c r="C153" s="10">
        <v>44</v>
      </c>
      <c r="D153" s="10" t="s">
        <v>92</v>
      </c>
    </row>
    <row r="154" spans="1:4" x14ac:dyDescent="0.2">
      <c r="A154" s="10"/>
      <c r="B154" s="10"/>
      <c r="C154" s="10">
        <v>45</v>
      </c>
      <c r="D154" s="10" t="s">
        <v>206</v>
      </c>
    </row>
    <row r="155" spans="1:4" x14ac:dyDescent="0.2">
      <c r="A155" s="10"/>
      <c r="B155" s="10"/>
      <c r="C155" s="10">
        <v>46</v>
      </c>
      <c r="D155" s="10" t="s">
        <v>207</v>
      </c>
    </row>
    <row r="156" spans="1:4" x14ac:dyDescent="0.2">
      <c r="A156" s="10"/>
      <c r="B156" s="10"/>
      <c r="C156" s="10">
        <v>47</v>
      </c>
      <c r="D156" s="10" t="s">
        <v>125</v>
      </c>
    </row>
    <row r="157" spans="1:4" x14ac:dyDescent="0.2">
      <c r="A157" s="10"/>
      <c r="B157" s="10"/>
      <c r="C157" s="10">
        <v>48</v>
      </c>
      <c r="D157" s="10" t="s">
        <v>209</v>
      </c>
    </row>
    <row r="158" spans="1:4" x14ac:dyDescent="0.2">
      <c r="A158" s="10"/>
      <c r="B158" s="10"/>
      <c r="C158" s="10">
        <v>49</v>
      </c>
      <c r="D158" s="10" t="s">
        <v>210</v>
      </c>
    </row>
    <row r="159" spans="1:4" x14ac:dyDescent="0.2">
      <c r="A159" s="10"/>
      <c r="B159" s="10"/>
      <c r="C159" s="10">
        <v>50</v>
      </c>
      <c r="D159" s="10" t="s">
        <v>211</v>
      </c>
    </row>
    <row r="160" spans="1:4" x14ac:dyDescent="0.2">
      <c r="A160" s="10"/>
      <c r="B160" s="10"/>
      <c r="C160" s="10">
        <v>51</v>
      </c>
      <c r="D160" s="10" t="s">
        <v>213</v>
      </c>
    </row>
    <row r="161" spans="1:4" x14ac:dyDescent="0.2">
      <c r="A161" s="10"/>
      <c r="B161" s="10"/>
      <c r="C161" s="10">
        <v>52</v>
      </c>
      <c r="D161" s="10" t="s">
        <v>214</v>
      </c>
    </row>
    <row r="162" spans="1:4" x14ac:dyDescent="0.2">
      <c r="A162" s="10"/>
      <c r="B162" s="10"/>
      <c r="C162" s="10">
        <v>53</v>
      </c>
      <c r="D162" s="10" t="s">
        <v>215</v>
      </c>
    </row>
    <row r="163" spans="1:4" x14ac:dyDescent="0.2">
      <c r="A163" s="10"/>
      <c r="B163" s="10"/>
      <c r="C163" s="10">
        <v>54</v>
      </c>
      <c r="D163" s="10" t="s">
        <v>216</v>
      </c>
    </row>
    <row r="164" spans="1:4" x14ac:dyDescent="0.2">
      <c r="A164" s="10"/>
      <c r="B164" s="10"/>
      <c r="C164" s="10">
        <v>55</v>
      </c>
      <c r="D164" s="10" t="s">
        <v>217</v>
      </c>
    </row>
    <row r="165" spans="1:4" x14ac:dyDescent="0.2">
      <c r="A165" s="10"/>
      <c r="B165" s="10"/>
      <c r="C165" s="10">
        <v>56</v>
      </c>
      <c r="D165" s="10" t="s">
        <v>218</v>
      </c>
    </row>
    <row r="166" spans="1:4" x14ac:dyDescent="0.2">
      <c r="A166" s="10"/>
      <c r="B166" s="10"/>
      <c r="C166" s="10">
        <v>57</v>
      </c>
      <c r="D166" s="10" t="s">
        <v>219</v>
      </c>
    </row>
    <row r="167" spans="1:4" x14ac:dyDescent="0.2">
      <c r="A167" s="10"/>
      <c r="B167" s="10"/>
      <c r="C167" s="10">
        <v>58</v>
      </c>
      <c r="D167" s="10" t="s">
        <v>221</v>
      </c>
    </row>
    <row r="168" spans="1:4" x14ac:dyDescent="0.2">
      <c r="A168" s="10"/>
      <c r="B168" s="10"/>
      <c r="C168" s="10">
        <v>59</v>
      </c>
      <c r="D168" s="10" t="s">
        <v>126</v>
      </c>
    </row>
    <row r="169" spans="1:4" x14ac:dyDescent="0.2">
      <c r="A169" s="10"/>
      <c r="B169" s="10"/>
      <c r="C169" s="10">
        <v>60</v>
      </c>
      <c r="D169" s="10" t="s">
        <v>222</v>
      </c>
    </row>
    <row r="170" spans="1:4" x14ac:dyDescent="0.2">
      <c r="A170" s="10"/>
      <c r="B170" s="10"/>
      <c r="C170" s="10">
        <v>61</v>
      </c>
      <c r="D170" s="10" t="s">
        <v>223</v>
      </c>
    </row>
    <row r="171" spans="1:4" x14ac:dyDescent="0.2">
      <c r="A171" s="10"/>
      <c r="B171" s="10"/>
      <c r="C171" s="10">
        <v>62</v>
      </c>
      <c r="D171" s="10" t="s">
        <v>224</v>
      </c>
    </row>
    <row r="172" spans="1:4" x14ac:dyDescent="0.2">
      <c r="A172" s="10"/>
      <c r="B172" s="10"/>
      <c r="C172" s="10">
        <v>63</v>
      </c>
      <c r="D172" s="10" t="s">
        <v>225</v>
      </c>
    </row>
    <row r="173" spans="1:4" x14ac:dyDescent="0.2">
      <c r="A173" s="10"/>
      <c r="B173" s="10"/>
      <c r="C173" s="10">
        <v>69</v>
      </c>
      <c r="D173" s="10" t="s">
        <v>231</v>
      </c>
    </row>
    <row r="174" spans="1:4" x14ac:dyDescent="0.2">
      <c r="A174" s="10"/>
      <c r="B174" s="10"/>
      <c r="C174" s="10">
        <v>70</v>
      </c>
      <c r="D174" s="10" t="s">
        <v>232</v>
      </c>
    </row>
    <row r="175" spans="1:4" x14ac:dyDescent="0.2">
      <c r="A175" s="10"/>
      <c r="B175" s="10"/>
      <c r="C175" s="10">
        <v>71</v>
      </c>
      <c r="D175" s="10" t="s">
        <v>233</v>
      </c>
    </row>
    <row r="176" spans="1:4" x14ac:dyDescent="0.2">
      <c r="A176" s="10"/>
      <c r="B176" s="10"/>
      <c r="C176" s="10">
        <v>72</v>
      </c>
      <c r="D176" s="10" t="s">
        <v>234</v>
      </c>
    </row>
    <row r="177" spans="1:6" x14ac:dyDescent="0.2">
      <c r="A177" s="10"/>
      <c r="B177" s="10"/>
      <c r="C177" s="10">
        <v>73</v>
      </c>
      <c r="D177" s="10" t="s">
        <v>127</v>
      </c>
    </row>
    <row r="178" spans="1:6" x14ac:dyDescent="0.2">
      <c r="A178" s="10"/>
      <c r="B178" s="10"/>
      <c r="C178" s="10">
        <v>74</v>
      </c>
      <c r="D178" s="10" t="s">
        <v>236</v>
      </c>
    </row>
    <row r="179" spans="1:6" x14ac:dyDescent="0.2">
      <c r="A179" s="10"/>
      <c r="B179" s="10"/>
      <c r="C179" s="10">
        <v>75</v>
      </c>
      <c r="D179" s="10" t="s">
        <v>237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242</v>
      </c>
      <c r="C181" s="10">
        <v>64</v>
      </c>
      <c r="D181" s="10" t="s">
        <v>227</v>
      </c>
    </row>
    <row r="182" spans="1:6" x14ac:dyDescent="0.2">
      <c r="A182" s="10"/>
      <c r="B182" s="10"/>
      <c r="C182" s="10">
        <v>65</v>
      </c>
      <c r="D182" s="10" t="s">
        <v>66</v>
      </c>
    </row>
    <row r="183" spans="1:6" x14ac:dyDescent="0.2">
      <c r="A183" s="10"/>
      <c r="B183" s="10"/>
      <c r="C183" s="10">
        <v>66</v>
      </c>
      <c r="D183" s="10" t="s">
        <v>228</v>
      </c>
    </row>
    <row r="184" spans="1:6" x14ac:dyDescent="0.2">
      <c r="A184" s="10"/>
      <c r="B184" s="10"/>
      <c r="C184" s="10">
        <v>67</v>
      </c>
      <c r="D184" s="10" t="s">
        <v>229</v>
      </c>
    </row>
    <row r="185" spans="1:6" x14ac:dyDescent="0.2">
      <c r="A185" s="10"/>
      <c r="B185" s="10"/>
      <c r="C185" s="10">
        <v>68</v>
      </c>
      <c r="D185" s="10" t="s">
        <v>230</v>
      </c>
    </row>
    <row r="186" spans="1:6" x14ac:dyDescent="0.2">
      <c r="A186"/>
      <c r="B186"/>
      <c r="D186"/>
    </row>
    <row r="187" spans="1:6" x14ac:dyDescent="0.2">
      <c r="A187" s="14" t="s">
        <v>505</v>
      </c>
      <c r="C187" s="125"/>
      <c r="D187" s="125"/>
    </row>
    <row r="188" spans="1:6" x14ac:dyDescent="0.2">
      <c r="A188" s="88" t="s">
        <v>11</v>
      </c>
      <c r="C188" s="125"/>
      <c r="D188" s="125"/>
    </row>
    <row r="189" spans="1:6" x14ac:dyDescent="0.2">
      <c r="A189" s="88" t="s">
        <v>11</v>
      </c>
      <c r="C189" s="125"/>
      <c r="D189" s="125"/>
    </row>
    <row r="190" spans="1:6" x14ac:dyDescent="0.2">
      <c r="B190" s="88" t="s">
        <v>506</v>
      </c>
      <c r="D190" s="88" t="s">
        <v>521</v>
      </c>
    </row>
    <row r="191" spans="1:6" x14ac:dyDescent="0.2">
      <c r="A191" s="88" t="s">
        <v>11</v>
      </c>
    </row>
    <row r="192" spans="1:6" x14ac:dyDescent="0.2">
      <c r="A192" s="88">
        <v>1</v>
      </c>
      <c r="B192" s="125" t="s">
        <v>322</v>
      </c>
      <c r="C192" s="88">
        <v>1</v>
      </c>
      <c r="D192" s="125" t="s">
        <v>475</v>
      </c>
      <c r="F192" s="125"/>
    </row>
    <row r="193" spans="1:6" x14ac:dyDescent="0.2">
      <c r="C193" s="88">
        <v>2</v>
      </c>
      <c r="D193" s="125" t="s">
        <v>476</v>
      </c>
      <c r="F193" s="125"/>
    </row>
    <row r="194" spans="1:6" x14ac:dyDescent="0.2">
      <c r="D194" s="125"/>
      <c r="F194" s="125"/>
    </row>
    <row r="195" spans="1:6" x14ac:dyDescent="0.2">
      <c r="A195" s="88">
        <v>2</v>
      </c>
      <c r="B195" s="125" t="s">
        <v>323</v>
      </c>
      <c r="C195" s="88">
        <v>3</v>
      </c>
      <c r="D195" s="125" t="s">
        <v>477</v>
      </c>
      <c r="F195" s="125"/>
    </row>
    <row r="196" spans="1:6" x14ac:dyDescent="0.2">
      <c r="C196" s="88">
        <v>4</v>
      </c>
      <c r="D196" s="125" t="s">
        <v>479</v>
      </c>
      <c r="F196" s="125"/>
    </row>
    <row r="197" spans="1:6" x14ac:dyDescent="0.2">
      <c r="C197" s="88">
        <v>5</v>
      </c>
      <c r="D197" s="125" t="s">
        <v>481</v>
      </c>
      <c r="F197" s="125"/>
    </row>
    <row r="198" spans="1:6" x14ac:dyDescent="0.2">
      <c r="C198" s="88">
        <v>6</v>
      </c>
      <c r="D198" s="125" t="s">
        <v>482</v>
      </c>
      <c r="F198" s="125"/>
    </row>
    <row r="199" spans="1:6" x14ac:dyDescent="0.2">
      <c r="B199" s="125"/>
      <c r="D199" s="125"/>
      <c r="F199" s="125"/>
    </row>
    <row r="200" spans="1:6" x14ac:dyDescent="0.2">
      <c r="A200" s="88">
        <v>3</v>
      </c>
      <c r="B200" s="125" t="s">
        <v>478</v>
      </c>
      <c r="C200" s="88">
        <v>7</v>
      </c>
      <c r="D200" s="125" t="s">
        <v>484</v>
      </c>
      <c r="F200" s="125"/>
    </row>
    <row r="201" spans="1:6" x14ac:dyDescent="0.2">
      <c r="C201" s="88">
        <v>8</v>
      </c>
      <c r="D201" s="125" t="s">
        <v>486</v>
      </c>
      <c r="F201" s="125"/>
    </row>
    <row r="202" spans="1:6" x14ac:dyDescent="0.2">
      <c r="C202" s="88">
        <v>9</v>
      </c>
      <c r="D202" s="125" t="s">
        <v>487</v>
      </c>
      <c r="F202" s="125"/>
    </row>
    <row r="203" spans="1:6" x14ac:dyDescent="0.2">
      <c r="C203" s="88">
        <v>10</v>
      </c>
      <c r="D203" s="125" t="s">
        <v>488</v>
      </c>
      <c r="F203" s="125"/>
    </row>
    <row r="204" spans="1:6" x14ac:dyDescent="0.2">
      <c r="C204" s="88">
        <v>11</v>
      </c>
      <c r="D204" s="125" t="s">
        <v>489</v>
      </c>
      <c r="F204" s="125"/>
    </row>
    <row r="205" spans="1:6" x14ac:dyDescent="0.2">
      <c r="D205" s="125"/>
      <c r="F205" s="125"/>
    </row>
    <row r="206" spans="1:6" x14ac:dyDescent="0.2">
      <c r="A206" s="88">
        <v>4</v>
      </c>
      <c r="B206" s="125" t="s">
        <v>480</v>
      </c>
      <c r="C206" s="88">
        <v>12</v>
      </c>
      <c r="D206" s="125" t="s">
        <v>490</v>
      </c>
      <c r="F206" s="125"/>
    </row>
    <row r="207" spans="1:6" x14ac:dyDescent="0.2">
      <c r="C207" s="88">
        <v>13</v>
      </c>
      <c r="D207" s="125" t="s">
        <v>491</v>
      </c>
      <c r="F207" s="125"/>
    </row>
    <row r="208" spans="1:6" x14ac:dyDescent="0.2">
      <c r="D208"/>
      <c r="F208" s="125"/>
    </row>
    <row r="209" spans="1:6" x14ac:dyDescent="0.2">
      <c r="A209" s="88">
        <v>5</v>
      </c>
      <c r="B209" s="125" t="s">
        <v>324</v>
      </c>
      <c r="C209" s="88">
        <v>14</v>
      </c>
      <c r="D209" s="125" t="s">
        <v>492</v>
      </c>
      <c r="F209" s="125"/>
    </row>
    <row r="210" spans="1:6" x14ac:dyDescent="0.2">
      <c r="C210" s="88">
        <v>15</v>
      </c>
      <c r="D210" s="125" t="s">
        <v>493</v>
      </c>
      <c r="F210" s="125"/>
    </row>
    <row r="211" spans="1:6" x14ac:dyDescent="0.2">
      <c r="C211" s="88">
        <v>16</v>
      </c>
      <c r="D211" s="125" t="s">
        <v>494</v>
      </c>
      <c r="F211" s="125"/>
    </row>
    <row r="212" spans="1:6" x14ac:dyDescent="0.2">
      <c r="C212" s="88">
        <v>17</v>
      </c>
      <c r="D212" s="125" t="s">
        <v>495</v>
      </c>
      <c r="F212" s="125"/>
    </row>
    <row r="213" spans="1:6" x14ac:dyDescent="0.2">
      <c r="D213"/>
      <c r="F213" s="125"/>
    </row>
    <row r="214" spans="1:6" x14ac:dyDescent="0.2">
      <c r="A214" s="88">
        <v>6</v>
      </c>
      <c r="B214" s="125" t="s">
        <v>483</v>
      </c>
      <c r="C214" s="88">
        <v>18</v>
      </c>
      <c r="D214" s="125" t="s">
        <v>496</v>
      </c>
      <c r="F214" s="125"/>
    </row>
    <row r="215" spans="1:6" x14ac:dyDescent="0.2">
      <c r="C215" s="88">
        <v>19</v>
      </c>
      <c r="D215" s="125" t="s">
        <v>497</v>
      </c>
      <c r="F215" s="125"/>
    </row>
    <row r="216" spans="1:6" x14ac:dyDescent="0.2">
      <c r="C216" s="88">
        <v>20</v>
      </c>
      <c r="D216" s="125" t="s">
        <v>498</v>
      </c>
      <c r="F216" s="125"/>
    </row>
    <row r="217" spans="1:6" x14ac:dyDescent="0.2">
      <c r="F217" s="125"/>
    </row>
    <row r="218" spans="1:6" x14ac:dyDescent="0.2">
      <c r="A218" s="88">
        <v>7</v>
      </c>
      <c r="B218" s="125" t="s">
        <v>485</v>
      </c>
      <c r="C218" s="88">
        <v>21</v>
      </c>
      <c r="D218" s="125" t="s">
        <v>499</v>
      </c>
      <c r="F218"/>
    </row>
    <row r="219" spans="1:6" x14ac:dyDescent="0.2">
      <c r="C219" s="88">
        <v>22</v>
      </c>
      <c r="D219" s="125" t="s">
        <v>500</v>
      </c>
    </row>
    <row r="220" spans="1:6" x14ac:dyDescent="0.2">
      <c r="D220" s="125"/>
    </row>
    <row r="221" spans="1:6" x14ac:dyDescent="0.2">
      <c r="A221" s="88">
        <v>8</v>
      </c>
      <c r="B221" s="125" t="s">
        <v>325</v>
      </c>
      <c r="C221" s="88">
        <v>23</v>
      </c>
      <c r="D221" s="125" t="s">
        <v>501</v>
      </c>
    </row>
    <row r="222" spans="1:6" x14ac:dyDescent="0.2">
      <c r="C222" s="88">
        <v>24</v>
      </c>
      <c r="D222" s="125" t="s">
        <v>502</v>
      </c>
    </row>
    <row r="223" spans="1:6" ht="12" customHeight="1" x14ac:dyDescent="0.2"/>
    <row r="224" spans="1:6" x14ac:dyDescent="0.2">
      <c r="A224" s="88">
        <v>9</v>
      </c>
      <c r="B224" s="125" t="s">
        <v>9</v>
      </c>
      <c r="C224" s="88">
        <v>25</v>
      </c>
      <c r="D224" s="125" t="s">
        <v>503</v>
      </c>
    </row>
    <row r="225" spans="1:4" x14ac:dyDescent="0.2">
      <c r="C225" s="88">
        <v>26</v>
      </c>
      <c r="D225" t="s">
        <v>504</v>
      </c>
    </row>
    <row r="226" spans="1:4" x14ac:dyDescent="0.2">
      <c r="B226"/>
      <c r="D226"/>
    </row>
    <row r="227" spans="1:4" x14ac:dyDescent="0.2">
      <c r="A227" s="14" t="s">
        <v>351</v>
      </c>
      <c r="D227"/>
    </row>
    <row r="228" spans="1:4" x14ac:dyDescent="0.2">
      <c r="D228"/>
    </row>
    <row r="229" spans="1:4" x14ac:dyDescent="0.2">
      <c r="B229" s="88" t="s">
        <v>460</v>
      </c>
      <c r="D229" s="88" t="s">
        <v>461</v>
      </c>
    </row>
    <row r="231" spans="1:4" x14ac:dyDescent="0.2">
      <c r="A231" s="88">
        <v>1</v>
      </c>
      <c r="B231" s="125" t="s">
        <v>458</v>
      </c>
      <c r="C231" s="88">
        <v>1</v>
      </c>
      <c r="D231" s="125" t="s">
        <v>450</v>
      </c>
    </row>
    <row r="232" spans="1:4" x14ac:dyDescent="0.2">
      <c r="C232" s="88">
        <v>2</v>
      </c>
      <c r="D232" s="125" t="s">
        <v>451</v>
      </c>
    </row>
    <row r="234" spans="1:4" x14ac:dyDescent="0.2">
      <c r="A234" s="88">
        <v>2</v>
      </c>
      <c r="B234" s="125" t="s">
        <v>459</v>
      </c>
      <c r="C234" s="88">
        <v>3</v>
      </c>
      <c r="D234" s="125" t="s">
        <v>452</v>
      </c>
    </row>
    <row r="235" spans="1:4" x14ac:dyDescent="0.2">
      <c r="C235" s="88">
        <v>4</v>
      </c>
      <c r="D235" s="125" t="s">
        <v>453</v>
      </c>
    </row>
    <row r="236" spans="1:4" x14ac:dyDescent="0.2">
      <c r="C236" s="88">
        <v>5</v>
      </c>
      <c r="D236" s="125" t="s">
        <v>454</v>
      </c>
    </row>
    <row r="238" spans="1:4" x14ac:dyDescent="0.2">
      <c r="A238" s="88">
        <v>3</v>
      </c>
      <c r="B238" s="125" t="s">
        <v>455</v>
      </c>
      <c r="C238" s="88">
        <v>6</v>
      </c>
      <c r="D238" s="125" t="s">
        <v>455</v>
      </c>
    </row>
    <row r="240" spans="1:4" x14ac:dyDescent="0.2">
      <c r="A240" s="88">
        <v>4</v>
      </c>
      <c r="B240" s="125" t="s">
        <v>456</v>
      </c>
      <c r="C240" s="88">
        <v>7</v>
      </c>
      <c r="D240" s="125" t="s">
        <v>456</v>
      </c>
    </row>
    <row r="242" spans="1:4" x14ac:dyDescent="0.2">
      <c r="A242" s="88">
        <v>5</v>
      </c>
      <c r="B242" s="125" t="s">
        <v>457</v>
      </c>
      <c r="C242" s="88">
        <v>8</v>
      </c>
      <c r="D242" s="125" t="s">
        <v>457</v>
      </c>
    </row>
    <row r="244" spans="1:4" x14ac:dyDescent="0.2">
      <c r="A244" s="88">
        <v>6</v>
      </c>
      <c r="B244" s="125" t="s">
        <v>327</v>
      </c>
      <c r="C244" s="88">
        <v>9</v>
      </c>
      <c r="D244" s="125" t="s">
        <v>327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4" manualBreakCount="4">
    <brk id="45" max="16383" man="1"/>
    <brk id="101" max="16383" man="1"/>
    <brk id="138" max="16383" man="1"/>
    <brk id="186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33FABB-3B7C-4BEA-B1D5-A36B79FFE119}"/>
</file>

<file path=customXml/itemProps2.xml><?xml version="1.0" encoding="utf-8"?>
<ds:datastoreItem xmlns:ds="http://schemas.openxmlformats.org/officeDocument/2006/customXml" ds:itemID="{7019F2F6-100E-46E8-A21A-2B4CFBEDFAC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32</vt:i4>
      </vt:variant>
    </vt:vector>
  </HeadingPairs>
  <TitlesOfParts>
    <vt:vector size="68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T3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T3'!Print_Area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2019-03-05T13:17:01Z</cp:lastPrinted>
  <dcterms:created xsi:type="dcterms:W3CDTF">2006-08-30T09:48:05Z</dcterms:created>
  <dcterms:modified xsi:type="dcterms:W3CDTF">2023-10-02T15:56:32Z</dcterms:modified>
</cp:coreProperties>
</file>